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vmlDrawing3.vml" ContentType="application/vnd.openxmlformats-officedocument.vmlDrawing"/>
  <Override PartName="/xl/drawings/drawing7.xml" ContentType="application/vnd.openxmlformats-officedocument.drawing+xml"/>
  <Override PartName="/xl/drawings/vmlDrawing4.vml" ContentType="application/vnd.openxmlformats-officedocument.vmlDrawing"/>
  <Override PartName="/xl/drawings/drawing8.xml" ContentType="application/vnd.openxmlformats-officedocument.drawing+xml"/>
  <Override PartName="/xl/drawings/_rels/drawing1.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sharedStrings.xml" ContentType="application/vnd.openxmlformats-officedocument.spreadsheetml.sharedStrings+xml"/>
  <Override PartName="/xl/comments1.xml" ContentType="application/vnd.openxmlformats-officedocument.spreadsheetml.comments+xml"/>
  <Override PartName="/xl/media/image1.png" ContentType="image/png"/>
  <Override PartName="/xl/media/image2.png" ContentType="image/png"/>
  <Override PartName="/xl/media/image3.png" ContentType="image/png"/>
  <Override PartName="/xl/media/image6.jpeg" ContentType="image/jpeg"/>
  <Override PartName="/xl/media/image4.png" ContentType="image/png"/>
  <Override PartName="/xl/media/image5.png" ContentType="image/png"/>
  <Override PartName="/xl/media/image7.png" ContentType="image/p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bilito" sheetId="1" state="visible" r:id="rId2"/>
    <sheet name="Trajecto" sheetId="2" state="visible" r:id="rId3"/>
    <sheet name="Courbes" sheetId="3" state="visible" r:id="rId4"/>
    <sheet name="Propu" sheetId="4" state="visible" r:id="rId5"/>
    <sheet name="Calculs" sheetId="5" state="visible" r:id="rId6"/>
    <sheet name="Abaco" sheetId="6" state="visible" r:id="rId7"/>
    <sheet name="Info" sheetId="7" state="visible" r:id="rId8"/>
    <sheet name="Controle" sheetId="8" state="visible" r:id="rId9"/>
  </sheets>
  <definedNames>
    <definedName function="false" hidden="false" localSheetId="5" name="_xlnm.Print_Area" vbProcedure="false">Abaco!$A$1:$M$35</definedName>
    <definedName function="false" hidden="false" localSheetId="2" name="_xlnm.Print_Area" vbProcedure="false">Courbes!$A$1:$K$78</definedName>
    <definedName function="false" hidden="false" localSheetId="0" name="_xlnm.Print_Area" vbProcedure="false">Stabilito!$A$1:$Q$37</definedName>
    <definedName function="false" hidden="false" localSheetId="1" name="_xlnm.Print_Area" vbProcedure="false">Trajecto!$A$1:$N$35</definedName>
    <definedName function="false" hidden="false" name="Acc_max" vbProcedure="false">Trajecto!$L$24</definedName>
    <definedName function="false" hidden="false" name="acc_x" vbProcedure="false">Calculs!$D$4:$D$1004</definedName>
    <definedName function="false" hidden="false" name="acc_xz" vbProcedure="false">Calculs!$F$4:$F$1004</definedName>
    <definedName function="false" hidden="false" name="acc_z" vbProcedure="false">Calculs!$E$4:$E$1004</definedName>
    <definedName function="false" hidden="false" name="Altitude_culmi" vbProcedure="false">Trajecto!$I$26</definedName>
    <definedName function="false" hidden="false" name="Alt_para" vbProcedure="false">Trajecto!$I$27</definedName>
    <definedName function="false" hidden="false" name="alt_prop" vbProcedure="false">Abaco!$J$41:$J$67</definedName>
    <definedName function="false" hidden="false" name="Alt_rampe" vbProcedure="false">Trajecto!$C$20</definedName>
    <definedName function="false" hidden="false" name="Alt_sat" vbProcedure="false">Trajecto!$I$25</definedName>
    <definedName function="false" hidden="false" name="a_prop" vbProcedure="false">Abaco!$G$41:$G$67</definedName>
    <definedName function="false" hidden="false" name="Beta" vbProcedure="false">Calculs!$M$4:$M$1004</definedName>
    <definedName function="false" hidden="false" name="BetaD" vbProcedure="false">Calculs!$N$4:$N$1004</definedName>
    <definedName function="false" hidden="false" name="Beta_rampe" vbProcedure="false">Trajecto!$C$19</definedName>
    <definedName function="false" hidden="false" name="b_bal" vbProcedure="false">Abaco!$I$41:$I$67</definedName>
    <definedName function="false" hidden="false" name="b_prop" vbProcedure="false">Abaco!$H$41:$H$67</definedName>
    <definedName function="false" hidden="false" name="CdP" vbProcedure="false">Propu!$B$3:$Y$4</definedName>
    <definedName function="false" hidden="false" name="CdP_P" vbProcedure="false">Propu!$B$4:$Y$4</definedName>
    <definedName function="false" hidden="false" name="CdP_t" vbProcedure="false">Propu!$B$3:$Y$3</definedName>
    <definedName function="false" hidden="false" name="Club" vbProcedure="false">Stabilito!$C$9</definedName>
    <definedName function="false" hidden="false" name="Cn" vbProcedure="false">Stabilito!$H$28</definedName>
    <definedName function="false" hidden="false" name="Cn0" vbProcedure="false">Stabilito!$I$28</definedName>
    <definedName function="false" hidden="false" name="Cnai0" vbProcedure="false">Stabilito!$P$19</definedName>
    <definedName function="false" hidden="false" name="Cni0" vbProcedure="false">Stabilito!$P$22</definedName>
    <definedName function="false" hidden="false" name="Combustion" vbProcedure="false">Propu!$X$2</definedName>
    <definedName function="false" hidden="false" name="Cx" vbProcedure="false">Trajecto!$C$15</definedName>
    <definedName function="false" hidden="false" name="Cx_para" vbProcedure="false">Trajecto!$C$28</definedName>
    <definedName function="false" hidden="false" name="Cx_satellite" vbProcedure="false">Trajecto!$D$28</definedName>
    <definedName function="false" hidden="false" name="D1j" vbProcedure="false">Stabilito!$M$7</definedName>
    <definedName function="false" hidden="false" name="D1r" vbProcedure="false">Stabilito!$O$7</definedName>
    <definedName function="false" hidden="false" name="D2j" vbProcedure="false">Stabilito!$M$8</definedName>
    <definedName function="false" hidden="false" name="D2r" vbProcedure="false">Stabilito!$O$8</definedName>
    <definedName function="false" hidden="false" name="Depotage" vbProcedure="false">Propu!$Z$2</definedName>
    <definedName function="false" hidden="false" name="Diam_propu" vbProcedure="false">Propu!$T$2</definedName>
    <definedName function="false" hidden="false" name="Dt_para" vbProcedure="false">Trajecto!$C$31</definedName>
    <definedName function="false" hidden="false" name="Dt_satellite" vbProcedure="false">Trajecto!$D$31</definedName>
    <definedName function="false" hidden="false" name="Dx_para" vbProcedure="false">Trajecto!$C$33</definedName>
    <definedName function="false" hidden="false" name="Dx_sat" vbProcedure="false">Trajecto!$D$33</definedName>
    <definedName function="false" hidden="false" name="D_ail" vbProcedure="false">Stabilito!$C$34</definedName>
    <definedName function="false" hidden="false" name="D_og" vbProcedure="false">Stabilito!$C$23</definedName>
    <definedName function="false" hidden="false" name="D_ref" vbProcedure="false">Stabilito!$C$14</definedName>
    <definedName function="false" hidden="false" name="D_var" vbProcedure="false">Abaco!$B$41:$B$67</definedName>
    <definedName function="false" hidden="false" name="Débit" vbProcedure="false">Calculs!$R$4:$R$1004</definedName>
    <definedName function="false" hidden="false" name="ep_ail" vbProcedure="false">Stabilito!$C$31</definedName>
    <definedName function="false" hidden="false" name="ep_can" vbProcedure="false">Stabilito!$D$31</definedName>
    <definedName function="false" hidden="false" name="Event" vbProcedure="false">Calculs!$Y$4:$Y$1004</definedName>
    <definedName function="false" hidden="false" name="Event_para" vbProcedure="false">Calculs!$Z$4:$Z$1004</definedName>
    <definedName function="false" hidden="false" name="Event_sat" vbProcedure="false">Calculs!$AA$4:$AA$1004</definedName>
    <definedName function="false" hidden="false" name="E_ail" vbProcedure="false">Stabilito!$C$30</definedName>
    <definedName function="false" hidden="false" name="E_can" vbProcedure="false">Stabilito!$D$30</definedName>
    <definedName function="false" hidden="false" name="Finesse" vbProcedure="false">Stabilito!$H$27</definedName>
    <definedName function="false" hidden="false" name="Forme_ogive" vbProcedure="false">Stabilito!$C$21</definedName>
    <definedName function="false" hidden="false" name="g" vbProcedure="false">Info!$E$52</definedName>
    <definedName function="false" hidden="false" name="ISP" vbProcedure="false">Propu!$F$2</definedName>
    <definedName function="false" hidden="false" name="i_P" vbProcedure="false">Calculs!$P$4:$P$1004</definedName>
    <definedName function="false" hidden="false" name="I_total" vbProcedure="false">Propu!$D$2</definedName>
    <definedName function="false" hidden="false" name="Lang" vbProcedure="false">Stabilito!$M$2</definedName>
    <definedName function="false" hidden="false" name="Liste_fusex" vbProcedure="false">Propu!$R$317:$R$346</definedName>
    <definedName function="false" hidden="false" name="Liste_H2O" vbProcedure="false">Propu!$C$317:$D$346</definedName>
    <definedName function="false" hidden="false" name="Liste_minif" vbProcedure="false">Propu!$L$317:$M$346</definedName>
    <definedName function="false" hidden="false" name="Liste_minifT" vbProcedure="false">Propu!$O$317:$O$346</definedName>
    <definedName function="false" hidden="false" name="Liste_propu" vbProcedure="false">Propu!$A$317:$A$330</definedName>
    <definedName function="false" hidden="false" name="Liste_RC" vbProcedure="false">Propu!$I$317:$J$346</definedName>
    <definedName function="false" hidden="false" name="Liste_µfu" vbProcedure="false">Propu!$F$317:$F$346</definedName>
    <definedName function="false" hidden="false" name="Long_ogive" vbProcedure="false">Stabilito!$C$22</definedName>
    <definedName function="false" hidden="false" name="Long_propu" vbProcedure="false">Propu!$R$2</definedName>
    <definedName function="false" hidden="false" name="Long_tot" vbProcedure="false">Stabilito!$C$13</definedName>
    <definedName function="false" hidden="false" name="l_j" vbProcedure="false">Stabilito!$M$6</definedName>
    <definedName function="false" hidden="false" name="l_r" vbProcedure="false">Stabilito!$O$6</definedName>
    <definedName function="false" hidden="false" name="L_rampe" vbProcedure="false">Trajecto!$C$18</definedName>
    <definedName function="false" hidden="false" name="m" vbProcedure="false">Calculs!$S$4:$S$1004</definedName>
    <definedName function="false" hidden="false" name="MassePlein" vbProcedure="false">Stabilito!$M$14</definedName>
    <definedName function="false" hidden="false" name="MasseSans" vbProcedure="false">Stabilito!$P$14</definedName>
    <definedName function="false" hidden="false" name="MasseVide" vbProcedure="false">Stabilito!$N$14</definedName>
    <definedName function="false" hidden="false" name="Masse_ail" vbProcedure="false">Controle!$H$63</definedName>
    <definedName function="false" hidden="false" name="Menu_Empennage" vbProcedure="false">Stabilito!$B$111:$B$112</definedName>
    <definedName function="false" hidden="false" name="Menu_Lang" vbProcedure="false">Stabilito!$B$93:$B$94</definedName>
    <definedName function="false" hidden="false" name="Menu_Ogive" vbProcedure="false">Stabilito!$B$107:$B$109</definedName>
    <definedName function="false" hidden="false" name="Menu_sat" vbProcedure="false">Trajecto!$B$104:$B$105</definedName>
    <definedName function="false" hidden="false" name="Menu_Transitions" vbProcedure="false">Stabilito!$B$114:$B$115</definedName>
    <definedName function="false" hidden="false" name="Menu_Type" vbProcedure="false">Stabilito!$B$96:$B$100</definedName>
    <definedName function="false" hidden="false" name="Menu_with_motor" vbProcedure="false">Stabilito!$B$103:$B$105</definedName>
    <definedName function="false" hidden="false" name="MpropuPlein" vbProcedure="false">Propu!$H$2</definedName>
    <definedName function="false" hidden="false" name="MpropuVide" vbProcedure="false">Propu!$L$2</definedName>
    <definedName function="false" hidden="false" name="MS_Cn_max" vbProcedure="false">Stabilito!$I$30</definedName>
    <definedName function="false" hidden="false" name="MS_Cn_max0" vbProcedure="false">stabilito!#ref!</definedName>
    <definedName function="false" hidden="false" name="MS_Cn_min" vbProcedure="false">Stabilito!$H$30</definedName>
    <definedName function="false" hidden="false" name="MS_Cn_min0" vbProcedure="false">stabilito!#ref!</definedName>
    <definedName function="false" hidden="false" name="MS_max" vbProcedure="false">Stabilito!$I$29</definedName>
    <definedName function="false" hidden="false" name="MS_max0" vbProcedure="false">stabilito!#ref!</definedName>
    <definedName function="false" hidden="false" name="MS_min" vbProcedure="false">Stabilito!$H$29</definedName>
    <definedName function="false" hidden="false" name="MS_min0" vbProcedure="false">stabilito!#ref!</definedName>
    <definedName function="false" hidden="false" name="m_ail" vbProcedure="false">Stabilito!$C$27</definedName>
    <definedName function="false" hidden="false" name="m_bal" vbProcedure="false">Abaco!$F$41:$F$67</definedName>
    <definedName function="false" hidden="false" name="m_can" vbProcedure="false">Stabilito!$D$27</definedName>
    <definedName function="false" hidden="false" name="m_poudre" vbProcedure="false">Propu!$J$2</definedName>
    <definedName function="false" hidden="false" name="m_prop" vbProcedure="false">Abaco!$E$41:$E$67</definedName>
    <definedName function="false" hidden="false" name="m_satellite" vbProcedure="false">Trajecto!$D$24</definedName>
    <definedName function="false" hidden="false" name="m_tot" vbProcedure="false">Trajecto!$C$10</definedName>
    <definedName function="false" hidden="false" name="m_var" vbProcedure="false">Abaco!$D$41:$D$67</definedName>
    <definedName function="false" hidden="false" name="m_vide" vbProcedure="false">Trajecto!$C$24</definedName>
    <definedName function="false" hidden="false" name="Nb_diam" vbProcedure="false">Stabilito!$M$4</definedName>
    <definedName function="false" hidden="false" name="Nb_sat" vbProcedure="false">Trajecto!$D$23</definedName>
    <definedName function="false" hidden="false" name="Nom" vbProcedure="false">Stabilito!$C$8</definedName>
    <definedName function="false" hidden="false" name="n_ail" vbProcedure="false">Stabilito!$C$28</definedName>
    <definedName function="false" hidden="false" name="n_can" vbProcedure="false">Stabilito!$D$28</definedName>
    <definedName function="false" hidden="false" name="pas" vbProcedure="false">Calculs!$A$4:$A$1004</definedName>
    <definedName function="false" hidden="false" name="Poids" vbProcedure="false">Calculs!$T$4:$T$1004</definedName>
    <definedName function="false" hidden="false" name="Portee_balistique" vbProcedure="false">Trajecto!$J$28</definedName>
    <definedName function="false" hidden="false" name="pos_x" vbProcedure="false">Calculs!$J$4:$J$1004</definedName>
    <definedName function="false" hidden="false" name="pos_xz" vbProcedure="false">Calculs!$L$4:$L$1004</definedName>
    <definedName function="false" hidden="false" name="pos_z" vbProcedure="false">Calculs!$K$4:$K$1004</definedName>
    <definedName function="false" hidden="false" name="pos_z_montant" vbProcedure="false">Calculs!$AE$4:$AE$1004</definedName>
    <definedName function="false" hidden="false" name="Poussee" vbProcedure="false">Calculs!$Q$4:$Q$1004</definedName>
    <definedName function="false" hidden="false" name="Propu" vbProcedure="false">Stabilito!$C$17</definedName>
    <definedName function="false" hidden="false" name="p_ail" vbProcedure="false">Stabilito!$C$29</definedName>
    <definedName function="false" hidden="false" name="p_can" vbProcedure="false">Stabilito!$D$29</definedName>
    <definedName function="false" hidden="false" name="Q_ail" vbProcedure="false">Stabilito!$C$32</definedName>
    <definedName function="false" hidden="false" name="Q_can" vbProcedure="false">Stabilito!$D$32</definedName>
    <definedName function="false" hidden="false" name="Q_var" vbProcedure="false">Abaco!$C$41:$C$67</definedName>
    <definedName function="false" hidden="false" name="Rho" vbProcedure="false">Calculs!$V$4:$V$1004</definedName>
    <definedName function="false" hidden="false" name="Rho_moyen" vbProcedure="false">Info!$E$53</definedName>
    <definedName function="false" hidden="false" name="R_rampe" vbProcedure="false">Calculs!$U$4:$U$1004</definedName>
    <definedName function="false" hidden="false" name="Sref" vbProcedure="false">Trajecto!$C$14</definedName>
    <definedName function="false" hidden="false" name="sS" vbProcedure="false">Trajecto!$F$132</definedName>
    <definedName function="false" hidden="false" name="S_ail" vbProcedure="false">Controle!$H$64</definedName>
    <definedName function="false" hidden="false" name="S_para" vbProcedure="false">Trajecto!$C$27</definedName>
    <definedName function="false" hidden="false" name="S_para_croix" vbProcedure="false">Trajecto!$B$47</definedName>
    <definedName function="false" hidden="false" name="S_para_rond" vbProcedure="false">Trajecto!$B$55</definedName>
    <definedName function="false" hidden="false" name="S_satellite" vbProcedure="false">Trajecto!$D$27</definedName>
    <definedName function="false" hidden="false" name="t" vbProcedure="false">Calculs!$B$4:$B$1004</definedName>
    <definedName function="false" hidden="false" name="Temps_culmi" vbProcedure="false">Trajecto!$H$26</definedName>
    <definedName function="false" hidden="false" name="Temps_fin_propu" vbProcedure="false">Propu!$X$3</definedName>
    <definedName function="false" hidden="false" name="Trainee" vbProcedure="false">Calculs!$W$4:$W$1004</definedName>
    <definedName function="false" hidden="false" name="tT_fus" vbProcedure="false">Trajecto!$F$133</definedName>
    <definedName function="false" hidden="false" name="tT_sat" vbProcedure="false">Trajecto!$F$150</definedName>
    <definedName function="false" hidden="false" name="Type_fusee" vbProcedure="false">Stabilito!$C$10</definedName>
    <definedName function="false" hidden="false" name="Type_propu" vbProcedure="false">Propu!$V$2</definedName>
    <definedName function="false" hidden="false" name="T_balistique" vbProcedure="false">Trajecto!$H$28</definedName>
    <definedName function="false" hidden="false" name="T_ini" vbProcedure="false">Trajecto!$H$40</definedName>
    <definedName function="false" hidden="false" name="T_para" vbProcedure="false">Trajecto!$C$113</definedName>
    <definedName function="false" hidden="false" name="T_satellite" vbProcedure="false">Trajecto!$D$26</definedName>
    <definedName function="false" hidden="false" name="Vit_culmi" vbProcedure="false">Trajecto!$K$26</definedName>
    <definedName function="false" hidden="false" name="Vit_max" vbProcedure="false">Trajecto!$K$24</definedName>
    <definedName function="false" hidden="false" name="vit_x" vbProcedure="false">Calculs!$G$4:$G$1004</definedName>
    <definedName function="false" hidden="false" name="vit_xz" vbProcedure="false">Calculs!$I$4:$I$1004</definedName>
    <definedName function="false" hidden="false" name="vit_z" vbProcedure="false">Calculs!$H$4:$H$1004</definedName>
    <definedName function="false" hidden="false" name="Vsortie_de_rampe" vbProcedure="false">Trajecto!$K$23</definedName>
    <definedName function="false" hidden="false" name="V_ini" vbProcedure="false">Trajecto!$K$40</definedName>
    <definedName function="false" hidden="false" name="V_ouverture" vbProcedure="false">Trajecto!$K$27</definedName>
    <definedName function="false" hidden="false" name="V_ouv_sat" vbProcedure="false">Trajecto!$K$25</definedName>
    <definedName function="false" hidden="false" name="V_para" vbProcedure="false">Trajecto!$C$30</definedName>
    <definedName function="false" hidden="false" name="V_prop" vbProcedure="false">Abaco!$K$41:$K$67</definedName>
    <definedName function="false" hidden="false" name="V_satellite" vbProcedure="false">Trajecto!$D$30</definedName>
    <definedName function="false" hidden="false" name="V_vent" vbProcedure="false">Trajecto!$C$29</definedName>
    <definedName function="false" hidden="false" name="V_vent_sat" vbProcedure="false">Trajecto!$D$29</definedName>
    <definedName function="false" hidden="false" name="XcgPlein" vbProcedure="false">Stabilito!$M$15</definedName>
    <definedName function="false" hidden="false" name="XcgSans" vbProcedure="false">Stabilito!$P$15</definedName>
    <definedName function="false" hidden="false" name="XcgVide" vbProcedure="false">Stabilito!$N$15</definedName>
    <definedName function="false" hidden="false" name="XCp0" vbProcedure="false">Stabilito!$I$31</definedName>
    <definedName function="false" hidden="false" name="XCpai0" vbProcedure="false">Stabilito!$N$19</definedName>
    <definedName function="false" hidden="false" name="XCpi0" vbProcedure="false">Stabilito!$N$22</definedName>
    <definedName function="false" hidden="false" name="XpropuPlein" vbProcedure="false">Propu!$N$2</definedName>
    <definedName function="false" hidden="false" name="XpropuRef" vbProcedure="false">Stabilito!$C$18</definedName>
    <definedName function="false" hidden="false" name="XpropuVide" vbProcedure="false">Propu!$P$2</definedName>
    <definedName function="false" hidden="false" name="X_ail" vbProcedure="false">Stabilito!$C$33</definedName>
    <definedName function="false" hidden="false" name="X_can" vbProcedure="false">Stabilito!$D$33</definedName>
    <definedName function="false" hidden="false" name="X_culmi" vbProcedure="false">Trajecto!$J$26</definedName>
    <definedName function="false" hidden="false" name="X_ini" vbProcedure="false">Trajecto!$J$40</definedName>
    <definedName function="false" hidden="false" name="X_j" vbProcedure="false">Stabilito!$M$9</definedName>
    <definedName function="false" hidden="false" name="X_para" vbProcedure="false">Trajecto!$J$27</definedName>
    <definedName function="false" hidden="false" name="X_r" vbProcedure="false">Stabilito!$O$9</definedName>
    <definedName function="false" hidden="false" name="X_satellite" vbProcedure="false">Trajecto!$J$25</definedName>
    <definedName function="false" hidden="false" name="zZ_fus" vbProcedure="false">Trajecto!$F$134</definedName>
    <definedName function="false" hidden="false" name="zZ_sat" vbProcedure="false">Trajecto!$F$151</definedName>
    <definedName function="false" hidden="false" name="Z_ini" vbProcedure="false">Trajecto!$I$40</definedName>
    <definedName function="false" hidden="false" localSheetId="0" name="Cnai" vbProcedure="false">Stabilito!$O$19</definedName>
    <definedName function="false" hidden="false" localSheetId="0" name="Cnail" vbProcedure="false">Stabilito!$O$20</definedName>
    <definedName function="false" hidden="false" localSheetId="0" name="Cnc" vbProcedure="false">Stabilito!$O$21</definedName>
    <definedName function="false" hidden="false" localSheetId="0" name="Cni" vbProcedure="false">Stabilito!$O$22</definedName>
    <definedName function="false" hidden="false" localSheetId="0" name="Cnj" vbProcedure="false">Stabilito!$O$23</definedName>
    <definedName function="false" hidden="false" localSheetId="0" name="Cno" vbProcedure="false">Stabilito!$O$18</definedName>
    <definedName function="false" hidden="false" localSheetId="0" name="Cnr" vbProcedure="false">Stabilito!$O$24</definedName>
    <definedName function="false" hidden="false" localSheetId="0" name="CritCnmax" vbProcedure="false">Stabilito!$J$28</definedName>
    <definedName function="false" hidden="false" localSheetId="0" name="CritCnmin" vbProcedure="false">Stabilito!$G$28</definedName>
    <definedName function="false" hidden="false" localSheetId="0" name="CritFinessemax" vbProcedure="false">Stabilito!$J$27</definedName>
    <definedName function="false" hidden="false" localSheetId="0" name="CritFinessemin" vbProcedure="false">Stabilito!$G$27</definedName>
    <definedName function="false" hidden="false" localSheetId="0" name="CritMsCnmax" vbProcedure="false">Stabilito!$J$30</definedName>
    <definedName function="false" hidden="false" localSheetId="0" name="CritMsCnmin" vbProcedure="false">Stabilito!$G$30</definedName>
    <definedName function="false" hidden="false" localSheetId="0" name="CritMsmax" vbProcedure="false">Stabilito!$J$29</definedName>
    <definedName function="false" hidden="false" localSheetId="0" name="CritMsmin" vbProcedure="false">Stabilito!$G$29</definedName>
    <definedName function="false" hidden="false" localSheetId="0" name="D_can" vbProcedure="false">Stabilito!$D$34</definedName>
    <definedName function="false" hidden="false" localSheetId="0" name="D_int" vbProcedure="false">Stabilito!$E$34</definedName>
    <definedName function="false" hidden="false" localSheetId="0" name="ep_int" vbProcedure="false">Stabilito!$E$31</definedName>
    <definedName function="false" hidden="false" localSheetId="0" name="E_int" vbProcedure="false">Stabilito!$E$30</definedName>
    <definedName function="false" hidden="false" localSheetId="0" name="f_ail" vbProcedure="false">Stabilito!$C$35</definedName>
    <definedName function="false" hidden="false" localSheetId="0" name="f_can" vbProcedure="false">Stabilito!$D$35</definedName>
    <definedName function="false" hidden="false" localSheetId="0" name="f_int" vbProcedure="false">Stabilito!$E$35</definedName>
    <definedName function="false" hidden="false" localSheetId="0" name="m_int" vbProcedure="false">Stabilito!$E$27</definedName>
    <definedName function="false" hidden="false" localSheetId="0" name="n_int" vbProcedure="false">Stabilito!$E$28</definedName>
    <definedName function="false" hidden="false" localSheetId="0" name="p_int" vbProcedure="false">Stabilito!$E$29</definedName>
    <definedName function="false" hidden="false" localSheetId="0" name="Q_int" vbProcedure="false">Stabilito!$E$32</definedName>
    <definedName function="false" hidden="false" localSheetId="0" name="Type_masquage" vbProcedure="false">Stabilito!$C$26</definedName>
    <definedName function="false" hidden="false" localSheetId="0" name="Version" vbProcedure="false">Stabilito!$Q$36</definedName>
    <definedName function="false" hidden="false" localSheetId="0" name="XCp" vbProcedure="false">Stabilito!$H$31</definedName>
    <definedName function="false" hidden="false" localSheetId="0" name="XCpa" vbProcedure="false">Stabilito!$M$20</definedName>
    <definedName function="false" hidden="false" localSheetId="0" name="XCpai" vbProcedure="false">Stabilito!$M$19</definedName>
    <definedName function="false" hidden="false" localSheetId="0" name="XCpc" vbProcedure="false">Stabilito!$M$21</definedName>
    <definedName function="false" hidden="false" localSheetId="0" name="XCpi" vbProcedure="false">Stabilito!$M$22</definedName>
    <definedName function="false" hidden="false" localSheetId="0" name="XCpj" vbProcedure="false">Stabilito!$M$23</definedName>
    <definedName function="false" hidden="false" localSheetId="0" name="XCpo" vbProcedure="false">Stabilito!$M$18</definedName>
    <definedName function="false" hidden="false" localSheetId="0" name="XCpr" vbProcedure="false">Stabilito!$M$24</definedName>
    <definedName function="false" hidden="false" localSheetId="0" name="X_int" vbProcedure="false">Stabilito!$E$33</definedName>
    <definedName function="false" hidden="false" localSheetId="1" name="Version" vbProcedure="false">Trajecto!$N$35</definedName>
    <definedName function="false" hidden="false" localSheetId="5" name="Type_masquage" vbProcedure="false">Stabilito!$C$26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2" authorId="0">
      <text>
        <r>
          <rPr>
            <sz val="10"/>
            <rFont val="Arial"/>
            <family val="2"/>
            <charset val="1"/>
          </rPr>
          <t xml:space="preserve">Position du </t>
        </r>
        <r>
          <rPr>
            <b val="true"/>
            <sz val="8"/>
            <color rgb="FF000000"/>
            <rFont val="Tahoma"/>
            <family val="2"/>
            <charset val="1"/>
          </rPr>
          <t xml:space="preserve">Centre de Masse</t>
        </r>
        <r>
          <rPr>
            <sz val="8"/>
            <color rgb="FF000000"/>
            <rFont val="Tahoma"/>
            <family val="2"/>
            <charset val="1"/>
          </rPr>
          <t xml:space="preserve"> (CdG) par rapport à la pointe de l'ogive,
à mesurer ou estimer sur votre fusée.
</t>
        </r>
        <r>
          <rPr>
            <i val="true"/>
            <sz val="8"/>
            <color rgb="FF000000"/>
            <rFont val="Tahoma"/>
            <family val="2"/>
            <charset val="1"/>
          </rPr>
          <t xml:space="preserve">Position of Center of Mass (CoG) from the top of the nose cone.</t>
        </r>
      </text>
    </comment>
    <comment ref="B13" authorId="0">
      <text>
        <r>
          <rPr>
            <sz val="10"/>
            <rFont val="Arial"/>
            <family val="2"/>
            <charset val="1"/>
          </rPr>
          <t xml:space="preserve">Longueur totale du fuselage avec l'ogive,
hors propu hors antenne hors ailerons.
</t>
        </r>
        <r>
          <rPr>
            <i val="true"/>
            <sz val="8"/>
            <color rgb="FF000000"/>
            <rFont val="Tahoma"/>
            <family val="2"/>
            <charset val="1"/>
          </rPr>
          <t xml:space="preserve">Total length of the body including nose cone.</t>
        </r>
      </text>
    </comment>
    <comment ref="B14" authorId="0">
      <text>
        <r>
          <rPr>
            <sz val="10"/>
            <rFont val="Arial"/>
            <family val="2"/>
            <charset val="1"/>
          </rPr>
          <t xml:space="preserve">Diamètre de référence, utilisé pour calculer : Cnα, Finesse, Marge Statique.
Par défaut D_réf = D_ogive ; on peux écraser avec le diamètre "principal".
</t>
        </r>
        <r>
          <rPr>
            <i val="true"/>
            <sz val="8"/>
            <color rgb="FF000000"/>
            <rFont val="Tahoma"/>
            <family val="2"/>
            <charset val="1"/>
          </rPr>
          <t xml:space="preserve">Reference Diameter, used to compute: Cnα, Finesse, Static Margin.
By default D_ref = D_ogive ; one can overwrtie with the "main" diameter.</t>
        </r>
      </text>
    </comment>
    <comment ref="B18"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B23" authorId="0">
      <text>
        <r>
          <rPr>
            <sz val="10"/>
            <rFont val="Arial"/>
            <family val="2"/>
            <charset val="1"/>
          </rPr>
          <t xml:space="preserve">Diamètre à la base de l'ogive.
</t>
        </r>
        <r>
          <rPr>
            <i val="true"/>
            <sz val="8"/>
            <color rgb="FF000000"/>
            <rFont val="Tahoma"/>
            <family val="2"/>
            <charset val="1"/>
          </rPr>
          <t xml:space="preserve">Diameter at the basement of the nose cone.</t>
        </r>
      </text>
    </comment>
    <comment ref="B27"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B28" authorId="0">
      <text>
        <r>
          <rPr>
            <sz val="10"/>
            <rFont val="Arial"/>
            <family val="2"/>
            <charset val="1"/>
          </rPr>
          <t xml:space="preserve">Longueur du </t>
        </r>
        <r>
          <rPr>
            <b val="true"/>
            <sz val="8"/>
            <color rgb="FF000000"/>
            <rFont val="Tahoma"/>
            <family val="2"/>
            <charset val="1"/>
          </rPr>
          <t xml:space="preserve">saumo</t>
        </r>
        <r>
          <rPr>
            <b val="true"/>
            <u val="single"/>
            <sz val="8"/>
            <color rgb="FF000000"/>
            <rFont val="Tahoma"/>
            <family val="2"/>
            <charset val="1"/>
          </rPr>
          <t xml:space="preserve">n</t>
        </r>
        <r>
          <rPr>
            <sz val="8"/>
            <color rgb="FF000000"/>
            <rFont val="Tahoma"/>
            <family val="2"/>
            <charset val="1"/>
          </rPr>
          <t xml:space="preserve"> d'un aileron.
</t>
        </r>
        <r>
          <rPr>
            <i val="true"/>
            <sz val="8"/>
            <color rgb="FF000000"/>
            <rFont val="Tahoma"/>
            <family val="2"/>
            <charset val="1"/>
          </rPr>
          <t xml:space="preserve">Tip edge length of one fin.</t>
        </r>
      </text>
    </comment>
    <comment ref="B29" authorId="0">
      <text>
        <r>
          <rPr>
            <sz val="10"/>
            <rFont val="Arial"/>
            <family val="2"/>
            <charset val="1"/>
          </rPr>
          <t xml:space="preserve">Flèche</t>
        </r>
        <r>
          <rPr>
            <sz val="8"/>
            <color rgb="FF000000"/>
            <rFont val="Tahoma"/>
            <family val="2"/>
            <charset val="1"/>
          </rPr>
          <t xml:space="preserve"> du bord d'attaque (négatif si besoin).
</t>
        </r>
        <r>
          <rPr>
            <i val="true"/>
            <sz val="8"/>
            <color rgb="FF000000"/>
            <rFont val="Tahoma"/>
            <family val="2"/>
            <charset val="1"/>
          </rPr>
          <t xml:space="preserve">Offset of the Leading edge.</t>
        </r>
      </text>
    </comment>
    <comment ref="B30" authorId="0">
      <text>
        <r>
          <rPr>
            <sz val="10"/>
            <rFont val="Arial"/>
            <family val="2"/>
            <charset val="1"/>
          </rPr>
          <t xml:space="preserve">E</t>
        </r>
        <r>
          <rPr>
            <b val="true"/>
            <sz val="8"/>
            <color rgb="FF000000"/>
            <rFont val="Tahoma"/>
            <family val="2"/>
            <charset val="1"/>
          </rPr>
          <t xml:space="preserve">nvergure</t>
        </r>
        <r>
          <rPr>
            <sz val="8"/>
            <color rgb="FF000000"/>
            <rFont val="Tahoma"/>
            <family val="2"/>
            <charset val="1"/>
          </rPr>
          <t xml:space="preserve"> d'un aileron.
</t>
        </r>
        <r>
          <rPr>
            <i val="true"/>
            <sz val="8"/>
            <color rgb="FF000000"/>
            <rFont val="Tahoma"/>
            <family val="2"/>
            <charset val="1"/>
          </rPr>
          <t xml:space="preserve">Span of one fin.</t>
        </r>
      </text>
    </comment>
    <comment ref="B33"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 ref="B34" authorId="0">
      <text>
        <r>
          <rPr>
            <sz val="10"/>
            <rFont val="Arial"/>
            <family val="2"/>
            <charset val="1"/>
          </rPr>
          <t xml:space="preserve">Diamètre du fuselage au niveau des ailerons.
</t>
        </r>
        <r>
          <rPr>
            <i val="true"/>
            <sz val="8"/>
            <color rgb="FF000000"/>
            <rFont val="Tahoma"/>
            <family val="2"/>
            <charset val="1"/>
          </rPr>
          <t xml:space="preserve">Diameter of the body at the level of the fins.</t>
        </r>
      </text>
    </comment>
    <comment ref="E25" authorId="0">
      <text>
        <r>
          <rPr>
            <sz val="10"/>
            <rFont val="Arial"/>
            <family val="2"/>
            <charset val="1"/>
          </rPr>
          <t xml:space="preserve">Les parties masquées des ailerons du bas sont représentées 
sur le schéma de la fusée par des </t>
        </r>
        <r>
          <rPr>
            <sz val="8"/>
            <color rgb="FFFF0000"/>
            <rFont val="Tahoma"/>
            <family val="2"/>
            <charset val="1"/>
          </rPr>
          <t xml:space="preserve">zones en rouge</t>
        </r>
        <r>
          <rPr>
            <sz val="8"/>
            <color rgb="FF000000"/>
            <rFont val="Tahoma"/>
            <family val="2"/>
            <charset val="1"/>
          </rPr>
          <t xml:space="preserve">.
Ce sont les parties situées juste en dessous des ailerons du haut.
</t>
        </r>
        <r>
          <rPr>
            <i val="true"/>
            <sz val="8"/>
            <color rgb="FF000000"/>
            <rFont val="Tahoma"/>
            <family val="2"/>
            <charset val="1"/>
          </rPr>
          <t xml:space="preserve">The fin-fin interaction zone is located just below the upper fins,
shown in </t>
        </r>
        <r>
          <rPr>
            <i val="true"/>
            <sz val="8"/>
            <color rgb="FFFF0000"/>
            <rFont val="Tahoma"/>
            <family val="2"/>
            <charset val="1"/>
          </rPr>
          <t xml:space="preserve">red</t>
        </r>
        <r>
          <rPr>
            <i val="true"/>
            <sz val="8"/>
            <color rgb="FF000000"/>
            <rFont val="Tahoma"/>
            <family val="2"/>
            <charset val="1"/>
          </rPr>
          <t xml:space="preserve"> in the Rocket schematic.</t>
        </r>
      </text>
    </comment>
    <comment ref="F27" authorId="0">
      <text>
        <r>
          <rPr>
            <sz val="10"/>
            <rFont val="Arial"/>
            <family val="2"/>
            <charset val="1"/>
          </rPr>
          <t xml:space="preserve">La </t>
        </r>
        <r>
          <rPr>
            <b val="true"/>
            <sz val="8"/>
            <color rgb="FF000000"/>
            <rFont val="Tahoma"/>
            <family val="2"/>
            <charset val="1"/>
          </rPr>
          <t xml:space="preserve">Finesse</t>
        </r>
        <r>
          <rPr>
            <sz val="8"/>
            <color rgb="FF000000"/>
            <rFont val="Tahoma"/>
            <family val="2"/>
            <charset val="1"/>
          </rPr>
          <t xml:space="preserve"> représente l'allongement de la fusée, rapport Longueur/Diamètre.
</t>
        </r>
        <r>
          <rPr>
            <i val="true"/>
            <sz val="8"/>
            <color rgb="FF000000"/>
            <rFont val="Tahoma"/>
            <family val="2"/>
            <charset val="1"/>
          </rPr>
          <t xml:space="preserve">Finesse represents the relative length of the rocket. Finesse = L/D</t>
        </r>
      </text>
    </comment>
    <comment ref="F28" authorId="0">
      <text>
        <r>
          <rPr>
            <sz val="10"/>
            <rFont val="Arial"/>
            <family val="2"/>
            <charset val="1"/>
          </rPr>
          <t xml:space="preserve">Le gradient de </t>
        </r>
        <r>
          <rPr>
            <b val="true"/>
            <sz val="8"/>
            <color rgb="FF800000"/>
            <rFont val="Tahoma"/>
            <family val="2"/>
            <charset val="1"/>
          </rPr>
          <t xml:space="preserve">Portance</t>
        </r>
        <r>
          <rPr>
            <sz val="8"/>
            <color rgb="FF000000"/>
            <rFont val="Tahoma"/>
            <family val="2"/>
            <charset val="1"/>
          </rPr>
          <t xml:space="preserve"> Cnα indique l'efficacité des ailerons.
Pour l'augmenter, il faut augmenter la taille des ailerons, et inversement.
</t>
        </r>
        <r>
          <rPr>
            <i val="true"/>
            <sz val="8"/>
            <color rgb="FF800000"/>
            <rFont val="Tahoma"/>
            <family val="2"/>
            <charset val="1"/>
          </rPr>
          <t xml:space="preserve">Lift</t>
        </r>
        <r>
          <rPr>
            <i val="true"/>
            <sz val="8"/>
            <color rgb="FF000000"/>
            <rFont val="Tahoma"/>
            <family val="2"/>
            <charset val="1"/>
          </rPr>
          <t xml:space="preserve"> gradient, Cnα, represents the fins efficiency. 
To increase it, one must increase the size of the fins, and conversely.</t>
        </r>
      </text>
    </comment>
    <comment ref="F29" authorId="0">
      <text>
        <r>
          <rPr>
            <sz val="10"/>
            <rFont val="Arial"/>
            <family val="2"/>
            <charset val="1"/>
          </rPr>
          <t xml:space="preserve">La </t>
        </r>
        <r>
          <rPr>
            <b val="true"/>
            <sz val="8"/>
            <color rgb="FF000000"/>
            <rFont val="Tahoma"/>
            <family val="2"/>
            <charset val="1"/>
          </rPr>
          <t xml:space="preserve">Marge Statique</t>
        </r>
        <r>
          <rPr>
            <sz val="8"/>
            <color rgb="FF000000"/>
            <rFont val="Tahoma"/>
            <family val="2"/>
            <charset val="1"/>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val="true"/>
            <sz val="8"/>
            <color rgb="FF000000"/>
            <rFont val="Tahoma"/>
            <family val="2"/>
            <charset val="1"/>
          </rPr>
          <t xml:space="preserve">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F30" authorId="0">
      <text>
        <r>
          <rPr>
            <sz val="10"/>
            <rFont val="Arial"/>
            <family val="2"/>
            <charset val="1"/>
          </rPr>
          <t xml:space="preserve">Le </t>
        </r>
        <r>
          <rPr>
            <b val="true"/>
            <sz val="8"/>
            <color rgb="FF000000"/>
            <rFont val="Tahoma"/>
            <family val="2"/>
            <charset val="1"/>
          </rPr>
          <t xml:space="preserve">produit</t>
        </r>
        <r>
          <rPr>
            <sz val="8"/>
            <color rgb="FF000000"/>
            <rFont val="Tahoma"/>
            <family val="2"/>
            <charset val="1"/>
          </rPr>
          <t xml:space="preserve"> MS*Cnα représente le </t>
        </r>
        <r>
          <rPr>
            <b val="true"/>
            <sz val="8"/>
            <color rgb="FF000000"/>
            <rFont val="Tahoma"/>
            <family val="2"/>
            <charset val="1"/>
          </rPr>
          <t xml:space="preserve">couple</t>
        </r>
        <r>
          <rPr>
            <sz val="8"/>
            <color rgb="FF000000"/>
            <rFont val="Tahoma"/>
            <family val="2"/>
            <charset val="1"/>
          </rPr>
          <t xml:space="preserve"> de rappel de la Portance.
Pour augmenter le produit, il faut augmenter la MS et/ou le Cnα, et inversement.
</t>
        </r>
        <r>
          <rPr>
            <i val="true"/>
            <sz val="8"/>
            <color rgb="FF000000"/>
            <rFont val="Tahoma"/>
            <family val="2"/>
            <charset val="1"/>
          </rPr>
          <t xml:space="preserve">The product MS*Cnα represents the lift torque.
To increase it, one must increase the Static Margin and/or the Cnα, and conversely.</t>
        </r>
      </text>
    </comment>
    <comment ref="F31" authorId="0">
      <text>
        <r>
          <rPr>
            <sz val="10"/>
            <rFont val="Arial"/>
            <family val="2"/>
            <charset val="1"/>
          </rPr>
          <t xml:space="preserve">Le Xcp est la </t>
        </r>
        <r>
          <rPr>
            <b val="true"/>
            <sz val="8"/>
            <color rgb="FF800000"/>
            <rFont val="Tahoma"/>
            <family val="2"/>
            <charset val="1"/>
          </rPr>
          <t xml:space="preserve">position du Centre de Poussée Aérodynamique</t>
        </r>
        <r>
          <rPr>
            <sz val="8"/>
            <color rgb="FF000000"/>
            <rFont val="Tahoma"/>
            <family val="2"/>
            <charset val="1"/>
          </rPr>
          <t xml:space="preserve"> (CPA), 
aussi appelé Centre de Pression (CP), Centre Latéral de Poussée (CLP), 
ou Foyer, exprimée par rapport à la pointe de l'ogive.
</t>
        </r>
        <r>
          <rPr>
            <i val="true"/>
            <sz val="8"/>
            <color rgb="FF000000"/>
            <rFont val="Tahoma"/>
            <family val="2"/>
            <charset val="1"/>
          </rPr>
          <t xml:space="preserve">Xcp is the location of the Aerodynamics Center of Pressure, 
measured from the tip of the nose cone.</t>
        </r>
      </text>
    </comment>
    <comment ref="F32" authorId="0">
      <text>
        <r>
          <rPr>
            <sz val="10"/>
            <rFont val="Arial"/>
            <family val="2"/>
            <charset val="1"/>
          </rPr>
          <t xml:space="preserve">Cette Marge Statique est la distance entre le Centre de Masse et le Centre de Pression, 
exprimée en </t>
        </r>
        <r>
          <rPr>
            <b val="true"/>
            <sz val="8"/>
            <color rgb="FF000000"/>
            <rFont val="Tahoma"/>
            <family val="2"/>
            <charset val="1"/>
          </rPr>
          <t xml:space="preserve">% de la Longueur</t>
        </r>
        <r>
          <rPr>
            <sz val="8"/>
            <color rgb="FF000000"/>
            <rFont val="Tahoma"/>
            <family val="2"/>
            <charset val="1"/>
          </rPr>
          <t xml:space="preserve"> de la fusée, pour une fusée avec propulseur plein puis vide.
</t>
        </r>
        <r>
          <rPr>
            <i val="true"/>
            <sz val="8"/>
            <color rgb="FF000000"/>
            <rFont val="Tahoma"/>
            <family val="2"/>
            <charset val="1"/>
          </rPr>
          <t xml:space="preserve">This Static Margin is the distance between the Center of Mass and the Center of Pressure, 
measured in % of rocket length, for a rocket with loaded motor, then empty motor.</t>
        </r>
      </text>
    </comment>
    <comment ref="L6" authorId="0">
      <text>
        <r>
          <rPr>
            <sz val="10"/>
            <rFont val="Arial"/>
            <family val="2"/>
            <charset val="1"/>
          </rPr>
          <t xml:space="preserve">Hauteur</t>
        </r>
        <r>
          <rPr>
            <sz val="8"/>
            <color rgb="FF000000"/>
            <rFont val="Tahoma"/>
            <family val="2"/>
            <charset val="1"/>
          </rPr>
          <t xml:space="preserve"> du changement de diamètre (cf. schéma sur fond bleu).
</t>
        </r>
        <r>
          <rPr>
            <i val="true"/>
            <sz val="8"/>
            <color rgb="FF000000"/>
            <rFont val="Tahoma"/>
            <family val="2"/>
            <charset val="1"/>
          </rPr>
          <t xml:space="preserve">Height of the tronconical transition (cf. blue schematic).</t>
        </r>
      </text>
    </comment>
    <comment ref="L7" authorId="0">
      <text>
        <r>
          <rPr>
            <sz val="10"/>
            <rFont val="Arial"/>
            <family val="2"/>
            <charset val="1"/>
          </rPr>
          <t xml:space="preserve">Diamètre de la partie située </t>
        </r>
        <r>
          <rPr>
            <b val="true"/>
            <sz val="8"/>
            <color rgb="FF000000"/>
            <rFont val="Tahoma"/>
            <family val="2"/>
            <charset val="1"/>
          </rPr>
          <t xml:space="preserve">au dessus</t>
        </r>
        <r>
          <rPr>
            <sz val="8"/>
            <color rgb="FF000000"/>
            <rFont val="Tahoma"/>
            <family val="2"/>
            <charset val="1"/>
          </rPr>
          <t xml:space="preserve"> du changement de diamètre.
</t>
        </r>
        <r>
          <rPr>
            <i val="true"/>
            <sz val="8"/>
            <color rgb="FF000000"/>
            <rFont val="Tahoma"/>
            <family val="2"/>
            <charset val="1"/>
          </rPr>
          <t xml:space="preserve">Upper Diameter (cf. blue schematic).</t>
        </r>
      </text>
    </comment>
    <comment ref="L8" authorId="0">
      <text>
        <r>
          <rPr>
            <sz val="10"/>
            <rFont val="Arial"/>
            <family val="2"/>
            <charset val="1"/>
          </rPr>
          <t xml:space="preserve">Diamètre de la partie située </t>
        </r>
        <r>
          <rPr>
            <b val="true"/>
            <sz val="8"/>
            <color rgb="FF000000"/>
            <rFont val="Tahoma"/>
            <family val="2"/>
            <charset val="1"/>
          </rPr>
          <t xml:space="preserve">en dessous</t>
        </r>
        <r>
          <rPr>
            <sz val="8"/>
            <color rgb="FF000000"/>
            <rFont val="Tahoma"/>
            <family val="2"/>
            <charset val="1"/>
          </rPr>
          <t xml:space="preserve"> du changement de diamètre.
</t>
        </r>
        <r>
          <rPr>
            <i val="true"/>
            <sz val="8"/>
            <color rgb="FF000000"/>
            <rFont val="Tahoma"/>
            <family val="2"/>
            <charset val="1"/>
          </rPr>
          <t xml:space="preserve">Lower Diameter (cf. blue schematic).</t>
        </r>
      </text>
    </comment>
    <comment ref="L9" authorId="0">
      <text>
        <r>
          <rPr>
            <sz val="10"/>
            <rFont val="Arial"/>
            <family val="2"/>
            <charset val="1"/>
          </rPr>
          <t xml:space="preserve">Distance entre la pointe de l'ogive et le haut du changement de diamètre.
</t>
        </r>
        <r>
          <rPr>
            <i val="true"/>
            <sz val="8"/>
            <color rgb="FF000000"/>
            <rFont val="Tahoma"/>
            <family val="2"/>
            <charset val="1"/>
          </rPr>
          <t xml:space="preserve">Distance betwenn the tip of the nose cone and the top of the skirt/shrink.</t>
        </r>
      </text>
    </comment>
    <comment ref="L13" authorId="0">
      <text>
        <r>
          <rPr>
            <sz val="10"/>
            <rFont val="Arial"/>
            <family val="2"/>
            <charset val="1"/>
          </rPr>
          <t xml:space="preserve">Centre de Masse du propulseur par rapport au haut du propulseur.
</t>
        </r>
        <r>
          <rPr>
            <i val="true"/>
            <sz val="8"/>
            <color rgb="FF000000"/>
            <rFont val="Tahoma"/>
            <family val="2"/>
            <charset val="1"/>
          </rPr>
          <t xml:space="preserve">Motor Center of Mass, mesured from top of motor.</t>
        </r>
      </text>
    </comment>
    <comment ref="L15" authorId="0">
      <text>
        <r>
          <rPr>
            <sz val="10"/>
            <rFont val="Arial"/>
            <family val="2"/>
            <charset val="1"/>
          </rPr>
          <t xml:space="preserve">Les positions des </t>
        </r>
        <r>
          <rPr>
            <sz val="8"/>
            <color rgb="FF0000FF"/>
            <rFont val="Tahoma"/>
            <family val="2"/>
            <charset val="1"/>
          </rPr>
          <t xml:space="preserve">Centres de Masse</t>
        </r>
        <r>
          <rPr>
            <sz val="8"/>
            <color rgb="FF000000"/>
            <rFont val="Tahoma"/>
            <family val="2"/>
            <charset val="1"/>
          </rPr>
          <t xml:space="preserve"> de la fusée avec propulseur plein et vide
sont représentées sur le schéma de la fusée par un </t>
        </r>
        <r>
          <rPr>
            <sz val="8"/>
            <color rgb="FF0000FF"/>
            <rFont val="Tahoma"/>
            <family val="2"/>
            <charset val="1"/>
          </rPr>
          <t xml:space="preserve">segment vertical bleu</t>
        </r>
        <r>
          <rPr>
            <sz val="8"/>
            <color rgb="FF000000"/>
            <rFont val="Tahoma"/>
            <family val="2"/>
            <charset val="1"/>
          </rPr>
          <t xml:space="preserve">.
</t>
        </r>
        <r>
          <rPr>
            <i val="true"/>
            <sz val="8"/>
            <color rgb="FF000000"/>
            <rFont val="Tahoma"/>
            <family val="2"/>
            <charset val="1"/>
          </rPr>
          <t xml:space="preserve">Rocket Center of Mass are shown whith a </t>
        </r>
        <r>
          <rPr>
            <i val="true"/>
            <sz val="8"/>
            <color rgb="FF0000FF"/>
            <rFont val="Tahoma"/>
            <family val="2"/>
            <charset val="1"/>
          </rPr>
          <t xml:space="preserve">blue segment</t>
        </r>
        <r>
          <rPr>
            <i val="true"/>
            <sz val="8"/>
            <color rgb="FF000000"/>
            <rFont val="Tahoma"/>
            <family val="2"/>
            <charset val="1"/>
          </rPr>
          <t xml:space="preserve"> in Rocket schematic.</t>
        </r>
      </text>
    </comment>
    <comment ref="M5" authorId="0">
      <text>
        <r>
          <rPr>
            <sz val="10"/>
            <rFont val="Arial"/>
            <family val="2"/>
            <charset val="1"/>
          </rPr>
          <t xml:space="preserve">Définir les propriétés du 1er changement de diamètre.
Laisser cette colonne vide si la fusée n'a pas de Jupe ou Rétreint.
</t>
        </r>
        <r>
          <rPr>
            <i val="true"/>
            <sz val="8"/>
            <color rgb="FF000000"/>
            <rFont val="Tahoma"/>
            <family val="2"/>
            <charset val="1"/>
          </rPr>
          <t xml:space="preserve">Set properties of the 1st diameter transition.
Leave this column blank if no skirt/shrink on the rocket.</t>
        </r>
      </text>
    </comment>
    <comment ref="O5" authorId="0">
      <text>
        <r>
          <rPr>
            <sz val="10"/>
            <rFont val="Arial"/>
            <family val="2"/>
            <charset val="1"/>
          </rPr>
          <t xml:space="preserve">Définir les propriétés du 2e changement de diamètre.
Laisser cette colonne vide si la fusée n'a pas de 2e Jupe ou Rétreint.
</t>
        </r>
        <r>
          <rPr>
            <i val="true"/>
            <sz val="8"/>
            <color rgb="FF000000"/>
            <rFont val="Tahoma"/>
            <family val="2"/>
            <charset val="1"/>
          </rPr>
          <t xml:space="preserve">Set properties of the 2nd diameter transition.
Leave this column blank if no 2nd skirt/shrink on the rocket.</t>
        </r>
      </text>
    </comment>
    <comment ref="S12" authorId="0">
      <text>
        <r>
          <rPr>
            <sz val="10"/>
            <rFont val="Arial"/>
            <family val="2"/>
            <charset val="1"/>
          </rPr>
          <t xml:space="preserve">Distance entre la pointe de l'ogive et le </t>
        </r>
        <r>
          <rPr>
            <b val="true"/>
            <sz val="8"/>
            <color rgb="FF000000"/>
            <rFont val="Tahoma"/>
            <family val="2"/>
            <charset val="1"/>
          </rPr>
          <t xml:space="preserve">haut</t>
        </r>
        <r>
          <rPr>
            <sz val="8"/>
            <color rgb="FF000000"/>
            <rFont val="Tahoma"/>
            <family val="2"/>
            <charset val="1"/>
          </rPr>
          <t xml:space="preserve"> du propulseur (hors ergot).
</t>
        </r>
        <r>
          <rPr>
            <i val="true"/>
            <sz val="8"/>
            <color rgb="FF000000"/>
            <rFont val="Tahoma"/>
            <family val="2"/>
            <charset val="1"/>
          </rPr>
          <t xml:space="preserve">Distance between the tip of the nose cone and the </t>
        </r>
        <r>
          <rPr>
            <b val="true"/>
            <i val="true"/>
            <sz val="8"/>
            <color rgb="FF000000"/>
            <rFont val="Tahoma"/>
            <family val="2"/>
            <charset val="1"/>
          </rPr>
          <t xml:space="preserve">top </t>
        </r>
        <r>
          <rPr>
            <i val="true"/>
            <sz val="8"/>
            <color rgb="FF000000"/>
            <rFont val="Tahoma"/>
            <family val="2"/>
            <charset val="1"/>
          </rPr>
          <t xml:space="preserve">of the motor.</t>
        </r>
      </text>
    </comment>
    <comment ref="S14"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S17" authorId="0">
      <text>
        <r>
          <rPr>
            <sz val="10"/>
            <rFont val="Arial"/>
            <family val="2"/>
            <charset val="1"/>
          </rPr>
          <t xml:space="preserve">Distance entre la pointe de l'ogive et le point </t>
        </r>
        <r>
          <rPr>
            <b val="true"/>
            <sz val="8"/>
            <color rgb="FF000000"/>
            <rFont val="Tahoma"/>
            <family val="2"/>
            <charset val="1"/>
          </rPr>
          <t xml:space="preserve">supérieur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upper</t>
        </r>
        <r>
          <rPr>
            <i val="true"/>
            <sz val="8"/>
            <color rgb="FF000000"/>
            <rFont val="Tahoma"/>
            <family val="2"/>
            <charset val="1"/>
          </rPr>
          <t xml:space="preserve"> point of fins attachment on the rocket.</t>
        </r>
      </text>
    </comment>
    <comment ref="S18"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S19"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au décollage, à changer dans la feuille Stabilito,
ou à l'aide des boutons (revérifiez alors la stabilité).
</t>
        </r>
        <r>
          <rPr>
            <i val="true"/>
            <sz val="8"/>
            <color rgb="FF000000"/>
            <rFont val="Tahoma"/>
            <family val="2"/>
            <charset val="1"/>
          </rPr>
          <t xml:space="preserve">Lift-Off mass, to be changed in Stabilito sheet,
or with the buttons (then recheck stability).</t>
        </r>
      </text>
    </comment>
    <comment ref="B11"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4" authorId="0">
      <text>
        <r>
          <rPr>
            <sz val="10"/>
            <rFont val="Arial"/>
            <family val="2"/>
            <charset val="1"/>
          </rPr>
          <t xml:space="preserve">La Surface de Référence utilisée pour le calcul de la Traînée est la surface projetée dans l'axe de la fusée. Ce </t>
        </r>
        <r>
          <rPr>
            <b val="true"/>
            <sz val="8"/>
            <color rgb="FF000000"/>
            <rFont val="Tahoma"/>
            <family val="2"/>
            <charset val="1"/>
          </rPr>
          <t xml:space="preserve">Maître Couple</t>
        </r>
        <r>
          <rPr>
            <sz val="8"/>
            <color rgb="FF000000"/>
            <rFont val="Tahoma"/>
            <family val="2"/>
            <charset val="1"/>
          </rPr>
          <t xml:space="preserve"> inclut donc l'épaisseur des ailerons.
</t>
        </r>
        <r>
          <rPr>
            <i val="true"/>
            <sz val="8"/>
            <color rgb="FF000000"/>
            <rFont val="Tahoma"/>
            <family val="2"/>
            <charset val="1"/>
          </rPr>
          <t xml:space="preserve">Reference Surface used to compute the Drag. It includes Fin thickness.</t>
        </r>
      </text>
    </comment>
    <comment ref="B15"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 ref="B18" authorId="0">
      <text>
        <r>
          <rPr>
            <sz val="10"/>
            <rFont val="Arial"/>
            <family val="2"/>
            <charset val="1"/>
          </rPr>
          <t xml:space="preserve">Longueur de la rampe de lancement.
</t>
        </r>
        <r>
          <rPr>
            <i val="true"/>
            <sz val="8"/>
            <color rgb="FF000000"/>
            <rFont val="Tahoma"/>
            <family val="2"/>
            <charset val="1"/>
          </rPr>
          <t xml:space="preserve">                                          Length of the launch pad.
</t>
        </r>
        <r>
          <rPr>
            <sz val="8"/>
            <color rgb="FF000000"/>
            <rFont val="Tahoma"/>
            <family val="2"/>
            <charset val="1"/>
          </rPr>
          <t xml:space="preserve">Valeurs courantes :                  </t>
        </r>
        <r>
          <rPr>
            <i val="true"/>
            <sz val="8"/>
            <color rgb="FF000000"/>
            <rFont val="Tahoma"/>
            <family val="2"/>
            <charset val="1"/>
          </rPr>
          <t xml:space="preserve">Average values :
</t>
        </r>
        <r>
          <rPr>
            <sz val="8"/>
            <color rgb="FF000000"/>
            <rFont val="Tahoma"/>
            <family val="2"/>
            <charset val="1"/>
          </rPr>
          <t xml:space="preserve">MicroFusée                  : 1m  :    </t>
        </r>
        <r>
          <rPr>
            <i val="true"/>
            <sz val="8"/>
            <color rgb="FF000000"/>
            <rFont val="Tahoma"/>
            <family val="2"/>
            <charset val="1"/>
          </rPr>
          <t xml:space="preserve">Micro-rocket
</t>
        </r>
        <r>
          <rPr>
            <sz val="8"/>
            <color rgb="FF000000"/>
            <rFont val="Tahoma"/>
            <family val="2"/>
            <charset val="1"/>
          </rPr>
          <t xml:space="preserve">MiniFusée                    : 2m5:   </t>
        </r>
        <r>
          <rPr>
            <i val="true"/>
            <sz val="8"/>
            <color rgb="FF000000"/>
            <rFont val="Tahoma"/>
            <family val="2"/>
            <charset val="1"/>
          </rPr>
          <t xml:space="preserve"> Mini-rocket
Rocketry Challenge    </t>
        </r>
        <r>
          <rPr>
            <sz val="8"/>
            <color rgb="FF000000"/>
            <rFont val="Tahoma"/>
            <family val="2"/>
            <charset val="1"/>
          </rPr>
          <t xml:space="preserve">: 3m
Fusée Expérimentale  : 4m  :   </t>
        </r>
        <r>
          <rPr>
            <i val="true"/>
            <sz val="8"/>
            <color rgb="FF000000"/>
            <rFont val="Tahoma"/>
            <family val="2"/>
            <charset val="1"/>
          </rPr>
          <t xml:space="preserve">Experimental Rocket</t>
        </r>
      </text>
    </comment>
    <comment ref="B19" authorId="0">
      <text>
        <r>
          <rPr>
            <sz val="10"/>
            <rFont val="Arial"/>
            <family val="2"/>
            <charset val="1"/>
          </rPr>
          <t xml:space="preserve">Elévation de la rampe, angle par rapport à l'horizontale, "site" de la rampe, par défaut cet angle est à 80°.
</t>
        </r>
        <r>
          <rPr>
            <i val="true"/>
            <sz val="8"/>
            <color rgb="FF000000"/>
            <rFont val="Tahoma"/>
            <family val="2"/>
            <charset val="1"/>
          </rPr>
          <t xml:space="preserve">Angle of the lauch pad versus horizontal.</t>
        </r>
      </text>
    </comment>
    <comment ref="B20" authorId="0">
      <text>
        <r>
          <rPr>
            <sz val="10"/>
            <rFont val="Arial"/>
            <family val="2"/>
            <charset val="1"/>
          </rPr>
          <t xml:space="preserve">L'Altitude de la rampe est utilisée pour calculer la densité de l'air.
</t>
        </r>
        <r>
          <rPr>
            <i val="true"/>
            <sz val="8"/>
            <color rgb="FF000000"/>
            <rFont val="Tahoma"/>
            <family val="2"/>
            <charset val="1"/>
          </rPr>
          <t xml:space="preserve">Launch Pad Altitude is used to compute the air density.</t>
        </r>
      </text>
    </comment>
    <comment ref="B28" authorId="0">
      <text>
        <r>
          <rPr>
            <sz val="10"/>
            <rFont val="Arial"/>
            <family val="2"/>
            <charset val="1"/>
          </rPr>
          <t xml:space="preserve">Le Coefficient de Traînée </t>
        </r>
        <r>
          <rPr>
            <b val="true"/>
            <sz val="8"/>
            <color rgb="FF000000"/>
            <rFont val="Tahoma"/>
            <family val="2"/>
            <charset val="1"/>
          </rPr>
          <t xml:space="preserve">Cx</t>
        </r>
        <r>
          <rPr>
            <sz val="8"/>
            <color rgb="FF000000"/>
            <rFont val="Tahoma"/>
            <family val="2"/>
            <charset val="1"/>
          </rPr>
          <t xml:space="preserve"> (ou Cd) d'un parachute est généralement compris entre 0.7 et 1.4 (1 par défaut).
</t>
        </r>
        <r>
          <rPr>
            <i val="true"/>
            <sz val="8"/>
            <color rgb="FF000000"/>
            <rFont val="Tahoma"/>
            <family val="2"/>
            <charset val="1"/>
          </rPr>
          <t xml:space="preserve">Parachute Drag Coefficient </t>
        </r>
        <r>
          <rPr>
            <b val="true"/>
            <i val="true"/>
            <sz val="8"/>
            <color rgb="FF000000"/>
            <rFont val="Tahoma"/>
            <family val="2"/>
            <charset val="1"/>
          </rPr>
          <t xml:space="preserve">Cx</t>
        </r>
        <r>
          <rPr>
            <i val="true"/>
            <sz val="8"/>
            <color rgb="FF000000"/>
            <rFont val="Tahoma"/>
            <family val="2"/>
            <charset val="1"/>
          </rPr>
          <t xml:space="preserve"> (or Cd) should be between 0.7 and 1.4, with a default value of 1.</t>
        </r>
      </text>
    </comment>
    <comment ref="B30" authorId="0">
      <text>
        <r>
          <rPr>
            <sz val="10"/>
            <rFont val="Arial"/>
            <family val="2"/>
            <charset val="1"/>
          </rPr>
          <t xml:space="preserve">La Vitesse de descente sous parachute doit être comprise entre 5 &amp; 15m/s.
</t>
        </r>
        <r>
          <rPr>
            <i val="true"/>
            <sz val="8"/>
            <color rgb="FF000000"/>
            <rFont val="Tahoma"/>
            <family val="2"/>
            <charset val="1"/>
          </rPr>
          <t xml:space="preserve">Fall Velocity with parachute must be between 5 &amp; 15 m/s.</t>
        </r>
      </text>
    </comment>
    <comment ref="B33" authorId="0">
      <text>
        <r>
          <rPr>
            <sz val="10"/>
            <rFont val="Arial"/>
            <family val="2"/>
            <charset val="1"/>
          </rPr>
          <t xml:space="preserve">Déviation due au vent lors de la descente sous parachute.
</t>
        </r>
        <r>
          <rPr>
            <i val="true"/>
            <sz val="8"/>
            <color rgb="FF000000"/>
            <rFont val="Tahoma"/>
            <family val="2"/>
            <charset val="1"/>
          </rPr>
          <t xml:space="preserve">Deviation due to wind during the fall over parachute.</t>
        </r>
      </text>
    </comment>
    <comment ref="C24" authorId="0">
      <text>
        <r>
          <rPr>
            <sz val="10"/>
            <rFont val="Arial"/>
            <family val="2"/>
            <charset val="1"/>
          </rPr>
          <t xml:space="preserve">Masse de la fusée (sans satellite) sous parachute.
</t>
        </r>
        <r>
          <rPr>
            <i val="true"/>
            <sz val="8"/>
            <color rgb="FF000000"/>
            <rFont val="Tahoma"/>
            <family val="2"/>
            <charset val="1"/>
          </rPr>
          <t xml:space="preserve">Mass of the rocket (w/o sat) when it fall with a parachute.</t>
        </r>
      </text>
    </comment>
    <comment ref="D23" authorId="0">
      <text>
        <r>
          <rPr>
            <sz val="10"/>
            <rFont val="Arial"/>
            <family val="2"/>
            <charset val="1"/>
          </rPr>
          <t xml:space="preserve">Objet largué</t>
        </r>
        <r>
          <rPr>
            <sz val="8"/>
            <color rgb="FF000000"/>
            <rFont val="Tahoma"/>
            <family val="2"/>
            <charset val="1"/>
          </rPr>
          <t xml:space="preserve"> (CanSat, quasi-satellite, partie contenant l'œuf...)
</t>
        </r>
        <r>
          <rPr>
            <i val="true"/>
            <sz val="8"/>
            <color rgb="FF000000"/>
            <rFont val="Tahoma"/>
            <family val="2"/>
            <charset val="1"/>
          </rPr>
          <t xml:space="preserve">Separated object (CanSat, quasi-satellite, payload/egg...)</t>
        </r>
      </text>
    </comment>
    <comment ref="F40" authorId="0">
      <text>
        <r>
          <rPr>
            <sz val="10"/>
            <rFont val="Arial"/>
            <family val="2"/>
            <charset val="1"/>
          </rPr>
          <t xml:space="preserve">Les Conditions Initiales permettent de simuler le 2e boost des fusée bi-étage ou des fusées larguant une masse (CanSat, bi-inerte). Laisser à 0 dans les autres cas.
</t>
        </r>
        <r>
          <rPr>
            <i val="true"/>
            <sz val="8"/>
            <color rgb="FF000000"/>
            <rFont val="Tahoma"/>
            <family val="2"/>
            <charset val="1"/>
          </rPr>
          <t xml:space="preserve">Initial Conditions can be used to simulate the 2nd boost of 2-stages rockets, or rocket releasing mass (Quasi-Satellites). Set them to 0 otherwise.</t>
        </r>
      </text>
    </comment>
    <comment ref="I40" authorId="0">
      <text>
        <r>
          <rPr>
            <sz val="10"/>
            <rFont val="Arial"/>
            <family val="2"/>
            <charset val="1"/>
          </rPr>
          <t xml:space="preserve">Altitude par rapport à la rampe, par rapport au sol.
</t>
        </r>
        <r>
          <rPr>
            <i val="true"/>
            <sz val="8"/>
            <color rgb="FF000000"/>
            <rFont val="Tahoma"/>
            <family val="2"/>
            <charset val="1"/>
          </rPr>
          <t xml:space="preserve">Altitude with respect to the earth surface.</t>
        </r>
      </text>
    </comment>
    <comment ref="K23" authorId="0">
      <text>
        <r>
          <rPr>
            <sz val="10"/>
            <rFont val="Arial"/>
            <family val="2"/>
            <charset val="1"/>
          </rPr>
          <t xml:space="preserve">La Vitesse en Sortie de Rampe doit être supérieure à 18m/s (MiniFusée) ou 20m/s (Fusée Exp.).
Alléger la fusée ou choisir un propu plus puissant.
</t>
        </r>
        <r>
          <rPr>
            <i val="true"/>
            <sz val="8"/>
            <color rgb="FF000000"/>
            <rFont val="Tahoma"/>
            <family val="2"/>
            <charset val="1"/>
          </rPr>
          <t xml:space="preserve">Speed at Launch Pad Exit must by higher than 18m/s (mini-rocket) or 20m/s (experimental rocket).
Lighten the rocket or choose a bigger motor.</t>
        </r>
      </text>
    </comment>
    <comment ref="K40" authorId="0">
      <text>
        <r>
          <rPr>
            <sz val="10"/>
            <rFont val="Arial"/>
            <family val="2"/>
            <charset val="1"/>
          </rPr>
          <t xml:space="preserve">La vitesse initiale doit être non-nulle dans le cas d'un 2e boost (allumage hors de la rampe, Portée et Altitude non-nulles).
</t>
        </r>
        <r>
          <rPr>
            <i val="true"/>
            <sz val="8"/>
            <color rgb="FF000000"/>
            <rFont val="Tahoma"/>
            <family val="2"/>
            <charset val="1"/>
          </rPr>
          <t xml:space="preserve">Initial Velocity must be non-zero in case of 2nd boost (ignition without launch pad, non-zero Range and Altitude).</t>
        </r>
      </text>
    </comment>
    <comment ref="M27" authorId="0">
      <text>
        <r>
          <rPr>
            <sz val="10"/>
            <rFont val="Arial"/>
            <family val="2"/>
            <charset val="1"/>
          </rPr>
          <t xml:space="preserve">Efforts sur les fixations du parachute lors de sont ouverture.
</t>
        </r>
        <r>
          <rPr>
            <i val="true"/>
            <sz val="8"/>
            <color rgb="FF000000"/>
            <rFont val="Tahoma"/>
            <family val="2"/>
            <charset val="1"/>
          </rPr>
          <t xml:space="preserve">Stress on the parachute's bindings when it opened.</t>
        </r>
      </text>
    </comment>
    <comment ref="M28" authorId="0">
      <text>
        <r>
          <rPr>
            <sz val="10"/>
            <rFont val="Arial"/>
            <family val="2"/>
            <charset val="1"/>
          </rPr>
          <t xml:space="preserve">Energie libérée lors de l'impact balistique.
</t>
        </r>
        <r>
          <rPr>
            <b val="true"/>
            <sz val="8"/>
            <color rgb="FF000000"/>
            <rFont val="Tahoma"/>
            <family val="2"/>
            <charset val="1"/>
          </rPr>
          <t xml:space="preserve">
</t>
        </r>
        <r>
          <rPr>
            <i val="true"/>
            <sz val="8"/>
            <color rgb="FF000000"/>
            <rFont val="Tahoma"/>
            <family val="2"/>
            <charset val="1"/>
          </rPr>
          <t xml:space="preserve">Balistic impact energy</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sans propu, à changer dans la feuille Stabilito,
ou à l'aide des boutons (revérifiez alors la stabilité).
</t>
        </r>
        <r>
          <rPr>
            <i val="true"/>
            <sz val="8"/>
            <color rgb="FF000000"/>
            <rFont val="Tahoma"/>
            <family val="2"/>
            <charset val="1"/>
          </rPr>
          <t xml:space="preserve">Rocket mass without motor, to be changed in Stabilito sheet,
or with the buttons (then recheck stability).</t>
        </r>
      </text>
    </comment>
    <comment ref="B11" authorId="0">
      <text>
        <r>
          <rPr>
            <sz val="10"/>
            <rFont val="Arial"/>
            <family val="2"/>
            <charset val="1"/>
          </rPr>
          <t xml:space="preserve">Masse totale, à changer dans la feuille Stabilito,
ou à l'aide des boutons (revérifiez alors la stabilité).
Rocket total mass, to be changed in Stabilito sheet,
or with the buttons (then recheck stability).</t>
        </r>
      </text>
    </comment>
    <comment ref="B12"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5" authorId="0">
      <text>
        <r>
          <rPr>
            <sz val="10"/>
            <rFont val="Arial"/>
            <family val="2"/>
            <charset val="1"/>
          </rPr>
          <t xml:space="preserve">Diamètre de référence. D_réf = D_ogive ou le diamètre "principal".
</t>
        </r>
        <r>
          <rPr>
            <i val="true"/>
            <sz val="8"/>
            <color rgb="FF000000"/>
            <rFont val="Tahoma"/>
            <family val="2"/>
            <charset val="1"/>
          </rPr>
          <t xml:space="preserve">Reference Diameter. D_ref = D_ogive or the "main" diameter.</t>
        </r>
      </text>
    </comment>
    <comment ref="B16"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List>
</comments>
</file>

<file path=xl/comments7.xml><?xml version="1.0" encoding="utf-8"?>
<comments xmlns="http://schemas.openxmlformats.org/spreadsheetml/2006/main" xmlns:xdr="http://schemas.openxmlformats.org/drawingml/2006/spreadsheetDrawing">
  <authors>
    <author> </author>
  </authors>
  <commentList>
    <comment ref="E53" authorId="0">
      <text>
        <r>
          <rPr>
            <sz val="10"/>
            <rFont val="Arial"/>
            <family val="2"/>
            <charset val="1"/>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val="true"/>
            <sz val="8"/>
            <color rgb="FF000000"/>
            <rFont val="Tahoma"/>
            <family val="2"/>
            <charset val="1"/>
          </rPr>
          <t xml:space="preserve">Air density (ρ) at P=1013,25hPa &amp; T=15°C.</t>
        </r>
      </text>
    </comment>
  </commentList>
</comments>
</file>

<file path=xl/sharedStrings.xml><?xml version="1.0" encoding="utf-8"?>
<sst xmlns="http://schemas.openxmlformats.org/spreadsheetml/2006/main" count="1717" uniqueCount="563">
  <si>
    <t xml:space="preserve">STABILITO</t>
  </si>
  <si>
    <t xml:space="preserve">Français</t>
  </si>
  <si>
    <t xml:space="preserve">Plusieurs diamètres.</t>
  </si>
  <si>
    <t xml:space="preserve">Transition A</t>
  </si>
  <si>
    <t xml:space="preserve">Transition B</t>
  </si>
  <si>
    <t xml:space="preserve">Hellfire</t>
  </si>
  <si>
    <t xml:space="preserve">Club</t>
  </si>
  <si>
    <t xml:space="preserve">Acelspace</t>
  </si>
  <si>
    <t xml:space="preserve">Type</t>
  </si>
  <si>
    <t xml:space="preserve">Fusée expérimentale.</t>
  </si>
  <si>
    <t xml:space="preserve">sans propu</t>
  </si>
  <si>
    <t xml:space="preserve">-</t>
  </si>
  <si>
    <t xml:space="preserve">Pro54-5G WT</t>
  </si>
  <si>
    <t xml:space="preserve">XCp</t>
  </si>
  <si>
    <t xml:space="preserve">Cnα</t>
  </si>
  <si>
    <t xml:space="preserve">Ogivale (pointue)</t>
  </si>
  <si>
    <t xml:space="preserve">M</t>
  </si>
  <si>
    <t xml:space="preserve">Bi-empennage</t>
  </si>
  <si>
    <t xml:space="preserve">Min</t>
  </si>
  <si>
    <t xml:space="preserve">Max</t>
  </si>
  <si>
    <t xml:space="preserve">Finesse</t>
  </si>
  <si>
    <t xml:space="preserve">MS /L</t>
  </si>
  <si>
    <t xml:space="preserve">Checksum :</t>
  </si>
  <si>
    <t xml:space="preserve">v3.4.3</t>
  </si>
  <si>
    <t xml:space="preserve">Trajecto</t>
  </si>
  <si>
    <t xml:space="preserve">English</t>
  </si>
  <si>
    <t xml:space="preserve">Rocketry Challenge</t>
  </si>
  <si>
    <t xml:space="preserve">,Minif Tests</t>
  </si>
  <si>
    <t xml:space="preserve">Mono-empennage</t>
  </si>
  <si>
    <t xml:space="preserve">X longi</t>
  </si>
  <si>
    <t xml:space="preserve">Y latéral</t>
  </si>
  <si>
    <t xml:space="preserve">- Y latéral</t>
  </si>
  <si>
    <t xml:space="preserve">Ogive</t>
  </si>
  <si>
    <t xml:space="preserve">chmt1 pt1</t>
  </si>
  <si>
    <t xml:space="preserve">chmt1 pt2</t>
  </si>
  <si>
    <t xml:space="preserve">chmt2 pt1</t>
  </si>
  <si>
    <t xml:space="preserve">chmt2 pt2</t>
  </si>
  <si>
    <t xml:space="preserve">culot</t>
  </si>
  <si>
    <t xml:space="preserve">aileron pt1</t>
  </si>
  <si>
    <t xml:space="preserve">aileron pt2</t>
  </si>
  <si>
    <t xml:space="preserve">aileron pt3</t>
  </si>
  <si>
    <t xml:space="preserve">aileron pt4</t>
  </si>
  <si>
    <t xml:space="preserve">env milieu</t>
  </si>
  <si>
    <t xml:space="preserve">env pt4</t>
  </si>
  <si>
    <t xml:space="preserve">empl milieu</t>
  </si>
  <si>
    <t xml:space="preserve">empl pt4</t>
  </si>
  <si>
    <t xml:space="preserve">flèche milieu</t>
  </si>
  <si>
    <t xml:space="preserve">flèche pt2</t>
  </si>
  <si>
    <t xml:space="preserve">saumon milieu</t>
  </si>
  <si>
    <t xml:space="preserve">saumon pt3</t>
  </si>
  <si>
    <t xml:space="preserve">Xcg plein</t>
  </si>
  <si>
    <t xml:space="preserve">Xcg vide</t>
  </si>
  <si>
    <t xml:space="preserve">Xcp</t>
  </si>
  <si>
    <t xml:space="preserve">Xcp0</t>
  </si>
  <si>
    <t xml:space="preserve">MS milieu</t>
  </si>
  <si>
    <t xml:space="preserve">MS Xcp</t>
  </si>
  <si>
    <t xml:space="preserve">canard pt1</t>
  </si>
  <si>
    <t xml:space="preserve">canard pt2</t>
  </si>
  <si>
    <t xml:space="preserve">canard pt3</t>
  </si>
  <si>
    <t xml:space="preserve">canard pt4</t>
  </si>
  <si>
    <t xml:space="preserve">masquage pt1</t>
  </si>
  <si>
    <t xml:space="preserve">masquage pt2</t>
  </si>
  <si>
    <t xml:space="preserve">masquage pt3</t>
  </si>
  <si>
    <t xml:space="preserve">masquage pt4</t>
  </si>
  <si>
    <t xml:space="preserve">cadre</t>
  </si>
  <si>
    <t xml:space="preserve">propu pt1</t>
  </si>
  <si>
    <t xml:space="preserve">propu pt2</t>
  </si>
  <si>
    <t xml:space="preserve">propu pt3</t>
  </si>
  <si>
    <t xml:space="preserve">propu pt4</t>
  </si>
  <si>
    <t xml:space="preserve">propu pt5</t>
  </si>
  <si>
    <t xml:space="preserve">conique</t>
  </si>
  <si>
    <t xml:space="preserve">ogive</t>
  </si>
  <si>
    <t xml:space="preserve">parabole</t>
  </si>
  <si>
    <t xml:space="preserve">Pointe</t>
  </si>
  <si>
    <t xml:space="preserve">MS (X)</t>
  </si>
  <si>
    <t xml:space="preserve">Cna (Y)</t>
  </si>
  <si>
    <t xml:space="preserve">Verification moteur</t>
  </si>
  <si>
    <t xml:space="preserve">H20</t>
  </si>
  <si>
    <t xml:space="preserve">Fusex</t>
  </si>
  <si>
    <t xml:space="preserve">micro</t>
  </si>
  <si>
    <t xml:space="preserve">minif N</t>
  </si>
  <si>
    <t xml:space="preserve">Minif RC</t>
  </si>
  <si>
    <t xml:space="preserve">Minif Test</t>
  </si>
  <si>
    <t xml:space="preserve">module 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</si>
  <si>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</si>
  <si>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</si>
  <si>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</si>
  <si>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</si>
  <si>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</si>
  <si>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</si>
  <si>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</si>
  <si>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</si>
  <si>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</si>
  <si>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</si>
  <si>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</si>
  <si>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</si>
  <si>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</si>
  <si>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</si>
  <si>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</si>
  <si>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</si>
  <si>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</si>
  <si>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</si>
  <si>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</si>
  <si>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</si>
  <si>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</si>
  <si>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</si>
  <si>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</si>
  <si>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</si>
  <si>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</si>
  <si>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</si>
  <si>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</si>
  <si>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</si>
  <si>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</si>
  <si>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</si>
  <si>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</si>
  <si>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//--------------------------------coiffe</t>
  </si>
  <si>
    <t xml:space="preserve">if (coiffe_type   == "conique"){</t>
  </si>
  <si>
    <t xml:space="preserve">	cylinder(coiffe_hauteur, 0, coiffe_diametre, false);</t>
  </si>
  <si>
    <t xml:space="preserve">//--------------------------------corps</t>
  </si>
  <si>
    <t xml:space="preserve">if (plusieur_diametres == false){</t>
  </si>
  <si>
    <t xml:space="preserve">	translate ([0, 0, coiffe_hauteur]) {</t>
  </si>
  <si>
    <t xml:space="preserve">		cylinder(longeur_total-coiffe_hauteur, coiffe_diametre, coiffe_diametre, false);</t>
  </si>
  <si>
    <t xml:space="preserve">} else {</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</si>
  <si>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</si>
  <si>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</si>
  <si>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</si>
  <si>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</si>
  <si>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</si>
  <si>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</si>
  <si>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</si>
  <si>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</si>
  <si>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</si>
  <si>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</si>
  <si>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</si>
  <si>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</si>
  <si>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</si>
  <si>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</si>
  <si>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</si>
  <si>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t>
  </si>
  <si>
    <t xml:space="preserve">//--------------------------------ailerons</t>
  </si>
  <si>
    <t xml:space="preserve">aileron(coiffe_diametre, aileron_m_emplature,</t>
  </si>
  <si>
    <t xml:space="preserve">	 aileron_n_saumon, </t>
  </si>
  <si>
    <t xml:space="preserve">	 aileron_p_fleche,</t>
  </si>
  <si>
    <t xml:space="preserve">	 aileron_e_envergure,</t>
  </si>
  <si>
    <t xml:space="preserve">	 aileron_epaisseur,</t>
  </si>
  <si>
    <t xml:space="preserve">	 aileron_nombre,</t>
  </si>
  <si>
    <t xml:space="preserve"> aileron_position_bas);</t>
  </si>
  <si>
    <t xml:space="preserve">if (bi_empennage == true){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</si>
  <si>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</si>
  <si>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</si>
  <si>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</si>
  <si>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</si>
  <si>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</si>
  <si>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aileron_sup_nombre,</t>
  </si>
  <si>
    <t xml:space="preserve">	 aileron_sup_position_bas,</t>
  </si>
  <si>
    <t xml:space="preserve">	 aileron_sup_masque);</t>
  </si>
  <si>
    <t xml:space="preserve">rocket();</t>
  </si>
  <si>
    <t xml:space="preserve">TRAJECTO</t>
  </si>
  <si>
    <t xml:space="preserve">Surface Réf.</t>
  </si>
  <si>
    <t xml:space="preserve">Cx</t>
  </si>
  <si>
    <t xml:space="preserve">Altitude</t>
  </si>
  <si>
    <t xml:space="preserve">Altitude z</t>
  </si>
  <si>
    <t xml:space="preserve">Accélération</t>
  </si>
  <si>
    <t xml:space="preserve">Efforts</t>
  </si>
  <si>
    <t xml:space="preserve">0 satellite</t>
  </si>
  <si>
    <t xml:space="preserve">N/A</t>
  </si>
  <si>
    <t xml:space="preserve">Culmination, Apogée</t>
  </si>
  <si>
    <t xml:space="preserve">Surface para</t>
  </si>
  <si>
    <t xml:space="preserve">Cx parachute</t>
  </si>
  <si>
    <t xml:space="preserve">~0 m</t>
  </si>
  <si>
    <t xml:space="preserve">Blanc/Corps:Français</t>
  </si>
  <si>
    <t xml:space="preserve">Rouge/Blanc</t>
  </si>
  <si>
    <t xml:space="preserve">Jaune</t>
  </si>
  <si>
    <t xml:space="preserve">Angle</t>
  </si>
  <si>
    <t xml:space="preserve">s</t>
  </si>
  <si>
    <t xml:space="preserve">m</t>
  </si>
  <si>
    <t xml:space="preserve">m/s</t>
  </si>
  <si>
    <t xml:space="preserve">m/s²</t>
  </si>
  <si>
    <t xml:space="preserve">°</t>
  </si>
  <si>
    <t xml:space="preserve">~0</t>
  </si>
  <si>
    <t xml:space="preserve">Délais dépotage</t>
  </si>
  <si>
    <t xml:space="preserve">-9</t>
  </si>
  <si>
    <t xml:space="preserve">-7</t>
  </si>
  <si>
    <t xml:space="preserve">1 satellite</t>
  </si>
  <si>
    <t xml:space="preserve">-5</t>
  </si>
  <si>
    <t xml:space="preserve">-3</t>
  </si>
  <si>
    <t xml:space="preserve">-0</t>
  </si>
  <si>
    <t xml:space="preserve">T_para =</t>
  </si>
  <si>
    <t xml:space="preserve">xz max</t>
  </si>
  <si>
    <t xml:space="preserve">z para</t>
  </si>
  <si>
    <t xml:space="preserve">x para</t>
  </si>
  <si>
    <t xml:space="preserve">vertical</t>
  </si>
  <si>
    <t xml:space="preserve">t para</t>
  </si>
  <si>
    <t xml:space="preserve">horizontal</t>
  </si>
  <si>
    <t xml:space="preserve">flèches</t>
  </si>
  <si>
    <t xml:space="preserve">1s</t>
  </si>
  <si>
    <t xml:space="preserve">t/T</t>
  </si>
  <si>
    <t xml:space="preserve">z/Z</t>
  </si>
  <si>
    <t xml:space="preserve">z sat</t>
  </si>
  <si>
    <t xml:space="preserve">x sat</t>
  </si>
  <si>
    <t xml:space="preserve">t sat</t>
  </si>
  <si>
    <t xml:space="preserve">z</t>
  </si>
  <si>
    <t xml:space="preserve">x</t>
  </si>
  <si>
    <t xml:space="preserve">t</t>
  </si>
  <si>
    <t xml:space="preserve">x_triomphe</t>
  </si>
  <si>
    <t xml:space="preserve">Arc de triomphe</t>
  </si>
  <si>
    <t xml:space="preserve">z_triomphe</t>
  </si>
  <si>
    <t xml:space="preserve">x_Eiffel</t>
  </si>
  <si>
    <t xml:space="preserve">Tour Eiffel</t>
  </si>
  <si>
    <t xml:space="preserve">z_Eiffel</t>
  </si>
  <si>
    <t xml:space="preserve">Notes :</t>
  </si>
  <si>
    <t xml:space="preserve">Ligne</t>
  </si>
  <si>
    <t xml:space="preserve">I_total</t>
  </si>
  <si>
    <t xml:space="preserve">ISP</t>
  </si>
  <si>
    <t xml:space="preserve">MpropuPlein</t>
  </si>
  <si>
    <t xml:space="preserve">m_poudre</t>
  </si>
  <si>
    <t xml:space="preserve">MpropuVide</t>
  </si>
  <si>
    <t xml:space="preserve">XpropuPlein</t>
  </si>
  <si>
    <t xml:space="preserve">XpropuVide</t>
  </si>
  <si>
    <t xml:space="preserve">Longueur</t>
  </si>
  <si>
    <t xml:space="preserve">Diamètre</t>
  </si>
  <si>
    <t xml:space="preserve">Combustion</t>
  </si>
  <si>
    <t xml:space="preserve">Dépotage</t>
  </si>
  <si>
    <t xml:space="preserve">H2O</t>
  </si>
  <si>
    <t xml:space="preserve">H2O 1.5L 300g 6bar</t>
  </si>
  <si>
    <t xml:space="preserve">M_éjecté</t>
  </si>
  <si>
    <t xml:space="preserve">M_burnout</t>
  </si>
  <si>
    <t xml:space="preserve">Temps (en s)</t>
  </si>
  <si>
    <t xml:space="preserve">Poussée (en N)</t>
  </si>
  <si>
    <t xml:space="preserve">I_total_i (en N.s)</t>
  </si>
  <si>
    <t xml:space="preserve">H2O 1.5L 450g 6bar</t>
  </si>
  <si>
    <t xml:space="preserve">H2O 1.5L 600g 6bar</t>
  </si>
  <si>
    <t xml:space="preserve">H2O 1.5L 750g 6bar</t>
  </si>
  <si>
    <t xml:space="preserve">H2O 2.0L 400g 6bar</t>
  </si>
  <si>
    <t xml:space="preserve">H2O 2.0L 600g 6bar</t>
  </si>
  <si>
    <t xml:space="preserve">H2O 2.0L 800g 6bar</t>
  </si>
  <si>
    <t xml:space="preserve">H2O 2.0L 1000g 6bar</t>
  </si>
  <si>
    <t xml:space="preserve">µ-propu</t>
  </si>
  <si>
    <t xml:space="preserve">µ-propu A8-3</t>
  </si>
  <si>
    <t xml:space="preserve">Micro</t>
  </si>
  <si>
    <t xml:space="preserve">µ-propu B4-4</t>
  </si>
  <si>
    <t xml:space="preserve">µ-propu C6-3</t>
  </si>
  <si>
    <t xml:space="preserve">µ-propu C6-3 x2</t>
  </si>
  <si>
    <t xml:space="preserve">µ-propu C6-3 x3</t>
  </si>
  <si>
    <t xml:space="preserve">Klima D9-7</t>
  </si>
  <si>
    <t xml:space="preserve">MiniN</t>
  </si>
  <si>
    <t xml:space="preserve">Klima D9-7 x2</t>
  </si>
  <si>
    <t xml:space="preserve">Klima D9-7 x3</t>
  </si>
  <si>
    <t xml:space="preserve">MINIF PRO24-1G</t>
  </si>
  <si>
    <t xml:space="preserve">p24-1G 24E22</t>
  </si>
  <si>
    <t xml:space="preserve">MiniR</t>
  </si>
  <si>
    <t xml:space="preserve">p24-1G 25E75 (Rufina)</t>
  </si>
  <si>
    <t xml:space="preserve">MiniRN</t>
  </si>
  <si>
    <t xml:space="preserve">p24-1G 26E31</t>
  </si>
  <si>
    <t xml:space="preserve">MINIF PRO24-2G</t>
  </si>
  <si>
    <t xml:space="preserve">p24-2G 50E51</t>
  </si>
  <si>
    <t xml:space="preserve">Mini</t>
  </si>
  <si>
    <t xml:space="preserve">p24-1G 53E70</t>
  </si>
  <si>
    <t xml:space="preserve">MINIF PRO29-1G</t>
  </si>
  <si>
    <t xml:space="preserve">p29-1G 41F36</t>
  </si>
  <si>
    <t xml:space="preserve">p29-1G 51F36</t>
  </si>
  <si>
    <t xml:space="preserve">p29-1G 55F29</t>
  </si>
  <si>
    <t xml:space="preserve">p29-1G 56F31</t>
  </si>
  <si>
    <t xml:space="preserve">p29-1G 56F120</t>
  </si>
  <si>
    <t xml:space="preserve">p29-1G 57F59</t>
  </si>
  <si>
    <t xml:space="preserve">MINIF PRO24-3G</t>
  </si>
  <si>
    <t xml:space="preserve">p24-3G 60F50</t>
  </si>
  <si>
    <t xml:space="preserve">p24-3G 68F79</t>
  </si>
  <si>
    <t xml:space="preserve">p24-3G 68F240</t>
  </si>
  <si>
    <t xml:space="preserve">p24-3G 73F30</t>
  </si>
  <si>
    <t xml:space="preserve">p24-3G 74F85</t>
  </si>
  <si>
    <t xml:space="preserve">p24-3G 75F51</t>
  </si>
  <si>
    <t xml:space="preserve">MINIF PRO24-6G</t>
  </si>
  <si>
    <t xml:space="preserve">p24-6G 140G145 PK</t>
  </si>
  <si>
    <t xml:space="preserve"> 143G150 BS</t>
  </si>
  <si>
    <t xml:space="preserve">Pandora (Pro24-6G BS)</t>
  </si>
  <si>
    <t xml:space="preserve">p24-6G 142G117 WT</t>
  </si>
  <si>
    <t xml:space="preserve">p24-6G 139G107 DT</t>
  </si>
  <si>
    <t xml:space="preserve">MINIF PRO29-2G</t>
  </si>
  <si>
    <t xml:space="preserve">p29-2G 84G88</t>
  </si>
  <si>
    <t xml:space="preserve">p29-2G 93G80</t>
  </si>
  <si>
    <t xml:space="preserve">p29-2G 110G250</t>
  </si>
  <si>
    <t xml:space="preserve">p29-2G 116G126</t>
  </si>
  <si>
    <t xml:space="preserve">MINIF PRO29-3G</t>
  </si>
  <si>
    <t xml:space="preserve">p29-3G 125G131</t>
  </si>
  <si>
    <t xml:space="preserve">p29-3G 159G125</t>
  </si>
  <si>
    <t xml:space="preserve">MINIF PRO38-1G</t>
  </si>
  <si>
    <t xml:space="preserve">p38-1G 137G58</t>
  </si>
  <si>
    <t xml:space="preserve">p38-1G 128G185</t>
  </si>
  <si>
    <t xml:space="preserve">p38-1G 141G78</t>
  </si>
  <si>
    <t xml:space="preserve">Wapiti</t>
  </si>
  <si>
    <t xml:space="preserve">Cariacou</t>
  </si>
  <si>
    <t xml:space="preserve">FUSEX</t>
  </si>
  <si>
    <t xml:space="preserve">Isard</t>
  </si>
  <si>
    <t xml:space="preserve">Chamois</t>
  </si>
  <si>
    <t xml:space="preserve">Barasinga (Pro54-5G C)</t>
  </si>
  <si>
    <t xml:space="preserve">Orignal (Pro75-3G C)</t>
  </si>
  <si>
    <t xml:space="preserve">Pro98-6G Green</t>
  </si>
  <si>
    <t xml:space="preserve">Pro98-3G WT</t>
  </si>
  <si>
    <t xml:space="preserve">Blastocerus (Pro98-6GXL RL)</t>
  </si>
  <si>
    <t xml:space="preserve">Aucun (2e ét. inerte)</t>
  </si>
  <si>
    <t xml:space="preserve">Minif</t>
  </si>
  <si>
    <t xml:space="preserve">Dynamique de la fusée (repère sol)</t>
  </si>
  <si>
    <t xml:space="preserve">Forces</t>
  </si>
  <si>
    <t xml:space="preserve">Sous-échantillon 1Hz</t>
  </si>
  <si>
    <t xml:space="preserve">Accélération longitudinale</t>
  </si>
  <si>
    <t xml:space="preserve">pas</t>
  </si>
  <si>
    <t xml:space="preserve">acc_x</t>
  </si>
  <si>
    <t xml:space="preserve">acc_z</t>
  </si>
  <si>
    <t xml:space="preserve">acc_xz</t>
  </si>
  <si>
    <t xml:space="preserve">vit_x</t>
  </si>
  <si>
    <t xml:space="preserve">vit_z</t>
  </si>
  <si>
    <t xml:space="preserve">vit_xz</t>
  </si>
  <si>
    <t xml:space="preserve">pos_x</t>
  </si>
  <si>
    <t xml:space="preserve">pos_z</t>
  </si>
  <si>
    <t xml:space="preserve">pos_xz</t>
  </si>
  <si>
    <t xml:space="preserve">Beta</t>
  </si>
  <si>
    <t xml:space="preserve">BetaD</t>
  </si>
  <si>
    <t xml:space="preserve">i_P</t>
  </si>
  <si>
    <t xml:space="preserve">Poussée</t>
  </si>
  <si>
    <t xml:space="preserve">Débit</t>
  </si>
  <si>
    <t xml:space="preserve">Poids</t>
  </si>
  <si>
    <t xml:space="preserve">R_rampe</t>
  </si>
  <si>
    <t xml:space="preserve">Rho</t>
  </si>
  <si>
    <t xml:space="preserve">Trainée</t>
  </si>
  <si>
    <t xml:space="preserve">Événements</t>
  </si>
  <si>
    <t xml:space="preserve">Temps</t>
  </si>
  <si>
    <t xml:space="preserve">gravitationnelle</t>
  </si>
  <si>
    <t xml:space="preserve">non-gravit.</t>
  </si>
  <si>
    <t xml:space="preserve">rad</t>
  </si>
  <si>
    <t xml:space="preserve">N</t>
  </si>
  <si>
    <t xml:space="preserve">kg/s</t>
  </si>
  <si>
    <t xml:space="preserve">kg</t>
  </si>
  <si>
    <t xml:space="preserve">kg/m3</t>
  </si>
  <si>
    <t xml:space="preserve">Méthodes d'intégration explicites officielles</t>
  </si>
  <si>
    <t xml:space="preserve">Wikipedia</t>
  </si>
  <si>
    <t xml:space="preserve">Méthodes d'intégration maison</t>
  </si>
  <si>
    <t xml:space="preserve">Le Vol de la Fusée</t>
  </si>
  <si>
    <t xml:space="preserve">Explicit Euler (1st order, non-symplectic) [RK1]</t>
  </si>
  <si>
    <t xml:space="preserve">Spécificités de notre problème (2nd order mechanical ODE) :</t>
  </si>
  <si>
    <t xml:space="preserve">On peut anticiper la Poussée (force qui varie le +) et la masse.</t>
  </si>
  <si>
    <t xml:space="preserve">L'Acc dépend de la vitesse (et peu de la position).</t>
  </si>
  <si>
    <t xml:space="preserve">Les méthodes symplectic (conserve l'énergie) gardent-elles leur avantage quand la masse varie (ph propu) ?</t>
  </si>
  <si>
    <t xml:space="preserve">Semi-implicit Euler (1st order, symplectic) [§ "Euler modifié" dans Le Vol de La Fusée]</t>
  </si>
  <si>
    <t xml:space="preserve">Pour se limiter à 1000 lignes, pas variable (les transitions sont-elles rigoureuses ?).</t>
  </si>
  <si>
    <t xml:space="preserve">Sous Excel, on a les pas précédent (linear multistep possible), mais ordre élevé ou implicite sont à exclure.</t>
  </si>
  <si>
    <t xml:space="preserve">Midpoint, Modified Euler (2nd order, explicit) [§ "RK2" dans Le Vol de La Fusée]</t>
  </si>
  <si>
    <t xml:space="preserve">Trajec 2.x utililse un mélange douteux de différentes méthodes :</t>
  </si>
  <si>
    <t xml:space="preserve">Heun, Improved Euler (2-stage 2nd-order, explicit, predictor-corrector) [Trapezoidal] [RK2]</t>
  </si>
  <si>
    <t xml:space="preserve">Trajecto/StabTraj corrige l'erreur de Trajec sur Xn+1 en utilisant la vitesse moyenne :</t>
  </si>
  <si>
    <t xml:space="preserve">Newmark-beta (with γ=1/2 &amp; β=1/4) (2nd order)</t>
  </si>
  <si>
    <t xml:space="preserve">Idéalement, il serait préférable de tout calculer à n+0.5 (m, V, β, ρ).</t>
  </si>
  <si>
    <t xml:space="preserve">Velocity Verlet, Leapfrog variant (2nd order, symplectic, explicit)</t>
  </si>
  <si>
    <t xml:space="preserve">Beeman (2nd order, explicit variant)</t>
  </si>
  <si>
    <t xml:space="preserve">Verlet (2-stage 2nd order, symplectic, explicit)</t>
  </si>
  <si>
    <t xml:space="preserve">Multi{sub}step (RK), linear multi{previous}step (ADAMS), predictor-corrector, implicit …</t>
  </si>
  <si>
    <t xml:space="preserve">ABACO</t>
  </si>
  <si>
    <t xml:space="preserve">1/2.ρ.S.Cx</t>
  </si>
  <si>
    <t xml:space="preserve">Masse totale</t>
  </si>
  <si>
    <t xml:space="preserve">M ph prop</t>
  </si>
  <si>
    <t xml:space="preserve">M ph bal</t>
  </si>
  <si>
    <t xml:space="preserve">Traînée prop</t>
  </si>
  <si>
    <t xml:space="preserve">Traînée bal</t>
  </si>
  <si>
    <t xml:space="preserve">Alt prop</t>
  </si>
  <si>
    <t xml:space="preserve">V max</t>
  </si>
  <si>
    <t xml:space="preserve">alt_culmi</t>
  </si>
  <si>
    <t xml:space="preserve">t_culmi</t>
  </si>
  <si>
    <t xml:space="preserve">D_var</t>
  </si>
  <si>
    <t xml:space="preserve">Q_var</t>
  </si>
  <si>
    <t xml:space="preserve">m_var</t>
  </si>
  <si>
    <t xml:space="preserve">m_prop</t>
  </si>
  <si>
    <t xml:space="preserve">m_bal</t>
  </si>
  <si>
    <t xml:space="preserve">a_prop</t>
  </si>
  <si>
    <t xml:space="preserve">b_prop</t>
  </si>
  <si>
    <t xml:space="preserve">b_bal</t>
  </si>
  <si>
    <t xml:space="preserve">alt_prop</t>
  </si>
  <si>
    <t xml:space="preserve">V_prop</t>
  </si>
  <si>
    <t xml:space="preserve">StabTraj</t>
  </si>
  <si>
    <t xml:space="preserve">http://www.planete-sciences.org/espace/basedoc/</t>
  </si>
  <si>
    <t xml:space="preserve">Pour prendre en compte plsu de moteurs, il faut changer les variables "menu_type" et "liste"propu" dans le gestionnaire de noms.</t>
  </si>
  <si>
    <t xml:space="preserve">espace@planete-sciences.org</t>
  </si>
  <si>
    <t xml:space="preserve">http://creativecommons.org/licenses/by-sa/3.0/</t>
  </si>
  <si>
    <t xml:space="preserve">Microsoft Excel 2003 ou +</t>
  </si>
  <si>
    <t xml:space="preserve">LibreOffice Calc 3.4 ou +</t>
  </si>
  <si>
    <t xml:space="preserve">OpenOffice Calc</t>
  </si>
  <si>
    <t xml:space="preserve">Stabilito V1.x</t>
  </si>
  <si>
    <t xml:space="preserve">Léo Côme</t>
  </si>
  <si>
    <t xml:space="preserve">2002-2007</t>
  </si>
  <si>
    <t xml:space="preserve">Stabilito V2.0</t>
  </si>
  <si>
    <t xml:space="preserve">Stabilito V2.1</t>
  </si>
  <si>
    <t xml:space="preserve">Stabilito V2.2</t>
  </si>
  <si>
    <t xml:space="preserve">Trajecto V1.x</t>
  </si>
  <si>
    <t xml:space="preserve">Trajecto V2.x</t>
  </si>
  <si>
    <t xml:space="preserve">Trajecto V2.4</t>
  </si>
  <si>
    <t xml:space="preserve">Trajecto V2.5</t>
  </si>
  <si>
    <t xml:space="preserve">Moteurs Rocketry-Challenge, bug Surface_parachute, Satellite, bug Ooo</t>
  </si>
  <si>
    <t xml:space="preserve">StabTraj V3.0</t>
  </si>
  <si>
    <t xml:space="preserve">StabTraj V3.1</t>
  </si>
  <si>
    <t xml:space="preserve">Propu : +RC &amp; +Tintin 2013 : 3 p24-1G, p24-3G 75F51 &amp; 60F50, Pro98-2G &amp; 3G WT</t>
  </si>
  <si>
    <t xml:space="preserve">StabTraj V3.2</t>
  </si>
  <si>
    <t xml:space="preserve">Propu : +multi-µ-fu, -Wapiti, warning Cariacou, "Rufina"</t>
  </si>
  <si>
    <t xml:space="preserve">StabTraj V3.3a</t>
  </si>
  <si>
    <t xml:space="preserve">Sylvain Besson</t>
  </si>
  <si>
    <t xml:space="preserve">Propu : +ProX, Stabilito : séparation minif/RC, Trajecto : dépotage +rampe RC 3m</t>
  </si>
  <si>
    <t xml:space="preserve">StabTraj V3.3e</t>
  </si>
  <si>
    <t xml:space="preserve">Modification des alertes, +Effort subit par les parachutes</t>
  </si>
  <si>
    <t xml:space="preserve">StabTraj V3.4.1</t>
  </si>
  <si>
    <t xml:space="preserve">Propu : +Klima D9</t>
  </si>
  <si>
    <t xml:space="preserve">StabTraj V3.4.2</t>
  </si>
  <si>
    <t xml:space="preserve">Ajout propu</t>
  </si>
  <si>
    <t xml:space="preserve">StabTraj V3.4.3</t>
  </si>
  <si>
    <t xml:space="preserve">Flavien DENIS</t>
  </si>
  <si>
    <t xml:space="preserve">Ajout Pro54-5G WT et Pro98-6G Green</t>
  </si>
  <si>
    <t xml:space="preserve">Données au format des fiches de contrôles minif :</t>
  </si>
  <si>
    <t xml:space="preserve">l = </t>
  </si>
  <si>
    <t xml:space="preserve">Propulseur</t>
  </si>
  <si>
    <t xml:space="preserve">Masse sans prop. (kg)</t>
  </si>
  <si>
    <t xml:space="preserve">Couleur de la fusée</t>
  </si>
  <si>
    <t xml:space="preserve">Diamètre max (mm)</t>
  </si>
  <si>
    <t xml:space="preserve">Couleur du ralentisseur</t>
  </si>
  <si>
    <t xml:space="preserve">Surface ralentisseur (m²)</t>
  </si>
  <si>
    <t xml:space="preserve">Longeur de la rampe (m)</t>
  </si>
  <si>
    <t xml:space="preserve">Type d'éjection du para.</t>
  </si>
  <si>
    <t xml:space="preserve">Type d'ogive</t>
  </si>
  <si>
    <t xml:space="preserve">Masse sans propu (kg)</t>
  </si>
  <si>
    <t xml:space="preserve">VL4</t>
  </si>
  <si>
    <t xml:space="preserve">10 &lt; finesse &lt; 20</t>
  </si>
  <si>
    <t xml:space="preserve">15 &lt; Cn &lt; 30</t>
  </si>
  <si>
    <t xml:space="preserve">D = </t>
  </si>
  <si>
    <t xml:space="preserve">1,5.D &lt; Ms &lt; 6.D</t>
  </si>
  <si>
    <t xml:space="preserve">Longueur rampe</t>
  </si>
  <si>
    <t xml:space="preserve">30 &lt; Ms x Cn &lt; 100</t>
  </si>
  <si>
    <t xml:space="preserve">Epaisseur ailerons</t>
  </si>
  <si>
    <t xml:space="preserve">Vsortie de rampe (&gt; 18 m/s)</t>
  </si>
  <si>
    <t xml:space="preserve">Nombre ailerons</t>
  </si>
  <si>
    <t xml:space="preserve">RC1</t>
  </si>
  <si>
    <t xml:space="preserve">5 &lt; Vc &lt; 15 m/s</t>
  </si>
  <si>
    <t xml:space="preserve">RC2</t>
  </si>
  <si>
    <t xml:space="preserve">Temps de retard ralentisseur</t>
  </si>
  <si>
    <t xml:space="preserve">Dj =</t>
  </si>
  <si>
    <t xml:space="preserve">Haut du propu "Prop"</t>
  </si>
  <si>
    <t xml:space="preserve">Indication dépotage lanceur</t>
  </si>
  <si>
    <t xml:space="preserve">RC5</t>
  </si>
  <si>
    <t xml:space="preserve">Portée balistique &lt; 200 m</t>
  </si>
  <si>
    <t xml:space="preserve">(mm)</t>
  </si>
  <si>
    <t xml:space="preserve">Fusée</t>
  </si>
  <si>
    <t xml:space="preserve">Ailerons</t>
  </si>
  <si>
    <t xml:space="preserve">Bi empennage</t>
  </si>
  <si>
    <t xml:space="preserve">X cg (sans)</t>
  </si>
  <si>
    <t xml:space="preserve">L</t>
  </si>
  <si>
    <t xml:space="preserve">L tot</t>
  </si>
  <si>
    <t xml:space="preserve">n</t>
  </si>
  <si>
    <t xml:space="preserve">D 1</t>
  </si>
  <si>
    <t xml:space="preserve">X prop</t>
  </si>
  <si>
    <t xml:space="preserve">p</t>
  </si>
  <si>
    <t xml:space="preserve">D 2</t>
  </si>
  <si>
    <t xml:space="preserve">D</t>
  </si>
  <si>
    <t xml:space="preserve">E</t>
  </si>
  <si>
    <t xml:space="preserve">X</t>
  </si>
  <si>
    <t xml:space="preserve">L ogive</t>
  </si>
  <si>
    <t xml:space="preserve">X ail</t>
  </si>
  <si>
    <t xml:space="preserve">Inclinaison</t>
  </si>
  <si>
    <t xml:space="preserve">Portée balistique (m)</t>
  </si>
  <si>
    <t xml:space="preserve">Temps de vol avec parachute (s)</t>
  </si>
  <si>
    <t xml:space="preserve">Culmination</t>
  </si>
  <si>
    <t xml:space="preserve">Accélération max (m/s²)</t>
  </si>
  <si>
    <t xml:space="preserve">Vmax (m/s)</t>
  </si>
  <si>
    <t xml:space="preserve">n = </t>
  </si>
  <si>
    <t xml:space="preserve">ailrons haut </t>
  </si>
  <si>
    <t xml:space="preserve">Altitude (m)</t>
  </si>
  <si>
    <t xml:space="preserve">Temps (s)</t>
  </si>
  <si>
    <t xml:space="preserve">Vitesse (m/s)</t>
  </si>
  <si>
    <t xml:space="preserve">p = </t>
  </si>
  <si>
    <t xml:space="preserve">ep = </t>
  </si>
  <si>
    <t xml:space="preserve">m = </t>
  </si>
  <si>
    <t xml:space="preserve">nombre</t>
  </si>
  <si>
    <t xml:space="preserve">E = </t>
  </si>
  <si>
    <t xml:space="preserve">Donneés au format des fiches de contrôles Fusex :</t>
  </si>
  <si>
    <t xml:space="preserve">Diamètre "D"</t>
  </si>
  <si>
    <t xml:space="preserve">sans</t>
  </si>
  <si>
    <t xml:space="preserve">vide</t>
  </si>
  <si>
    <t xml:space="preserve">plein</t>
  </si>
  <si>
    <t xml:space="preserve">Longueur ogive "l"</t>
  </si>
  <si>
    <t xml:space="preserve">Masse</t>
  </si>
  <si>
    <t xml:space="preserve">Position ailerons "L"</t>
  </si>
  <si>
    <t xml:space="preserve">CdG</t>
  </si>
  <si>
    <t xml:space="preserve">STAB 1</t>
  </si>
  <si>
    <t xml:space="preserve">Vsortie de rampe (&gt; 20 m/s)</t>
  </si>
  <si>
    <t xml:space="preserve">STAB 2</t>
  </si>
  <si>
    <t xml:space="preserve">10 &lt; finesse &lt; 35</t>
  </si>
  <si>
    <t xml:space="preserve">STAB 3</t>
  </si>
  <si>
    <t xml:space="preserve">15 &lt; Portance &lt; 40</t>
  </si>
  <si>
    <t xml:space="preserve">STAB 4</t>
  </si>
  <si>
    <t xml:space="preserve">2*D &lt; Ms &lt; 6*D</t>
  </si>
  <si>
    <t xml:space="preserve">STAB 5</t>
  </si>
  <si>
    <t xml:space="preserve">40 &lt; Ms x Cn &lt; 100</t>
  </si>
  <si>
    <t xml:space="preserve">Longueur totale</t>
  </si>
  <si>
    <t xml:space="preserve">Maître couple (m²)</t>
  </si>
  <si>
    <t xml:space="preserve">Diamètre max</t>
  </si>
  <si>
    <t xml:space="preserve">Site</t>
  </si>
  <si>
    <t xml:space="preserve">Envergure totale</t>
  </si>
  <si>
    <t xml:space="preserve">Temps culmi (s)</t>
  </si>
  <si>
    <t xml:space="preserve">Altitude culmi (m)</t>
  </si>
  <si>
    <t xml:space="preserve">CR 1</t>
  </si>
  <si>
    <t xml:space="preserve">Vitesse culmi (m/s)</t>
  </si>
  <si>
    <t xml:space="preserve">Diamètre max (40à200)</t>
  </si>
  <si>
    <t xml:space="preserve">Envergure totale &lt;720</t>
  </si>
  <si>
    <t xml:space="preserve">Temps balistique (s)</t>
  </si>
  <si>
    <t xml:space="preserve">Masse &lt;15</t>
  </si>
  <si>
    <t xml:space="preserve">CR 2</t>
  </si>
  <si>
    <t xml:space="preserve">Pensez à modifier l'inclinaison pour avoir les 2 valeurs.</t>
  </si>
  <si>
    <t xml:space="preserve">MEC 3</t>
  </si>
  <si>
    <t xml:space="preserve">Compression 2.Acc.M</t>
  </si>
  <si>
    <t xml:space="preserve">Resist long aileron</t>
  </si>
  <si>
    <t xml:space="preserve">Masse aileron (kg)</t>
  </si>
  <si>
    <t xml:space="preserve">Resist transv aileron</t>
  </si>
  <si>
    <t xml:space="preserve">Surface aileron (m²)</t>
  </si>
  <si>
    <t xml:space="preserve">REC 8</t>
  </si>
  <si>
    <t xml:space="preserve">Compression porte</t>
  </si>
  <si>
    <t xml:space="preserve">Masse au-dessus porte</t>
  </si>
  <si>
    <t xml:space="preserve">SEQ 5</t>
  </si>
  <si>
    <t xml:space="preserve">T dépotage +/-2s /appogée</t>
  </si>
  <si>
    <t xml:space="preserve">REC 2</t>
  </si>
  <si>
    <t xml:space="preserve">Surface parachute m²</t>
  </si>
  <si>
    <t xml:space="preserve">Vitesse à l'ouverture m/s</t>
  </si>
  <si>
    <t xml:space="preserve">Choc à l'ouverture   N </t>
  </si>
  <si>
    <t xml:space="preserve">Choc à l'ouverture   kg</t>
  </si>
  <si>
    <t xml:space="preserve">Donneés au format des fiches de lancement Fusex :</t>
  </si>
  <si>
    <t xml:space="preserve">MECANIQUE</t>
  </si>
  <si>
    <t xml:space="preserve">Projet</t>
  </si>
  <si>
    <t xml:space="preserve">Chef de projet</t>
  </si>
  <si>
    <t xml:space="preserve">Date</t>
  </si>
  <si>
    <t xml:space="preserve">Moteur</t>
  </si>
  <si>
    <t xml:space="preserve">Virole</t>
  </si>
  <si>
    <t xml:space="preserve">Dr = </t>
  </si>
  <si>
    <t xml:space="preserve">Nb Aileron</t>
  </si>
  <si>
    <t xml:space="preserve">X_plaque de poussée</t>
  </si>
  <si>
    <t xml:space="preserve">Type ogive</t>
  </si>
  <si>
    <t xml:space="preserve">ogivale</t>
  </si>
  <si>
    <t xml:space="preserve">parabolique</t>
  </si>
  <si>
    <t xml:space="preserve">Epaisseur :</t>
  </si>
  <si>
    <t xml:space="preserve">Sans propu</t>
  </si>
  <si>
    <t xml:space="preserve">Propu plein</t>
  </si>
  <si>
    <t xml:space="preserve">Masse fusée</t>
  </si>
  <si>
    <t xml:space="preserve">X_CdG</t>
  </si>
  <si>
    <t xml:space="preserve">Masse avec propu vide</t>
  </si>
  <si>
    <t xml:space="preserve">Simulation de vol</t>
  </si>
  <si>
    <t xml:space="preserve">Tenue mécanique</t>
  </si>
  <si>
    <t xml:space="preserve">masse d'un aileron</t>
  </si>
  <si>
    <t xml:space="preserve">superficie d'un aileron</t>
  </si>
  <si>
    <t xml:space="preserve">fleche acceptable(mm)</t>
  </si>
  <si>
    <t xml:space="preserve">compression</t>
  </si>
  <si>
    <t xml:space="preserve">Resistance longitudinale d'un aileron</t>
  </si>
  <si>
    <t xml:space="preserve">Resistance transversale d'un aileron</t>
  </si>
  <si>
    <t xml:space="preserve">Récupération</t>
  </si>
  <si>
    <t xml:space="preserve">Ralentisseur</t>
  </si>
  <si>
    <t xml:space="preserve">nombre de suspentes</t>
  </si>
  <si>
    <t xml:space="preserve">surface parachute</t>
  </si>
  <si>
    <t xml:space="preserve">force à tester totale</t>
  </si>
  <si>
    <t xml:space="preserve">force sur suspente</t>
  </si>
  <si>
    <t xml:space="preserve">Séparation latérale</t>
  </si>
  <si>
    <t xml:space="preserve">masse au dessus case para</t>
  </si>
  <si>
    <t xml:space="preserve">Force de compression</t>
  </si>
</sst>
</file>

<file path=xl/styles.xml><?xml version="1.0" encoding="utf-8"?>
<styleSheet xmlns="http://schemas.openxmlformats.org/spreadsheetml/2006/main">
  <numFmts count="50">
    <numFmt numFmtId="164" formatCode="General"/>
    <numFmt numFmtId="165" formatCode="General"/>
    <numFmt numFmtId="166" formatCode="General&quot; mm&quot;"/>
    <numFmt numFmtId="167" formatCode="General&quot; g&quot;"/>
    <numFmt numFmtId="168" formatCode="General&quot; kg&quot;"/>
    <numFmt numFmtId="169" formatCode="0&quot; mm&quot;"/>
    <numFmt numFmtId="170" formatCode="0.0"/>
    <numFmt numFmtId="171" formatCode="hh:mm"/>
    <numFmt numFmtId="172" formatCode="dd/mm/yyyy"/>
    <numFmt numFmtId="173" formatCode="0"/>
    <numFmt numFmtId="174" formatCode="General&quot; D&quot;"/>
    <numFmt numFmtId="175" formatCode="0.00&quot; D&quot;"/>
    <numFmt numFmtId="176" formatCode="0&quot;% L&quot;"/>
    <numFmt numFmtId="177" formatCode="0&quot; G&quot;"/>
    <numFmt numFmtId="178" formatCode="0&quot; m&quot;"/>
    <numFmt numFmtId="179" formatCode="0.00"/>
    <numFmt numFmtId="180" formatCode="General&quot; kg&quot;"/>
    <numFmt numFmtId="181" formatCode="0.000000&quot; m²&quot;"/>
    <numFmt numFmtId="182" formatCode="General&quot; m&quot;"/>
    <numFmt numFmtId="183" formatCode="General&quot; °&quot;"/>
    <numFmt numFmtId="184" formatCode="0.0&quot; m/s&quot;"/>
    <numFmt numFmtId="185" formatCode="0&quot; m/s&quot;"/>
    <numFmt numFmtId="186" formatCode="0&quot; m/s²&quot;"/>
    <numFmt numFmtId="187" formatCode="0.0&quot; s&quot;"/>
    <numFmt numFmtId="188" formatCode="0.0&quot; N&quot;"/>
    <numFmt numFmtId="189" formatCode="General&quot; s&quot;"/>
    <numFmt numFmtId="190" formatCode="0.00&quot; m²&quot;"/>
    <numFmt numFmtId="191" formatCode="General&quot; m²&quot;"/>
    <numFmt numFmtId="192" formatCode="0&quot; J&quot;"/>
    <numFmt numFmtId="193" formatCode="General&quot; m/s&quot;"/>
    <numFmt numFmtId="194" formatCode="0&quot; s&quot;"/>
    <numFmt numFmtId="195" formatCode="&quot;± &quot;0&quot; m&quot;"/>
    <numFmt numFmtId="196" formatCode="0.0&quot; N.s&quot;"/>
    <numFmt numFmtId="197" formatCode="0.#"/>
    <numFmt numFmtId="198" formatCode="0.00&quot; s&quot;"/>
    <numFmt numFmtId="199" formatCode="0.0&quot; mm&quot;"/>
    <numFmt numFmtId="200" formatCode="0.000"/>
    <numFmt numFmtId="201" formatCode="General&quot; kg ±100%&quot;"/>
    <numFmt numFmtId="202" formatCode="0&quot; mm ±50%&quot;"/>
    <numFmt numFmtId="203" formatCode="&quot;Ø = &quot;0&quot; mm&quot;"/>
    <numFmt numFmtId="204" formatCode="General&quot; m/s²&quot;"/>
    <numFmt numFmtId="205" formatCode="General\°"/>
    <numFmt numFmtId="206" formatCode="#,##0.000\ [$KG]"/>
    <numFmt numFmtId="207" formatCode="#,##0\ [$ mm²]"/>
    <numFmt numFmtId="208" formatCode="#,#00\ [$ mm]"/>
    <numFmt numFmtId="209" formatCode="#,##0\ [$mm]"/>
    <numFmt numFmtId="210" formatCode="#,##0.0\ [$ N]"/>
    <numFmt numFmtId="211" formatCode="#,##0"/>
    <numFmt numFmtId="212" formatCode="#,##0.00000\ [$ m²]"/>
    <numFmt numFmtId="213" formatCode="#,##0.0\ [$ kg]"/>
  </numFmts>
  <fonts count="56">
    <font>
      <sz val="10"/>
      <name val="Arial"/>
      <family val="2"/>
      <charset val="1"/>
    </font>
    <font>
      <sz val="10"/>
      <name val="Arial"/>
      <family val="0"/>
    </font>
    <font>
      <sz val="10"/>
      <name val="Arial"/>
      <family val="0"/>
    </font>
    <font>
      <sz val="10"/>
      <name val="Arial"/>
      <family val="0"/>
    </font>
    <font>
      <b val="true"/>
      <sz val="10"/>
      <name val="Arial"/>
      <family val="2"/>
      <charset val="1"/>
    </font>
    <font>
      <sz val="8"/>
      <name val="Arial"/>
      <family val="2"/>
      <charset val="1"/>
    </font>
    <font>
      <b val="true"/>
      <sz val="20"/>
      <color rgb="FFFFFFFF"/>
      <name val="Arial"/>
      <family val="2"/>
      <charset val="1"/>
    </font>
    <font>
      <b val="true"/>
      <sz val="12"/>
      <name val="Times New Roman"/>
      <family val="1"/>
      <charset val="1"/>
    </font>
    <font>
      <b val="true"/>
      <sz val="10"/>
      <color rgb="FFFF0000"/>
      <name val="Arial"/>
      <family val="2"/>
      <charset val="1"/>
    </font>
    <font>
      <b val="true"/>
      <sz val="12"/>
      <name val="Arial"/>
      <family val="2"/>
      <charset val="1"/>
    </font>
    <font>
      <sz val="10"/>
      <color rgb="FF808080"/>
      <name val="Arial"/>
      <family val="2"/>
      <charset val="1"/>
    </font>
    <font>
      <sz val="8"/>
      <color rgb="FF808080"/>
      <name val="Arial"/>
      <family val="2"/>
      <charset val="1"/>
    </font>
    <font>
      <b val="true"/>
      <sz val="10"/>
      <color rgb="FF808080"/>
      <name val="Arial"/>
      <family val="2"/>
      <charset val="1"/>
    </font>
    <font>
      <sz val="10"/>
      <color rgb="FF0000FF"/>
      <name val="Arial"/>
      <family val="2"/>
      <charset val="1"/>
    </font>
    <font>
      <b val="true"/>
      <sz val="8"/>
      <name val="Arial"/>
      <family val="2"/>
      <charset val="1"/>
    </font>
    <font>
      <b val="true"/>
      <sz val="14"/>
      <color rgb="FFFF0000"/>
      <name val="Arial"/>
      <family val="2"/>
      <charset val="1"/>
    </font>
    <font>
      <sz val="8"/>
      <color rgb="FFFFFFFF"/>
      <name val="Arial"/>
      <family val="2"/>
      <charset val="1"/>
    </font>
    <font>
      <u val="single"/>
      <sz val="10"/>
      <color rgb="FF0000FF"/>
      <name val="Arial"/>
      <family val="2"/>
      <charset val="1"/>
    </font>
    <font>
      <b val="true"/>
      <sz val="8"/>
      <color rgb="FF000000"/>
      <name val="Tahoma"/>
      <family val="2"/>
      <charset val="1"/>
    </font>
    <font>
      <sz val="8"/>
      <color rgb="FF000000"/>
      <name val="Tahoma"/>
      <family val="2"/>
      <charset val="1"/>
    </font>
    <font>
      <i val="true"/>
      <sz val="8"/>
      <color rgb="FF000000"/>
      <name val="Tahoma"/>
      <family val="2"/>
      <charset val="1"/>
    </font>
    <font>
      <b val="true"/>
      <i val="true"/>
      <sz val="8"/>
      <color rgb="FF000000"/>
      <name val="Tahoma"/>
      <family val="2"/>
      <charset val="1"/>
    </font>
    <font>
      <b val="true"/>
      <u val="single"/>
      <sz val="8"/>
      <color rgb="FF000000"/>
      <name val="Tahoma"/>
      <family val="2"/>
      <charset val="1"/>
    </font>
    <font>
      <sz val="8"/>
      <color rgb="FFFF0000"/>
      <name val="Tahoma"/>
      <family val="2"/>
      <charset val="1"/>
    </font>
    <font>
      <i val="true"/>
      <sz val="8"/>
      <color rgb="FFFF0000"/>
      <name val="Tahoma"/>
      <family val="2"/>
      <charset val="1"/>
    </font>
    <font>
      <b val="true"/>
      <sz val="8"/>
      <color rgb="FF800000"/>
      <name val="Tahoma"/>
      <family val="2"/>
      <charset val="1"/>
    </font>
    <font>
      <i val="true"/>
      <sz val="8"/>
      <color rgb="FF800000"/>
      <name val="Tahoma"/>
      <family val="2"/>
      <charset val="1"/>
    </font>
    <font>
      <sz val="8"/>
      <color rgb="FF0000FF"/>
      <name val="Tahoma"/>
      <family val="2"/>
      <charset val="1"/>
    </font>
    <font>
      <i val="true"/>
      <sz val="8"/>
      <color rgb="FF0000FF"/>
      <name val="Tahoma"/>
      <family val="2"/>
      <charset val="1"/>
    </font>
    <font>
      <sz val="5"/>
      <color rgb="FF000000"/>
      <name val="Arial"/>
      <family val="2"/>
    </font>
    <font>
      <sz val="10"/>
      <color rgb="FF000000"/>
      <name val="Calibri"/>
      <family val="2"/>
    </font>
    <font>
      <sz val="6"/>
      <color rgb="FF000000"/>
      <name val="Arial"/>
      <family val="2"/>
    </font>
    <font>
      <b val="true"/>
      <sz val="9"/>
      <name val="Arial"/>
      <family val="2"/>
      <charset val="1"/>
    </font>
    <font>
      <b val="true"/>
      <sz val="10"/>
      <color rgb="FF008000"/>
      <name val="Arial"/>
      <family val="2"/>
      <charset val="1"/>
    </font>
    <font>
      <b val="true"/>
      <sz val="10"/>
      <color rgb="FF000080"/>
      <name val="Arial"/>
      <family val="2"/>
      <charset val="1"/>
    </font>
    <font>
      <b val="true"/>
      <sz val="10"/>
      <color rgb="FFFF6600"/>
      <name val="Arial"/>
      <family val="2"/>
      <charset val="1"/>
    </font>
    <font>
      <b val="true"/>
      <sz val="10"/>
      <color rgb="FF003300"/>
      <name val="Arial"/>
      <family val="2"/>
      <charset val="1"/>
    </font>
    <font>
      <sz val="10"/>
      <color rgb="FFFF0000"/>
      <name val="Arial"/>
      <family val="2"/>
      <charset val="1"/>
    </font>
    <font>
      <b val="true"/>
      <sz val="8"/>
      <color rgb="FF0000FF"/>
      <name val="Arial"/>
      <family val="2"/>
    </font>
    <font>
      <b val="true"/>
      <sz val="12"/>
      <color rgb="FF000000"/>
      <name val="Arial"/>
      <family val="2"/>
    </font>
    <font>
      <sz val="12"/>
      <color rgb="FF000000"/>
      <name val="Arial"/>
      <family val="2"/>
    </font>
    <font>
      <b val="true"/>
      <sz val="10"/>
      <color rgb="FF000000"/>
      <name val="Arial"/>
      <family val="2"/>
    </font>
    <font>
      <sz val="9.7"/>
      <color rgb="FF000000"/>
      <name val="Arial"/>
      <family val="2"/>
    </font>
    <font>
      <sz val="11.75"/>
      <color rgb="FF000000"/>
      <name val="Arial"/>
      <family val="2"/>
    </font>
    <font>
      <sz val="10"/>
      <color rgb="FF000000"/>
      <name val="Arial"/>
      <family val="2"/>
    </font>
    <font>
      <b val="true"/>
      <sz val="11.75"/>
      <color rgb="FF000000"/>
      <name val="Arial"/>
      <family val="2"/>
    </font>
    <font>
      <sz val="10"/>
      <color rgb="FFFFFFFF"/>
      <name val="Arial"/>
      <family val="2"/>
      <charset val="1"/>
    </font>
    <font>
      <u val="single"/>
      <sz val="10"/>
      <name val="Arial"/>
      <family val="2"/>
      <charset val="1"/>
    </font>
    <font>
      <b val="true"/>
      <sz val="18"/>
      <color rgb="FF000000"/>
      <name val="Calibri"/>
      <family val="2"/>
    </font>
    <font>
      <b val="true"/>
      <sz val="10"/>
      <color rgb="FF000000"/>
      <name val="Calibri"/>
      <family val="2"/>
    </font>
    <font>
      <sz val="9.2"/>
      <color rgb="FF000000"/>
      <name val="Calibri"/>
      <family val="2"/>
    </font>
    <font>
      <b val="true"/>
      <u val="single"/>
      <sz val="10"/>
      <name val="Arial"/>
      <family val="2"/>
      <charset val="1"/>
    </font>
    <font>
      <strike val="true"/>
      <sz val="10"/>
      <name val="Arial"/>
      <family val="2"/>
      <charset val="1"/>
    </font>
    <font>
      <b val="true"/>
      <sz val="6"/>
      <name val="Arial"/>
      <family val="2"/>
      <charset val="1"/>
    </font>
    <font>
      <b val="true"/>
      <u val="single"/>
      <sz val="12"/>
      <name val="Arial"/>
      <family val="2"/>
      <charset val="1"/>
    </font>
    <font>
      <b val="true"/>
      <i val="true"/>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FFCC99"/>
        <bgColor rgb="FFD9D9D9"/>
      </patternFill>
    </fill>
    <fill>
      <patternFill patternType="solid">
        <fgColor rgb="FFFFFF99"/>
        <bgColor rgb="FFFFFFCC"/>
      </patternFill>
    </fill>
    <fill>
      <patternFill patternType="solid">
        <fgColor rgb="FF99CCFF"/>
        <bgColor rgb="FFC0C0C0"/>
      </patternFill>
    </fill>
    <fill>
      <patternFill patternType="solid">
        <fgColor rgb="FFCCFFFF"/>
        <bgColor rgb="FFCCFFCC"/>
      </patternFill>
    </fill>
    <fill>
      <patternFill patternType="solid">
        <fgColor rgb="FFCCFFCC"/>
        <bgColor rgb="FFCCFFFF"/>
      </patternFill>
    </fill>
    <fill>
      <patternFill patternType="solid">
        <fgColor rgb="FFFFFFFF"/>
        <bgColor rgb="FFFFFFCC"/>
      </patternFill>
    </fill>
    <fill>
      <patternFill patternType="solid">
        <fgColor rgb="FFE6E6E6"/>
        <bgColor rgb="FFD9D9D9"/>
      </patternFill>
    </fill>
  </fills>
  <borders count="5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medium"/>
      <top/>
      <bottom/>
      <diagonal/>
    </border>
    <border diagonalUp="false" diagonalDown="false">
      <left style="thick">
        <color rgb="FF000080"/>
      </left>
      <right style="thick">
        <color rgb="FF000080"/>
      </right>
      <top style="thick">
        <color rgb="FF000080"/>
      </top>
      <bottom style="thick">
        <color rgb="FF000080"/>
      </bottom>
      <diagonal/>
    </border>
    <border diagonalUp="false" diagonalDown="false">
      <left style="thin"/>
      <right style="thin"/>
      <top/>
      <bottom style="thin"/>
      <diagonal/>
    </border>
    <border diagonalUp="false" diagonalDown="false">
      <left style="thick">
        <color rgb="FFFF00FF"/>
      </left>
      <right style="thick">
        <color rgb="FFFF00FF"/>
      </right>
      <top style="thick">
        <color rgb="FFFF00FF"/>
      </top>
      <bottom style="thick">
        <color rgb="FFFF00FF"/>
      </bottom>
      <diagonal/>
    </border>
    <border diagonalUp="false" diagonalDown="false">
      <left style="thin"/>
      <right style="double"/>
      <top/>
      <bottom style="thin"/>
      <diagonal/>
    </border>
    <border diagonalUp="false" diagonalDown="false">
      <left/>
      <right/>
      <top style="thin"/>
      <bottom style="thick">
        <color rgb="FF800080"/>
      </bottom>
      <diagonal/>
    </border>
    <border diagonalUp="false" diagonalDown="false">
      <left style="thick">
        <color rgb="FF800080"/>
      </left>
      <right style="thick">
        <color rgb="FF800080"/>
      </right>
      <top style="thick">
        <color rgb="FF800080"/>
      </top>
      <bottom style="thick">
        <color rgb="FF800080"/>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00FF00"/>
      </left>
      <right style="thick">
        <color rgb="FF339966"/>
      </right>
      <top style="thick">
        <color rgb="FF339966"/>
      </top>
      <bottom style="thick">
        <color rgb="FF339966"/>
      </bottom>
      <diagonal/>
    </border>
    <border diagonalUp="false" diagonalDown="false">
      <left style="thick">
        <color rgb="FF339966"/>
      </left>
      <right style="mediumDashed">
        <color rgb="FFFF0000"/>
      </right>
      <top style="mediumDashed">
        <color rgb="FFFF0000"/>
      </top>
      <bottom style="mediumDashed">
        <color rgb="FFFF0000"/>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color rgb="FF808080"/>
      </bottom>
      <diagonal/>
    </border>
    <border diagonalUp="false" diagonalDown="false">
      <left style="thin"/>
      <right style="thin"/>
      <top style="thin">
        <color rgb="FF808080"/>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style="medium"/>
      <bottom style="thin"/>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5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center"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true">
      <alignment horizontal="general" vertical="bottom" textRotation="0" wrapText="false" indent="0" shrinkToFit="false"/>
      <protection locked="true" hidden="true"/>
    </xf>
    <xf numFmtId="164" fontId="4" fillId="0" borderId="1"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true" applyProtection="false">
      <alignment horizontal="center" vertical="bottom" textRotation="0" wrapText="false" indent="0" shrinkToFit="false"/>
      <protection locked="true" hidden="false"/>
    </xf>
    <xf numFmtId="164" fontId="5" fillId="0" borderId="2" xfId="21" applyFont="true" applyBorder="true" applyAlignment="false" applyProtection="false">
      <alignment horizontal="general" vertical="bottom" textRotation="0" wrapText="false" indent="0" shrinkToFit="false"/>
      <protection locked="true" hidden="false"/>
    </xf>
    <xf numFmtId="164" fontId="0" fillId="0" borderId="2" xfId="21" applyFont="true" applyBorder="true" applyAlignment="false" applyProtection="true">
      <alignment horizontal="general" vertical="bottom" textRotation="0" wrapText="false" indent="0" shrinkToFit="false"/>
      <protection locked="true" hidden="true"/>
    </xf>
    <xf numFmtId="164" fontId="0" fillId="0" borderId="3" xfId="21" applyFont="true" applyBorder="true" applyAlignment="false" applyProtection="false">
      <alignment horizontal="general" vertical="bottom" textRotation="0" wrapText="false" indent="0" shrinkToFit="false"/>
      <protection locked="true" hidden="false"/>
    </xf>
    <xf numFmtId="164" fontId="4" fillId="0" borderId="4" xfId="21" applyFont="true" applyBorder="true" applyAlignment="false" applyProtection="false">
      <alignment horizontal="general" vertical="bottom" textRotation="0" wrapText="false" indent="0" shrinkToFit="false"/>
      <protection locked="true" hidden="false"/>
    </xf>
    <xf numFmtId="164" fontId="6" fillId="2" borderId="0" xfId="21" applyFont="true" applyBorder="true" applyAlignment="true" applyProtection="false">
      <alignment horizontal="center" vertical="bottom" textRotation="0" wrapText="false" indent="0" shrinkToFit="false"/>
      <protection locked="true" hidden="false"/>
    </xf>
    <xf numFmtId="165" fontId="4" fillId="3" borderId="5" xfId="21" applyFont="true" applyBorder="true" applyAlignment="true" applyProtection="false">
      <alignment horizontal="center" vertical="bottom" textRotation="0" wrapText="false" indent="0" shrinkToFit="false"/>
      <protection locked="true" hidden="false"/>
    </xf>
    <xf numFmtId="164" fontId="4" fillId="4" borderId="6" xfId="21" applyFont="true" applyBorder="true" applyAlignment="true" applyProtection="true">
      <alignment horizontal="center" vertical="bottom" textRotation="0" wrapText="false" indent="0" shrinkToFit="false"/>
      <protection locked="false" hidden="false"/>
    </xf>
    <xf numFmtId="164" fontId="0" fillId="0" borderId="7" xfId="21"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true"/>
    </xf>
    <xf numFmtId="164" fontId="0" fillId="0" borderId="0" xfId="21" applyFont="true" applyBorder="false" applyAlignment="true" applyProtection="true">
      <alignment horizontal="center" vertical="bottom" textRotation="0" wrapText="false" indent="0" shrinkToFit="false"/>
      <protection locked="true" hidden="true"/>
    </xf>
    <xf numFmtId="165" fontId="4" fillId="0" borderId="0"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false" applyAlignment="false" applyProtection="true">
      <alignment horizontal="general" vertical="bottom" textRotation="0" wrapText="false" indent="0" shrinkToFit="false"/>
      <protection locked="true" hidden="true"/>
    </xf>
    <xf numFmtId="164" fontId="7" fillId="0" borderId="0" xfId="21" applyFont="true" applyBorder="fals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center" vertical="bottom" textRotation="0" wrapText="false" indent="0" shrinkToFit="false"/>
      <protection locked="true" hidden="false"/>
    </xf>
    <xf numFmtId="164" fontId="4" fillId="3" borderId="5" xfId="21" applyFont="true" applyBorder="true" applyAlignment="true" applyProtection="true">
      <alignment horizontal="center" vertical="bottom" textRotation="0" wrapText="false" indent="0" shrinkToFit="false"/>
      <protection locked="true" hidden="true"/>
    </xf>
    <xf numFmtId="164" fontId="4" fillId="0" borderId="7" xfId="21" applyFont="true" applyBorder="true" applyAlignment="false" applyProtection="false">
      <alignment horizontal="general" vertical="bottom" textRotation="0" wrapText="false" indent="0" shrinkToFit="false"/>
      <protection locked="true" hidden="false"/>
    </xf>
    <xf numFmtId="165" fontId="4" fillId="0" borderId="0" xfId="21" applyFont="true" applyBorder="true" applyAlignment="true" applyProtection="fals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true"/>
    </xf>
    <xf numFmtId="166" fontId="4" fillId="4" borderId="5" xfId="21" applyFont="true" applyBorder="true" applyAlignment="true" applyProtection="true">
      <alignment horizontal="center" vertical="bottom" textRotation="0" wrapText="false" indent="0" shrinkToFit="false"/>
      <protection locked="false" hidden="false"/>
    </xf>
    <xf numFmtId="165" fontId="4" fillId="3" borderId="8"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center" vertical="center" textRotation="0" wrapText="false" indent="0" shrinkToFit="false"/>
      <protection locked="true" hidden="true"/>
    </xf>
    <xf numFmtId="164" fontId="9" fillId="4" borderId="9" xfId="21" applyFont="true" applyBorder="true" applyAlignment="true" applyProtection="true">
      <alignment horizontal="center" vertical="center" textRotation="0" wrapText="false" indent="0" shrinkToFit="false"/>
      <protection locked="false" hidden="false"/>
    </xf>
    <xf numFmtId="164" fontId="5" fillId="0" borderId="0" xfId="21" applyFont="true" applyBorder="false" applyAlignment="false" applyProtection="true">
      <alignment horizontal="general" vertical="bottom" textRotation="0" wrapText="false" indent="0" shrinkToFit="false"/>
      <protection locked="true" hidden="true"/>
    </xf>
    <xf numFmtId="164" fontId="9" fillId="4" borderId="5" xfId="21" applyFont="true" applyBorder="true" applyAlignment="true" applyProtection="true">
      <alignment horizontal="center" vertical="center" textRotation="0" wrapText="false" indent="0" shrinkToFit="false"/>
      <protection locked="false" hidden="false"/>
    </xf>
    <xf numFmtId="167" fontId="4" fillId="4" borderId="5" xfId="21" applyFont="true" applyBorder="true" applyAlignment="true" applyProtection="true">
      <alignment horizontal="center" vertical="bottom" textRotation="0" wrapText="false" indent="0" shrinkToFit="false"/>
      <protection locked="false" hidden="false"/>
    </xf>
    <xf numFmtId="164" fontId="0" fillId="4" borderId="6"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5" fontId="11" fillId="5" borderId="5"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false" applyAlignment="false" applyProtection="false">
      <alignment horizontal="general" vertical="bottom" textRotation="0" wrapText="false" indent="0" shrinkToFit="false"/>
      <protection locked="true" hidden="false"/>
    </xf>
    <xf numFmtId="165" fontId="12" fillId="5" borderId="5" xfId="21" applyFont="true" applyBorder="true" applyAlignment="true" applyProtection="true">
      <alignment horizontal="center" vertical="bottom" textRotation="0" wrapText="false" indent="0" shrinkToFit="false"/>
      <protection locked="true" hidden="true"/>
    </xf>
    <xf numFmtId="165" fontId="10" fillId="5"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true"/>
    </xf>
    <xf numFmtId="164" fontId="10" fillId="6" borderId="5" xfId="21" applyFont="true" applyBorder="true" applyAlignment="true" applyProtection="false">
      <alignment horizontal="center" vertical="bottom" textRotation="0" wrapText="false" indent="0" shrinkToFit="false"/>
      <protection locked="true" hidden="false"/>
    </xf>
    <xf numFmtId="166" fontId="10" fillId="6"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false">
      <alignment horizontal="center" vertical="bottom" textRotation="0" wrapText="false" indent="0" shrinkToFit="false"/>
      <protection locked="true" hidden="false"/>
    </xf>
    <xf numFmtId="165" fontId="13" fillId="5" borderId="5" xfId="21" applyFont="true" applyBorder="true" applyAlignment="true" applyProtection="true">
      <alignment horizontal="center" vertical="bottom" textRotation="0" wrapText="false" indent="0" shrinkToFit="false"/>
      <protection locked="true" hidden="true"/>
    </xf>
    <xf numFmtId="169" fontId="13" fillId="6" borderId="5" xfId="21" applyFont="true" applyBorder="true" applyAlignment="true" applyProtection="false">
      <alignment horizontal="center" vertical="bottom" textRotation="0" wrapText="false" indent="0" shrinkToFit="false"/>
      <protection locked="true" hidden="false"/>
    </xf>
    <xf numFmtId="169" fontId="10" fillId="6" borderId="5" xfId="21" applyFont="true" applyBorder="true" applyAlignment="true" applyProtection="true">
      <alignment horizontal="center" vertical="bottom" textRotation="0" wrapText="false" indent="0" shrinkToFit="false"/>
      <protection locked="true" hidden="true"/>
    </xf>
    <xf numFmtId="165" fontId="4" fillId="3" borderId="10" xfId="21" applyFont="true" applyBorder="true" applyAlignment="true" applyProtection="true">
      <alignment horizontal="center" vertical="bottom" textRotation="0" wrapText="false" indent="0" shrinkToFit="false"/>
      <protection locked="true" hidden="true"/>
    </xf>
    <xf numFmtId="164" fontId="8" fillId="4" borderId="11"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false" applyAlignment="false" applyProtection="true">
      <alignment horizontal="general" vertical="bottom" textRotation="0" wrapText="false" indent="0" shrinkToFit="false"/>
      <protection locked="true" hidden="true"/>
    </xf>
    <xf numFmtId="164" fontId="10" fillId="5" borderId="5"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false" applyAlignment="false" applyProtection="true">
      <alignment horizontal="general" vertical="bottom" textRotation="0" wrapText="false" indent="0" shrinkToFit="false"/>
      <protection locked="true" hidden="true"/>
    </xf>
    <xf numFmtId="169" fontId="10" fillId="6" borderId="5" xfId="21" applyFont="true" applyBorder="true" applyAlignment="true" applyProtection="false">
      <alignment horizontal="center" vertical="bottom" textRotation="0" wrapText="false" indent="0" shrinkToFit="false"/>
      <protection locked="true" hidden="false"/>
    </xf>
    <xf numFmtId="170" fontId="10" fillId="6" borderId="5"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false" applyAlignment="true" applyProtection="true">
      <alignment horizontal="right" vertical="bottom" textRotation="0" wrapText="false" indent="0" shrinkToFit="false"/>
      <protection locked="true" hidden="true"/>
    </xf>
    <xf numFmtId="164" fontId="8" fillId="0" borderId="12" xfId="21" applyFont="true" applyBorder="true" applyAlignment="true" applyProtection="false">
      <alignment horizontal="center" vertical="bottom" textRotation="0" wrapText="false" indent="0" shrinkToFit="false"/>
      <protection locked="true" hidden="false"/>
    </xf>
    <xf numFmtId="164" fontId="4" fillId="0" borderId="0" xfId="21" applyFont="true" applyBorder="false" applyAlignment="true" applyProtection="true">
      <alignment horizontal="center" vertical="bottom" textRotation="0" wrapText="false" indent="0" shrinkToFit="false"/>
      <protection locked="true" hidden="true"/>
    </xf>
    <xf numFmtId="165" fontId="4" fillId="3" borderId="13" xfId="21" applyFont="true" applyBorder="true" applyAlignment="true" applyProtection="true">
      <alignment horizontal="center" vertical="bottom" textRotation="0" wrapText="false" indent="0" shrinkToFit="false"/>
      <protection locked="true" hidden="true"/>
    </xf>
    <xf numFmtId="164" fontId="4" fillId="4" borderId="11" xfId="21" applyFont="true" applyBorder="true" applyAlignment="true" applyProtection="true">
      <alignment horizontal="center" vertical="bottom" textRotation="0" wrapText="false" indent="0" shrinkToFit="false"/>
      <protection locked="false" hidden="false"/>
    </xf>
    <xf numFmtId="164" fontId="10" fillId="5" borderId="5" xfId="21" applyFont="true" applyBorder="true" applyAlignment="true" applyProtection="true">
      <alignment horizontal="center" vertical="bottom" textRotation="0" wrapText="false" indent="0" shrinkToFit="false"/>
      <protection locked="true" hidden="true"/>
    </xf>
    <xf numFmtId="164" fontId="4" fillId="3" borderId="14" xfId="21" applyFont="true" applyBorder="true" applyAlignment="true" applyProtection="true">
      <alignment horizontal="center" vertical="bottom" textRotation="0" wrapText="false" indent="0" shrinkToFit="false"/>
      <protection locked="true" hidden="true"/>
    </xf>
    <xf numFmtId="165" fontId="4" fillId="3" borderId="15" xfId="21" applyFont="true" applyBorder="true" applyAlignment="true" applyProtection="true">
      <alignment horizontal="center" vertical="bottom" textRotation="0" wrapText="false" indent="0" shrinkToFit="false"/>
      <protection locked="true" hidden="true"/>
    </xf>
    <xf numFmtId="164" fontId="14" fillId="3" borderId="16" xfId="21" applyFont="true" applyBorder="true" applyAlignment="true" applyProtection="true">
      <alignment horizontal="center" vertical="bottom" textRotation="0" wrapText="false" indent="0" shrinkToFit="false"/>
      <protection locked="true" hidden="true"/>
    </xf>
    <xf numFmtId="164" fontId="0" fillId="0" borderId="0" xfId="21" applyFont="true" applyBorder="false" applyAlignment="false" applyProtection="false">
      <alignment horizontal="general" vertical="bottom" textRotation="0" wrapText="fals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71" fontId="4" fillId="4" borderId="6" xfId="21" applyFont="true" applyBorder="true" applyAlignment="true" applyProtection="true">
      <alignment horizontal="center" vertical="bottom" textRotation="0" wrapText="false" indent="0" shrinkToFit="false"/>
      <protection locked="false" hidden="false"/>
    </xf>
    <xf numFmtId="172" fontId="0" fillId="0" borderId="0" xfId="21" applyFont="true" applyBorder="false" applyAlignment="true" applyProtection="true">
      <alignment horizontal="center" vertical="bottom" textRotation="0" wrapText="false" indent="0" shrinkToFit="false"/>
      <protection locked="true" hidden="true"/>
    </xf>
    <xf numFmtId="164" fontId="4" fillId="5" borderId="5" xfId="21" applyFont="true" applyBorder="true" applyAlignment="true" applyProtection="true">
      <alignment horizontal="center" vertical="bottom" textRotation="0" wrapText="false" indent="0" shrinkToFit="false"/>
      <protection locked="true" hidden="true"/>
    </xf>
    <xf numFmtId="165" fontId="4" fillId="5" borderId="5"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left" vertical="bottom" textRotation="0" wrapText="false" indent="0" shrinkToFit="false"/>
      <protection locked="true" hidden="true"/>
    </xf>
    <xf numFmtId="166" fontId="4" fillId="4" borderId="9" xfId="21" applyFont="true" applyBorder="true" applyAlignment="true" applyProtection="true">
      <alignment horizontal="center" vertical="bottom" textRotation="0" wrapText="false" indent="0" shrinkToFit="false"/>
      <protection locked="false" hidden="false"/>
    </xf>
    <xf numFmtId="173" fontId="11" fillId="7" borderId="5" xfId="21" applyFont="true" applyBorder="true" applyAlignment="true" applyProtection="false">
      <alignment horizontal="center" vertical="bottom" textRotation="0" wrapText="false" indent="0" shrinkToFit="false"/>
      <protection locked="true" hidden="false"/>
    </xf>
    <xf numFmtId="164" fontId="4" fillId="5" borderId="5" xfId="21" applyFont="true" applyBorder="true" applyAlignment="true" applyProtection="false">
      <alignment horizontal="center" vertical="bottom" textRotation="0" wrapText="false" indent="0" shrinkToFit="false"/>
      <protection locked="true" hidden="false"/>
    </xf>
    <xf numFmtId="165" fontId="12" fillId="6" borderId="5" xfId="21" applyFont="true" applyBorder="true" applyAlignment="true" applyProtection="true">
      <alignment horizontal="center" vertical="bottom" textRotation="0" wrapText="false" indent="0" shrinkToFit="false"/>
      <protection locked="true" hidden="true"/>
    </xf>
    <xf numFmtId="170" fontId="4" fillId="6" borderId="5" xfId="21" applyFont="true" applyBorder="true" applyAlignment="true" applyProtection="false">
      <alignment horizontal="center" vertical="bottom" textRotation="0" wrapText="false" indent="0" shrinkToFit="false"/>
      <protection locked="true" hidden="false"/>
    </xf>
    <xf numFmtId="170" fontId="4" fillId="6" borderId="17" xfId="21" applyFont="true" applyBorder="true" applyAlignment="true" applyProtection="false">
      <alignment horizontal="center" vertical="bottom" textRotation="0" wrapText="false" indent="0" shrinkToFit="false"/>
      <protection locked="true" hidden="false"/>
    </xf>
    <xf numFmtId="165" fontId="4" fillId="5" borderId="18" xfId="21" applyFont="true" applyBorder="true" applyAlignment="true" applyProtection="false">
      <alignment horizontal="general" vertical="center" textRotation="0" wrapText="false" indent="0" shrinkToFit="false"/>
      <protection locked="true" hidden="false"/>
    </xf>
    <xf numFmtId="174" fontId="12" fillId="6" borderId="18" xfId="21" applyFont="true" applyBorder="true" applyAlignment="true" applyProtection="true">
      <alignment horizontal="center" vertical="center" textRotation="0" wrapText="false" indent="0" shrinkToFit="false"/>
      <protection locked="true" hidden="true"/>
    </xf>
    <xf numFmtId="175" fontId="4" fillId="6" borderId="5" xfId="21" applyFont="true" applyBorder="true" applyAlignment="true" applyProtection="false">
      <alignment horizontal="center" vertical="bottom" textRotation="0" wrapText="false" indent="0" shrinkToFit="false"/>
      <protection locked="true" hidden="false"/>
    </xf>
    <xf numFmtId="175" fontId="4" fillId="6" borderId="19" xfId="21" applyFont="true" applyBorder="true" applyAlignment="true" applyProtection="false">
      <alignment horizontal="center" vertical="bottom" textRotation="0" wrapText="false" indent="0" shrinkToFit="false"/>
      <protection locked="true" hidden="false"/>
    </xf>
    <xf numFmtId="165" fontId="4" fillId="5" borderId="18" xfId="21" applyFont="true" applyBorder="true" applyAlignment="true" applyProtection="false">
      <alignment horizontal="center" vertical="center" textRotation="0" wrapText="false" indent="0" shrinkToFit="false"/>
      <protection locked="true" hidden="false"/>
    </xf>
    <xf numFmtId="165" fontId="12" fillId="6" borderId="18" xfId="21" applyFont="true" applyBorder="true" applyAlignment="true" applyProtection="true">
      <alignment horizontal="center" vertical="center" textRotation="0" wrapText="false" indent="0" shrinkToFit="false"/>
      <protection locked="true" hidden="true"/>
    </xf>
    <xf numFmtId="170" fontId="4" fillId="6" borderId="19" xfId="21" applyFont="true" applyBorder="true" applyAlignment="true" applyProtection="false">
      <alignment horizontal="center" vertical="bottom" textRotation="0" wrapText="false" indent="0" shrinkToFit="false"/>
      <protection locked="true" hidden="false"/>
    </xf>
    <xf numFmtId="165" fontId="4" fillId="3" borderId="20" xfId="21" applyFont="true" applyBorder="true" applyAlignment="true" applyProtection="true">
      <alignment horizontal="left" vertical="bottom" textRotation="0" wrapText="false" indent="0" shrinkToFit="false"/>
      <protection locked="true" hidden="true"/>
    </xf>
    <xf numFmtId="164" fontId="12" fillId="5" borderId="5" xfId="21" applyFont="true" applyBorder="true" applyAlignment="true" applyProtection="false">
      <alignment horizontal="center" vertical="bottom" textRotation="0" wrapText="false" indent="0" shrinkToFit="false"/>
      <protection locked="true" hidden="false"/>
    </xf>
    <xf numFmtId="169" fontId="12" fillId="6" borderId="17" xfId="21" applyFont="true" applyBorder="true" applyAlignment="false" applyProtection="false">
      <alignment horizontal="general" vertical="bottom" textRotation="0" wrapText="false" indent="0" shrinkToFit="false"/>
      <protection locked="true" hidden="false"/>
    </xf>
    <xf numFmtId="164" fontId="4" fillId="6" borderId="5" xfId="21" applyFont="true" applyBorder="true" applyAlignment="true" applyProtection="true">
      <alignment horizontal="center" vertical="bottom" textRotation="0" wrapText="false" indent="0" shrinkToFit="false"/>
      <protection locked="true" hidden="true"/>
    </xf>
    <xf numFmtId="164" fontId="4" fillId="4" borderId="5" xfId="21" applyFont="true" applyBorder="true" applyAlignment="true" applyProtection="true">
      <alignment horizontal="center" vertical="bottom" textRotation="0" wrapText="false" indent="0" shrinkToFit="false"/>
      <protection locked="false" hidden="false"/>
    </xf>
    <xf numFmtId="176" fontId="12" fillId="6" borderId="5" xfId="21" applyFont="true" applyBorder="true" applyAlignment="true" applyProtection="false">
      <alignment horizontal="center" vertical="bottom" textRotation="0" wrapText="false" indent="0" shrinkToFit="false"/>
      <protection locked="true" hidden="false"/>
    </xf>
    <xf numFmtId="176" fontId="12" fillId="6" borderId="19" xfId="21" applyFont="true" applyBorder="true" applyAlignment="true" applyProtection="false">
      <alignment horizontal="center" vertical="bottom" textRotation="0" wrapText="false" indent="0" shrinkToFit="false"/>
      <protection locked="true" hidden="false"/>
    </xf>
    <xf numFmtId="164" fontId="15" fillId="6" borderId="5" xfId="21" applyFont="true" applyBorder="true" applyAlignment="true" applyProtection="false">
      <alignment horizontal="center" vertical="center" textRotation="0" wrapText="false" indent="0" shrinkToFit="false"/>
      <protection locked="true" hidden="false"/>
    </xf>
    <xf numFmtId="169" fontId="12" fillId="7" borderId="5" xfId="21" applyFont="true" applyBorder="true" applyAlignment="true" applyProtection="false">
      <alignment horizontal="center" vertical="bottom" textRotation="0" wrapText="false" indent="0" shrinkToFit="false"/>
      <protection locked="true" hidden="false"/>
    </xf>
    <xf numFmtId="164" fontId="4" fillId="0" borderId="21" xfId="21" applyFont="true" applyBorder="true" applyAlignment="false" applyProtection="false">
      <alignment horizontal="general" vertical="bottom" textRotation="0" wrapText="false" indent="0" shrinkToFit="false"/>
      <protection locked="true" hidden="false"/>
    </xf>
    <xf numFmtId="165" fontId="0" fillId="0" borderId="22" xfId="21" applyFont="true" applyBorder="true" applyAlignment="false" applyProtection="false">
      <alignment horizontal="general" vertical="bottom" textRotation="0" wrapText="false" indent="0" shrinkToFit="false"/>
      <protection locked="true" hidden="false"/>
    </xf>
    <xf numFmtId="164" fontId="4" fillId="0" borderId="22" xfId="21" applyFont="true" applyBorder="true" applyAlignment="true" applyProtection="true">
      <alignment horizontal="center" vertical="bottom" textRotation="0" wrapText="false" indent="0" shrinkToFit="false"/>
      <protection locked="false" hidden="false"/>
    </xf>
    <xf numFmtId="164" fontId="4" fillId="0" borderId="22" xfId="21" applyFont="true" applyBorder="true" applyAlignment="false" applyProtection="true">
      <alignment horizontal="general" vertical="bottom" textRotation="0" wrapText="false" indent="0" shrinkToFit="false"/>
      <protection locked="false" hidden="false"/>
    </xf>
    <xf numFmtId="164" fontId="5" fillId="0" borderId="22" xfId="21" applyFont="true" applyBorder="true" applyAlignment="false" applyProtection="true">
      <alignment horizontal="general" vertical="bottom" textRotation="0" wrapText="false" indent="0" shrinkToFit="false"/>
      <protection locked="false" hidden="false"/>
    </xf>
    <xf numFmtId="164" fontId="0" fillId="0" borderId="22" xfId="21" applyFont="true" applyBorder="true" applyAlignment="false" applyProtection="true">
      <alignment horizontal="general" vertical="bottom" textRotation="0" wrapText="false" indent="0" shrinkToFit="false"/>
      <protection locked="false" hidden="false"/>
    </xf>
    <xf numFmtId="164" fontId="11" fillId="0" borderId="22" xfId="21" applyFont="true" applyBorder="true" applyAlignment="true" applyProtection="false">
      <alignment horizontal="right" vertical="bottom" textRotation="0" wrapText="false" indent="0" shrinkToFit="false"/>
      <protection locked="true" hidden="false"/>
    </xf>
    <xf numFmtId="164" fontId="11" fillId="0" borderId="22" xfId="21" applyFont="true" applyBorder="true" applyAlignment="false" applyProtection="false">
      <alignment horizontal="general" vertical="bottom" textRotation="0" wrapText="false" indent="0" shrinkToFit="false"/>
      <protection locked="true" hidden="false"/>
    </xf>
    <xf numFmtId="165" fontId="16" fillId="0" borderId="22" xfId="21" applyFont="true" applyBorder="true" applyAlignment="true" applyProtection="false">
      <alignment horizontal="left" vertical="bottom" textRotation="0" wrapText="false" indent="0" shrinkToFit="false"/>
      <protection locked="true" hidden="false"/>
    </xf>
    <xf numFmtId="164" fontId="12" fillId="0" borderId="22" xfId="21" applyFont="true" applyBorder="true" applyAlignment="false" applyProtection="false">
      <alignment horizontal="general" vertical="bottom" textRotation="0" wrapText="false" indent="0" shrinkToFit="false"/>
      <protection locked="true" hidden="false"/>
    </xf>
    <xf numFmtId="164" fontId="11" fillId="0" borderId="23" xfId="21" applyFont="true" applyBorder="true" applyAlignment="true" applyProtection="false">
      <alignment horizontal="right" vertical="bottom"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17" fillId="0" borderId="0" xfId="20" applyFont="true" applyBorder="true" applyAlignment="true" applyProtection="true">
      <alignment horizontal="left" vertical="bottom" textRotation="0" wrapText="false" indent="0" shrinkToFit="false"/>
      <protection locked="true" hidden="true"/>
    </xf>
    <xf numFmtId="164" fontId="4" fillId="0" borderId="0" xfId="21" applyFont="true" applyBorder="false" applyAlignment="true" applyProtection="true">
      <alignment horizontal="center" vertical="bottom" textRotation="0" wrapText="false" indent="0" shrinkToFit="false"/>
      <protection locked="false" hidden="false"/>
    </xf>
    <xf numFmtId="166" fontId="4" fillId="0" borderId="0" xfId="21" applyFont="true" applyBorder="false" applyAlignment="false" applyProtection="false">
      <alignment horizontal="general" vertical="bottom" textRotation="0" wrapText="false" indent="0" shrinkToFit="false"/>
      <protection locked="true" hidden="false"/>
    </xf>
    <xf numFmtId="177" fontId="0" fillId="0" borderId="0" xfId="21" applyFont="true" applyBorder="false" applyAlignment="false" applyProtection="true">
      <alignment horizontal="general" vertical="bottom" textRotation="0" wrapText="false" indent="0" shrinkToFit="false"/>
      <protection locked="true" hidden="true"/>
    </xf>
    <xf numFmtId="178" fontId="4" fillId="0" borderId="0" xfId="21" applyFont="true" applyBorder="false" applyAlignment="false" applyProtection="true">
      <alignment horizontal="general" vertical="bottom" textRotation="0" wrapText="false" indent="0" shrinkToFit="false"/>
      <protection locked="false" hidden="false"/>
    </xf>
    <xf numFmtId="164" fontId="5" fillId="0" borderId="0" xfId="21" applyFont="true" applyBorder="false" applyAlignment="true" applyProtection="true">
      <alignment horizontal="center" vertical="bottom" textRotation="0" wrapText="false" indent="0" shrinkToFit="false"/>
      <protection locked="true" hidden="true"/>
    </xf>
    <xf numFmtId="173" fontId="0" fillId="0" borderId="0" xfId="21" applyFont="true" applyBorder="false" applyAlignment="true" applyProtection="true">
      <alignment horizontal="center" vertical="bottom" textRotation="0" wrapText="false" indent="0" shrinkToFit="false"/>
      <protection locked="true" hidden="true"/>
    </xf>
    <xf numFmtId="173" fontId="5" fillId="0" borderId="0" xfId="21" applyFont="true" applyBorder="false" applyAlignment="true" applyProtection="true">
      <alignment horizontal="center" vertical="bottom" textRotation="0" wrapText="false" indent="0" shrinkToFit="false"/>
      <protection locked="true" hidden="true"/>
    </xf>
    <xf numFmtId="164" fontId="0" fillId="0" borderId="24" xfId="21" applyFont="true" applyBorder="true" applyAlignment="true" applyProtection="true">
      <alignment horizontal="center" vertical="bottom" textRotation="0" wrapText="false" indent="0" shrinkToFit="false"/>
      <protection locked="true" hidden="true"/>
    </xf>
    <xf numFmtId="173" fontId="0" fillId="0" borderId="25" xfId="21" applyFont="true" applyBorder="true" applyAlignment="true" applyProtection="true">
      <alignment horizontal="center" vertical="bottom" textRotation="0" wrapText="false" indent="0" shrinkToFit="false"/>
      <protection locked="true" hidden="true"/>
    </xf>
    <xf numFmtId="173" fontId="5" fillId="0" borderId="26" xfId="21" applyFont="true" applyBorder="true" applyAlignment="true" applyProtection="true">
      <alignment horizontal="center" vertical="bottom" textRotation="0" wrapText="false" indent="0" shrinkToFit="false"/>
      <protection locked="true" hidden="true"/>
    </xf>
    <xf numFmtId="164" fontId="0" fillId="0" borderId="27" xfId="21" applyFont="true" applyBorder="true" applyAlignment="true" applyProtection="true">
      <alignment horizontal="center" vertical="bottom" textRotation="0" wrapText="false" indent="0" shrinkToFit="false"/>
      <protection locked="true" hidden="true"/>
    </xf>
    <xf numFmtId="173" fontId="5" fillId="0" borderId="28" xfId="21" applyFont="true" applyBorder="true" applyAlignment="true" applyProtection="true">
      <alignment horizontal="center" vertical="bottom" textRotation="0" wrapText="false" indent="0" shrinkToFit="false"/>
      <protection locked="true" hidden="true"/>
    </xf>
    <xf numFmtId="164" fontId="0" fillId="0" borderId="29" xfId="21" applyFont="true" applyBorder="true" applyAlignment="true" applyProtection="true">
      <alignment horizontal="center" vertical="bottom" textRotation="0" wrapText="false" indent="0" shrinkToFit="false"/>
      <protection locked="true" hidden="true"/>
    </xf>
    <xf numFmtId="173" fontId="0" fillId="0" borderId="30" xfId="21" applyFont="true" applyBorder="true" applyAlignment="true" applyProtection="true">
      <alignment horizontal="center" vertical="bottom" textRotation="0" wrapText="false" indent="0" shrinkToFit="false"/>
      <protection locked="true" hidden="true"/>
    </xf>
    <xf numFmtId="173" fontId="5" fillId="0" borderId="31" xfId="21" applyFont="true" applyBorder="true" applyAlignment="true" applyProtection="true">
      <alignment horizontal="center" vertical="bottom" textRotation="0" wrapText="false" indent="0" shrinkToFit="false"/>
      <protection locked="true" hidden="true"/>
    </xf>
    <xf numFmtId="173" fontId="0" fillId="0" borderId="26" xfId="21" applyFont="true" applyBorder="true" applyAlignment="true" applyProtection="true">
      <alignment horizontal="center" vertical="bottom" textRotation="0" wrapText="false" indent="0" shrinkToFit="false"/>
      <protection locked="true" hidden="true"/>
    </xf>
    <xf numFmtId="173" fontId="0" fillId="0" borderId="28" xfId="21" applyFont="true" applyBorder="true" applyAlignment="true" applyProtection="true">
      <alignment horizontal="center" vertical="bottom" textRotation="0" wrapText="false" indent="0" shrinkToFit="false"/>
      <protection locked="true" hidden="true"/>
    </xf>
    <xf numFmtId="173" fontId="0" fillId="0" borderId="31" xfId="21" applyFont="true" applyBorder="true" applyAlignment="true" applyProtection="true">
      <alignment horizontal="center" vertical="bottom" textRotation="0" wrapText="false" indent="0" shrinkToFit="false"/>
      <protection locked="true" hidden="true"/>
    </xf>
    <xf numFmtId="164" fontId="0" fillId="0" borderId="25" xfId="21" applyFont="true" applyBorder="tru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true"/>
    </xf>
    <xf numFmtId="164" fontId="0" fillId="0" borderId="28" xfId="21" applyFont="true" applyBorder="true" applyAlignment="true" applyProtection="true">
      <alignment horizontal="center" vertical="bottom" textRotation="0" wrapText="false" indent="0" shrinkToFit="false"/>
      <protection locked="true" hidden="true"/>
    </xf>
    <xf numFmtId="165" fontId="0" fillId="0" borderId="30" xfId="21" applyFont="true" applyBorder="true" applyAlignment="true" applyProtection="true">
      <alignment horizontal="center" vertical="bottom" textRotation="0" wrapText="false" indent="0" shrinkToFit="false"/>
      <protection locked="true" hidden="true"/>
    </xf>
    <xf numFmtId="165" fontId="0" fillId="0" borderId="31" xfId="21" applyFont="true" applyBorder="true" applyAlignment="true" applyProtection="true">
      <alignment horizontal="center" vertical="bottom" textRotation="0" wrapText="false" indent="0" shrinkToFit="false"/>
      <protection locked="true" hidden="true"/>
    </xf>
    <xf numFmtId="164" fontId="5" fillId="0" borderId="26" xfId="21" applyFont="true" applyBorder="true" applyAlignment="true" applyProtection="true">
      <alignment horizontal="center" vertical="bottom" textRotation="0" wrapText="false" indent="0" shrinkToFit="false"/>
      <protection locked="true" hidden="true"/>
    </xf>
    <xf numFmtId="165" fontId="5" fillId="0" borderId="28" xfId="21" applyFont="true" applyBorder="true" applyAlignment="true" applyProtection="true">
      <alignment horizontal="center" vertical="bottom" textRotation="0" wrapText="false" indent="0" shrinkToFit="false"/>
      <protection locked="true" hidden="true"/>
    </xf>
    <xf numFmtId="174" fontId="0" fillId="0" borderId="24" xfId="21" applyFont="true" applyBorder="true" applyAlignment="true" applyProtection="true">
      <alignment horizontal="center" vertical="bottom" textRotation="0" wrapText="false" indent="0" shrinkToFit="false"/>
      <protection locked="true" hidden="true"/>
    </xf>
    <xf numFmtId="174" fontId="0" fillId="0" borderId="29" xfId="21" applyFont="true" applyBorder="true" applyAlignment="true" applyProtection="true">
      <alignment horizontal="center" vertical="bottom" textRotation="0" wrapText="false" indent="0" shrinkToFit="false"/>
      <protection locked="true" hidden="true"/>
    </xf>
    <xf numFmtId="179" fontId="0" fillId="0" borderId="24" xfId="21" applyFont="true" applyBorder="true" applyAlignment="true" applyProtection="true">
      <alignment horizontal="center" vertical="bottom" textRotation="0" wrapText="false" indent="0" shrinkToFit="false"/>
      <protection locked="true" hidden="true"/>
    </xf>
    <xf numFmtId="179" fontId="0" fillId="0" borderId="25" xfId="21" applyFont="true" applyBorder="true" applyAlignment="true" applyProtection="true">
      <alignment horizontal="center" vertical="bottom" textRotation="0" wrapText="false" indent="0" shrinkToFit="false"/>
      <protection locked="true" hidden="true"/>
    </xf>
    <xf numFmtId="179" fontId="0" fillId="0" borderId="27" xfId="21" applyFont="true" applyBorder="true" applyAlignment="true" applyProtection="true">
      <alignment horizontal="center" vertical="bottom" textRotation="0" wrapText="false" indent="0" shrinkToFit="false"/>
      <protection locked="true" hidden="true"/>
    </xf>
    <xf numFmtId="179" fontId="0" fillId="0" borderId="28" xfId="21" applyFont="true" applyBorder="true" applyAlignment="true" applyProtection="true">
      <alignment horizontal="center" vertical="bottom" textRotation="0" wrapText="false" indent="0" shrinkToFit="false"/>
      <protection locked="true" hidden="true"/>
    </xf>
    <xf numFmtId="165" fontId="5" fillId="0" borderId="31" xfId="21" applyFont="true" applyBorder="true" applyAlignment="true" applyProtection="true">
      <alignment horizontal="center" vertical="bottom" textRotation="0" wrapText="false" indent="0" shrinkToFit="false"/>
      <protection locked="true" hidden="true"/>
    </xf>
    <xf numFmtId="179" fontId="0" fillId="0" borderId="0" xfId="21" applyFont="true" applyBorder="fals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false">
      <alignment horizontal="center" vertical="bottom" textRotation="0" wrapText="false" indent="0" shrinkToFit="false"/>
      <protection locked="true" hidden="false"/>
    </xf>
    <xf numFmtId="165" fontId="0" fillId="0" borderId="28" xfId="21" applyFont="true" applyBorder="true" applyAlignment="true" applyProtection="false">
      <alignment horizontal="center" vertical="bottom" textRotation="0" wrapText="false" indent="0" shrinkToFit="false"/>
      <protection locked="true" hidden="false"/>
    </xf>
    <xf numFmtId="164" fontId="0" fillId="0" borderId="31" xfId="21" applyFont="true" applyBorder="true" applyAlignment="true" applyProtection="false">
      <alignment horizontal="center" vertical="bottom" textRotation="0" wrapText="false" indent="0" shrinkToFit="false"/>
      <protection locked="true" hidden="false"/>
    </xf>
    <xf numFmtId="164" fontId="0" fillId="0" borderId="0" xfId="21" applyFont="true" applyBorder="false" applyAlignment="false" applyProtection="true">
      <alignment horizontal="general" vertical="bottom" textRotation="0" wrapText="false" indent="0" shrinkToFit="false"/>
      <protection locked="fals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5" fontId="4" fillId="0" borderId="0" xfId="21" applyFont="true" applyBorder="false" applyAlignment="true" applyProtection="false">
      <alignment horizontal="center" vertical="bottom" textRotation="0" wrapText="false" indent="0" shrinkToFit="false"/>
      <protection locked="true" hidden="false"/>
    </xf>
    <xf numFmtId="165" fontId="0"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true"/>
    </xf>
    <xf numFmtId="165"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3" borderId="5" xfId="0" applyFont="true" applyBorder="true" applyAlignment="true" applyProtection="true">
      <alignment horizontal="center" vertical="bottom" textRotation="0" wrapText="false" indent="0" shrinkToFit="false"/>
      <protection locked="true" hidden="true"/>
    </xf>
    <xf numFmtId="164" fontId="0" fillId="0" borderId="7" xfId="0" applyFont="false" applyBorder="true" applyAlignment="true" applyProtection="false">
      <alignment horizontal="general"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true"/>
    </xf>
    <xf numFmtId="164" fontId="9" fillId="7" borderId="5"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80" fontId="4" fillId="7" borderId="18" xfId="0" applyFont="true" applyBorder="true" applyAlignment="true" applyProtection="false">
      <alignment horizontal="center" vertical="center" textRotation="0" wrapText="false" indent="0" shrinkToFit="false"/>
      <protection locked="true" hidden="false"/>
    </xf>
    <xf numFmtId="165" fontId="4" fillId="3" borderId="17" xfId="2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false">
      <alignment horizontal="center" vertical="bottom" textRotation="0" wrapText="false" indent="0" shrinkToFit="false"/>
      <protection locked="true" hidden="false"/>
    </xf>
    <xf numFmtId="181" fontId="4" fillId="7" borderId="18" xfId="0" applyFont="true" applyBorder="true" applyAlignment="true" applyProtection="false">
      <alignment horizontal="center" vertical="center" textRotation="0" wrapText="false" indent="0" shrinkToFit="false"/>
      <protection locked="true" hidden="false"/>
    </xf>
    <xf numFmtId="164" fontId="4" fillId="3" borderId="17" xfId="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center" textRotation="0" wrapText="false" indent="0" shrinkToFit="false"/>
      <protection locked="false" hidden="false"/>
    </xf>
    <xf numFmtId="182" fontId="4" fillId="7" borderId="5" xfId="0" applyFont="true" applyBorder="true" applyAlignment="true" applyProtection="true">
      <alignment horizontal="center" vertical="center" textRotation="0" wrapText="false" indent="0" shrinkToFit="false"/>
      <protection locked="false" hidden="false"/>
    </xf>
    <xf numFmtId="183" fontId="4" fillId="7" borderId="5" xfId="0" applyFont="true" applyBorder="true" applyAlignment="true" applyProtection="true">
      <alignment horizontal="center" vertical="center" textRotation="0" wrapText="false" indent="0" shrinkToFit="false"/>
      <protection locked="fals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5" fontId="4" fillId="3" borderId="18" xfId="0" applyFont="true" applyBorder="true" applyAlignment="true" applyProtection="true">
      <alignment horizontal="center" vertical="bottom" textRotation="0" wrapText="false" indent="0" shrinkToFit="false"/>
      <protection locked="true" hidden="true"/>
    </xf>
    <xf numFmtId="172" fontId="0" fillId="0" borderId="0" xfId="0" applyFont="false" applyBorder="false" applyAlignment="true" applyProtection="false">
      <alignment horizontal="center" vertical="center" textRotation="0" wrapText="false" indent="0" shrinkToFit="false"/>
      <protection locked="true" hidden="false"/>
    </xf>
    <xf numFmtId="165" fontId="4" fillId="5" borderId="18" xfId="0" applyFont="true" applyBorder="true" applyAlignment="true" applyProtection="true">
      <alignment horizontal="center" vertical="center" textRotation="0" wrapText="false" indent="0" shrinkToFit="false"/>
      <protection locked="true" hidden="true"/>
    </xf>
    <xf numFmtId="164" fontId="32" fillId="5" borderId="18" xfId="0" applyFont="true" applyBorder="true" applyAlignment="true" applyProtection="true">
      <alignment horizontal="center" vertical="center" textRotation="0" wrapText="false" indent="0" shrinkToFit="false"/>
      <protection locked="true" hidden="true"/>
    </xf>
    <xf numFmtId="181" fontId="4" fillId="5" borderId="19" xfId="0" applyFont="true" applyBorder="true" applyAlignment="true" applyProtection="false">
      <alignment horizontal="center" vertical="center" textRotation="0" wrapText="false" indent="0" shrinkToFit="false"/>
      <protection locked="true" hidden="false"/>
    </xf>
    <xf numFmtId="165" fontId="33" fillId="3" borderId="5" xfId="0" applyFont="true" applyBorder="true" applyAlignment="true" applyProtection="true">
      <alignment horizontal="center" vertical="bottom" textRotation="0" wrapText="false" indent="0" shrinkToFit="false"/>
      <protection locked="true" hidden="true"/>
    </xf>
    <xf numFmtId="164" fontId="12" fillId="4" borderId="6" xfId="0" applyFont="true" applyBorder="true" applyAlignment="true" applyProtection="true">
      <alignment horizontal="center" vertical="bottom" textRotation="0" wrapText="false" indent="0" shrinkToFit="false"/>
      <protection locked="false" hidden="false"/>
    </xf>
    <xf numFmtId="165" fontId="34" fillId="5" borderId="5" xfId="0" applyFont="true" applyBorder="true" applyAlignment="true" applyProtection="true">
      <alignment horizontal="center" vertical="center" textRotation="0" wrapText="false" indent="0" shrinkToFit="false"/>
      <protection locked="true" hidden="true"/>
    </xf>
    <xf numFmtId="179" fontId="0" fillId="6" borderId="5" xfId="0" applyFont="false" applyBorder="true" applyAlignment="true" applyProtection="false">
      <alignment horizontal="center" vertical="center" textRotation="0" wrapText="false" indent="0" shrinkToFit="false"/>
      <protection locked="true" hidden="false"/>
    </xf>
    <xf numFmtId="184" fontId="4"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false" applyBorder="true" applyAlignment="true" applyProtection="false">
      <alignment horizontal="center" vertical="center" textRotation="0" wrapText="false" indent="0" shrinkToFit="false"/>
      <protection locked="true" hidden="false"/>
    </xf>
    <xf numFmtId="164" fontId="0" fillId="6" borderId="5" xfId="0" applyFont="false" applyBorder="true" applyAlignment="true" applyProtection="false">
      <alignment horizontal="general" vertical="center" textRotation="0" wrapText="false" indent="0" shrinkToFit="false"/>
      <protection locked="true" hidden="false"/>
    </xf>
    <xf numFmtId="165" fontId="4" fillId="3" borderId="24" xfId="0" applyFont="true" applyBorder="true" applyAlignment="true" applyProtection="true">
      <alignment horizontal="center" vertical="center" textRotation="0" wrapText="false" indent="0" shrinkToFit="false"/>
      <protection locked="true" hidden="true"/>
    </xf>
    <xf numFmtId="180" fontId="4" fillId="4" borderId="18"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85" fontId="4" fillId="6" borderId="5" xfId="0" applyFont="true" applyBorder="true" applyAlignment="true" applyProtection="false">
      <alignment horizontal="center" vertical="center" textRotation="0" wrapText="false" indent="0" shrinkToFit="false"/>
      <protection locked="true" hidden="false"/>
    </xf>
    <xf numFmtId="186" fontId="4" fillId="6" borderId="5" xfId="0" applyFont="true" applyBorder="true" applyAlignment="true" applyProtection="false">
      <alignment horizontal="center" vertical="center" textRotation="0" wrapText="false" indent="0" shrinkToFit="false"/>
      <protection locked="true" hidden="false"/>
    </xf>
    <xf numFmtId="165" fontId="4" fillId="3" borderId="5" xfId="0" applyFont="true" applyBorder="true" applyAlignment="true" applyProtection="false">
      <alignment horizontal="center" vertical="center" textRotation="0" wrapText="false" indent="0" shrinkToFit="false"/>
      <protection locked="true" hidden="false"/>
    </xf>
    <xf numFmtId="187" fontId="4" fillId="4" borderId="5" xfId="0" applyFont="true" applyBorder="true" applyAlignment="true" applyProtection="false">
      <alignment horizontal="center" vertical="center" textRotation="0" wrapText="false" indent="0" shrinkToFit="false"/>
      <protection locked="true" hidden="false"/>
    </xf>
    <xf numFmtId="164" fontId="0" fillId="4" borderId="5" xfId="0" applyFont="false" applyBorder="true" applyAlignment="true" applyProtection="false">
      <alignment horizontal="general" vertical="center" textRotation="0" wrapText="false" indent="0" shrinkToFit="false"/>
      <protection locked="true" hidden="false"/>
    </xf>
    <xf numFmtId="165" fontId="35" fillId="5" borderId="32" xfId="0" applyFont="true" applyBorder="true" applyAlignment="true" applyProtection="true">
      <alignment horizontal="center" vertical="center" textRotation="0" wrapText="false" indent="0" shrinkToFit="false"/>
      <protection locked="true" hidden="true"/>
    </xf>
    <xf numFmtId="187" fontId="0" fillId="6" borderId="32" xfId="0" applyFont="false" applyBorder="true" applyAlignment="true" applyProtection="false">
      <alignment horizontal="center" vertical="center" textRotation="0" wrapText="false" indent="0" shrinkToFit="false"/>
      <protection locked="true" hidden="false"/>
    </xf>
    <xf numFmtId="178" fontId="4" fillId="6" borderId="32" xfId="0" applyFont="true" applyBorder="true" applyAlignment="true" applyProtection="false">
      <alignment horizontal="center" vertical="center" textRotation="0" wrapText="false" indent="0" shrinkToFit="false"/>
      <protection locked="true" hidden="false"/>
    </xf>
    <xf numFmtId="178" fontId="0" fillId="6" borderId="32" xfId="0" applyFont="true" applyBorder="true" applyAlignment="true" applyProtection="false">
      <alignment horizontal="center" vertical="center" textRotation="0" wrapText="false" indent="0" shrinkToFit="false"/>
      <protection locked="true" hidden="false"/>
    </xf>
    <xf numFmtId="185" fontId="4" fillId="6" borderId="32" xfId="0" applyFont="true" applyBorder="true" applyAlignment="true" applyProtection="false">
      <alignment horizontal="center" vertical="center" textRotation="0" wrapText="false" indent="0" shrinkToFit="false"/>
      <protection locked="true" hidden="false"/>
    </xf>
    <xf numFmtId="170" fontId="0" fillId="6" borderId="32" xfId="0" applyFont="false" applyBorder="true" applyAlignment="true" applyProtection="false">
      <alignment horizontal="center" vertical="center" textRotation="0" wrapText="false" indent="0" shrinkToFit="false"/>
      <protection locked="true" hidden="false"/>
    </xf>
    <xf numFmtId="188" fontId="4" fillId="6" borderId="5" xfId="0" applyFont="true" applyBorder="true" applyAlignment="true" applyProtection="false">
      <alignment horizontal="center" vertical="center" textRotation="0" wrapText="false" indent="0" shrinkToFit="false"/>
      <protection locked="true" hidden="false"/>
    </xf>
    <xf numFmtId="165" fontId="4" fillId="3" borderId="29" xfId="0" applyFont="true" applyBorder="true" applyAlignment="true" applyProtection="true">
      <alignment horizontal="center" vertical="center" textRotation="0" wrapText="false" indent="0" shrinkToFit="false"/>
      <protection locked="true" hidden="true"/>
    </xf>
    <xf numFmtId="189" fontId="4" fillId="4" borderId="9" xfId="0" applyFont="true" applyBorder="true" applyAlignment="true" applyProtection="true">
      <alignment horizontal="center" vertical="center" textRotation="0" wrapText="false" indent="0" shrinkToFit="false"/>
      <protection locked="false" hidden="false"/>
    </xf>
    <xf numFmtId="187" fontId="4" fillId="6" borderId="5" xfId="0" applyFont="true" applyBorder="true" applyAlignment="true" applyProtection="false">
      <alignment horizontal="center" vertical="center" textRotation="0" wrapText="false" indent="0" shrinkToFit="false"/>
      <protection locked="true" hidden="false"/>
    </xf>
    <xf numFmtId="178" fontId="4" fillId="6" borderId="5" xfId="0" applyFont="true" applyBorder="true" applyAlignment="true" applyProtection="false">
      <alignment horizontal="center" vertical="center" textRotation="0" wrapText="false" indent="0" shrinkToFit="false"/>
      <protection locked="true" hidden="false"/>
    </xf>
    <xf numFmtId="178" fontId="0" fillId="6" borderId="5" xfId="0" applyFont="true" applyBorder="true" applyAlignment="true" applyProtection="false">
      <alignment horizontal="center" vertical="center" textRotation="0" wrapText="false" indent="0" shrinkToFit="false"/>
      <protection locked="true" hidden="false"/>
    </xf>
    <xf numFmtId="185" fontId="0" fillId="6" borderId="5" xfId="0" applyFont="true" applyBorder="true" applyAlignment="true" applyProtection="false">
      <alignment horizontal="center" vertical="center" textRotation="0" wrapText="false" indent="0" shrinkToFit="false"/>
      <protection locked="true" hidden="false"/>
    </xf>
    <xf numFmtId="190" fontId="4" fillId="4" borderId="5" xfId="0" applyFont="true" applyBorder="true" applyAlignment="true" applyProtection="true">
      <alignment horizontal="center" vertical="center" textRotation="0" wrapText="false" indent="0" shrinkToFit="false"/>
      <protection locked="false" hidden="false"/>
    </xf>
    <xf numFmtId="191" fontId="4" fillId="4" borderId="5" xfId="0" applyFont="true" applyBorder="true" applyAlignment="true" applyProtection="true">
      <alignment horizontal="center" vertical="center" textRotation="0" wrapText="false" indent="0" shrinkToFit="false"/>
      <protection locked="false" hidden="false"/>
    </xf>
    <xf numFmtId="165" fontId="36" fillId="5" borderId="32" xfId="0" applyFont="true" applyBorder="true" applyAlignment="true" applyProtection="true">
      <alignment horizontal="center" vertical="center" textRotation="0" wrapText="false" indent="0" shrinkToFit="false"/>
      <protection locked="true" hidden="true"/>
    </xf>
    <xf numFmtId="178" fontId="0" fillId="6" borderId="18" xfId="0" applyFont="false" applyBorder="true" applyAlignment="true" applyProtection="false">
      <alignment horizontal="center" vertical="center" textRotation="0" wrapText="false" indent="0" shrinkToFit="false"/>
      <protection locked="true" hidden="false"/>
    </xf>
    <xf numFmtId="165" fontId="12" fillId="5" borderId="5" xfId="0" applyFont="true" applyBorder="true" applyAlignment="true" applyProtection="true">
      <alignment horizontal="center" vertical="center" textRotation="0" wrapText="false" indent="0" shrinkToFit="false"/>
      <protection locked="true" hidden="true"/>
    </xf>
    <xf numFmtId="187" fontId="0" fillId="6" borderId="5" xfId="0" applyFont="false" applyBorder="true" applyAlignment="true" applyProtection="false">
      <alignment horizontal="center" vertical="center" textRotation="0" wrapText="false" indent="0" shrinkToFit="false"/>
      <protection locked="true" hidden="false"/>
    </xf>
    <xf numFmtId="164" fontId="0" fillId="6" borderId="17" xfId="0" applyFont="true" applyBorder="true" applyAlignment="true" applyProtection="false">
      <alignment horizontal="center" vertical="center" textRotation="0" wrapText="false" indent="0" shrinkToFit="false"/>
      <protection locked="true" hidden="false"/>
    </xf>
    <xf numFmtId="184" fontId="0" fillId="6" borderId="19" xfId="0" applyFont="false" applyBorder="true" applyAlignment="true" applyProtection="false">
      <alignment horizontal="center" vertical="center" textRotation="0" wrapText="false" indent="0" shrinkToFit="false"/>
      <protection locked="true" hidden="false"/>
    </xf>
    <xf numFmtId="192" fontId="0" fillId="6" borderId="5" xfId="0" applyFont="false" applyBorder="true" applyAlignment="true" applyProtection="false">
      <alignment horizontal="center" vertical="center" textRotation="0" wrapText="false" indent="0" shrinkToFit="false"/>
      <protection locked="true" hidden="false"/>
    </xf>
    <xf numFmtId="193" fontId="4" fillId="7" borderId="5"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center" textRotation="0" wrapText="false" indent="0" shrinkToFit="false"/>
      <protection locked="true" hidden="true"/>
    </xf>
    <xf numFmtId="187" fontId="4" fillId="0" borderId="0" xfId="0" applyFont="true" applyBorder="false" applyAlignment="true" applyProtection="false">
      <alignment horizontal="center" vertical="center" textRotation="0" wrapText="false" indent="0" shrinkToFit="false"/>
      <protection locked="true" hidden="false"/>
    </xf>
    <xf numFmtId="181" fontId="4" fillId="0" borderId="0" xfId="0" applyFont="true" applyBorder="false" applyAlignment="true" applyProtection="false">
      <alignment horizontal="right" vertical="center" textRotation="0" wrapText="false" indent="0" shrinkToFit="false"/>
      <protection locked="true" hidden="false"/>
    </xf>
    <xf numFmtId="165" fontId="4" fillId="5" borderId="17" xfId="0" applyFont="true" applyBorder="true" applyAlignment="true" applyProtection="true">
      <alignment horizontal="center" vertical="center" textRotation="0" wrapText="false" indent="0" shrinkToFit="false"/>
      <protection locked="true" hidden="true"/>
    </xf>
    <xf numFmtId="194" fontId="4" fillId="6" borderId="5" xfId="0" applyFont="true" applyBorder="true" applyAlignment="true" applyProtection="false">
      <alignment horizontal="center" vertical="center" textRotation="0" wrapText="false" indent="0" shrinkToFit="false"/>
      <protection locked="true" hidden="false"/>
    </xf>
    <xf numFmtId="181" fontId="37" fillId="0" borderId="0" xfId="0" applyFont="true" applyBorder="false" applyAlignment="true" applyProtection="false">
      <alignment horizontal="general" vertical="center" textRotation="0" wrapText="false" indent="0" shrinkToFit="false"/>
      <protection locked="true" hidden="false"/>
    </xf>
    <xf numFmtId="181" fontId="0" fillId="0" borderId="7" xfId="0" applyFont="false" applyBorder="true" applyAlignment="true" applyProtection="false">
      <alignment horizontal="right" vertical="center" textRotation="0" wrapText="false" indent="0" shrinkToFit="false"/>
      <protection locked="tru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16" fillId="0" borderId="7" xfId="0" applyFont="true" applyBorder="true" applyAlignment="true" applyProtection="false">
      <alignment horizontal="right"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95" fontId="4" fillId="6" borderId="5" xfId="0" applyFont="true" applyBorder="true" applyAlignment="true" applyProtection="false">
      <alignment horizontal="center" vertical="center" textRotation="0" wrapText="false" indent="0" shrinkToFit="false"/>
      <protection locked="true" hidden="false"/>
    </xf>
    <xf numFmtId="165" fontId="16" fillId="0" borderId="7" xfId="0" applyFont="true" applyBorder="true" applyAlignment="true" applyProtection="false">
      <alignment horizontal="right" vertical="center" textRotation="0" wrapText="false" indent="0" shrinkToFit="false"/>
      <protection locked="true" hidden="false"/>
    </xf>
    <xf numFmtId="164" fontId="11" fillId="0" borderId="7" xfId="0" applyFont="true" applyBorder="true" applyAlignment="true" applyProtection="false">
      <alignment horizontal="right" vertical="center" textRotation="0" wrapText="false" indent="0" shrinkToFit="false"/>
      <protection locked="true" hidden="false"/>
    </xf>
    <xf numFmtId="164" fontId="0" fillId="0" borderId="21" xfId="0" applyFont="false" applyBorder="true" applyAlignment="true" applyProtection="false">
      <alignment horizontal="general" vertical="center" textRotation="0" wrapText="false" indent="0" shrinkToFit="false"/>
      <protection locked="true" hidden="false"/>
    </xf>
    <xf numFmtId="165" fontId="0" fillId="0" borderId="22" xfId="0" applyFont="false" applyBorder="true" applyAlignment="true" applyProtection="false">
      <alignment horizontal="general" vertical="center" textRotation="0" wrapText="false" indent="0" shrinkToFit="false"/>
      <protection locked="true" hidden="false"/>
    </xf>
    <xf numFmtId="164" fontId="0" fillId="0" borderId="22" xfId="0" applyFont="false" applyBorder="true" applyAlignment="true" applyProtection="true">
      <alignment horizontal="general" vertical="center" textRotation="0" wrapText="false" indent="0" shrinkToFit="false"/>
      <protection locked="false" hidden="false"/>
    </xf>
    <xf numFmtId="164" fontId="11" fillId="0" borderId="23" xfId="0" applyFont="true" applyBorder="true" applyAlignment="true" applyProtection="false">
      <alignment horizontal="right" vertical="center" textRotation="0" wrapText="false" indent="0" shrinkToFit="false"/>
      <protection locked="true" hidden="false"/>
    </xf>
    <xf numFmtId="165" fontId="0" fillId="0" borderId="18" xfId="0" applyFont="false" applyBorder="true" applyAlignment="true" applyProtection="false">
      <alignment horizontal="center" vertical="center" textRotation="0" wrapText="false" indent="0" shrinkToFit="false"/>
      <protection locked="true" hidden="false"/>
    </xf>
    <xf numFmtId="165" fontId="4" fillId="5" borderId="19" xfId="0" applyFont="true" applyBorder="true" applyAlignment="true" applyProtection="true">
      <alignment horizontal="center" vertical="center" textRotation="0" wrapText="false" indent="0" shrinkToFit="false"/>
      <protection locked="true" hidden="true"/>
    </xf>
    <xf numFmtId="164" fontId="4" fillId="5" borderId="5" xfId="0" applyFont="true" applyBorder="true" applyAlignment="true" applyProtection="true">
      <alignment horizontal="center" vertical="center" textRotation="0" wrapText="false" indent="0" shrinkToFit="false"/>
      <protection locked="true" hidden="true"/>
    </xf>
    <xf numFmtId="164" fontId="32" fillId="5" borderId="5" xfId="0" applyFont="true" applyBorder="true" applyAlignment="true" applyProtection="true">
      <alignment horizontal="center" vertical="center" textRotation="0" wrapText="false" indent="0" shrinkToFit="false"/>
      <protection locked="true" hidden="true"/>
    </xf>
    <xf numFmtId="164" fontId="0" fillId="0" borderId="27" xfId="0" applyFont="false" applyBorder="true" applyAlignment="true" applyProtection="false">
      <alignment horizontal="general" vertical="center" textRotation="0" wrapText="false" indent="0" shrinkToFit="false"/>
      <protection locked="true" hidden="false"/>
    </xf>
    <xf numFmtId="164" fontId="0" fillId="0" borderId="28" xfId="0" applyFont="false" applyBorder="true" applyAlignment="true" applyProtection="false">
      <alignment horizontal="general" vertical="center" textRotation="0" wrapText="false" indent="0" shrinkToFit="false"/>
      <protection locked="true" hidden="false"/>
    </xf>
    <xf numFmtId="164" fontId="4" fillId="0" borderId="29" xfId="0" applyFont="true" applyBorder="true" applyAlignment="true" applyProtection="false">
      <alignment horizontal="general" vertical="center" textRotation="0" wrapText="false" indent="0" shrinkToFit="false"/>
      <protection locked="true" hidden="false"/>
    </xf>
    <xf numFmtId="172" fontId="0" fillId="0" borderId="31" xfId="0" applyFont="false" applyBorder="true" applyAlignment="true" applyProtection="false">
      <alignment horizontal="center" vertical="center" textRotation="0" wrapText="false" indent="0" shrinkToFit="false"/>
      <protection locked="true" hidden="false"/>
    </xf>
    <xf numFmtId="164" fontId="0" fillId="5" borderId="19" xfId="0" applyFont="true" applyBorder="true" applyAlignment="true" applyProtection="true">
      <alignment horizontal="center" vertical="center" textRotation="0" wrapText="false" indent="0" shrinkToFit="false"/>
      <protection locked="true" hidden="true"/>
    </xf>
    <xf numFmtId="164" fontId="0" fillId="5" borderId="5" xfId="0" applyFont="true" applyBorder="true" applyAlignment="true" applyProtection="true">
      <alignment horizontal="center" vertical="center" textRotation="0" wrapText="false" indent="0" shrinkToFit="false"/>
      <protection locked="true" hidden="true"/>
    </xf>
    <xf numFmtId="165" fontId="4" fillId="5" borderId="9" xfId="0" applyFont="true" applyBorder="true" applyAlignment="true" applyProtection="true">
      <alignment horizontal="center" vertical="center" textRotation="0" wrapText="false" indent="0" shrinkToFit="false"/>
      <protection locked="true" hidden="true"/>
    </xf>
    <xf numFmtId="164" fontId="0" fillId="7" borderId="5" xfId="0" applyFont="false" applyBorder="true" applyAlignment="true" applyProtection="true">
      <alignment horizontal="center" vertical="center" textRotation="0" wrapText="false" indent="0" shrinkToFit="false"/>
      <protection locked="false" hidden="false"/>
    </xf>
    <xf numFmtId="164" fontId="0" fillId="6" borderId="5" xfId="0" applyFont="true" applyBorder="true" applyAlignment="true" applyProtection="false">
      <alignment horizontal="center" vertical="center" textRotation="0" wrapText="false" indent="0" shrinkToFit="false"/>
      <protection locked="true" hidden="false"/>
    </xf>
    <xf numFmtId="165" fontId="4" fillId="6" borderId="5" xfId="0" applyFont="true" applyBorder="true" applyAlignment="true" applyProtection="false">
      <alignment horizontal="center" vertical="center" textRotation="0" wrapText="false" indent="0" shrinkToFit="false"/>
      <protection locked="true" hidden="false"/>
    </xf>
    <xf numFmtId="165" fontId="4" fillId="3" borderId="18" xfId="0" applyFont="true" applyBorder="true" applyAlignment="true" applyProtection="true">
      <alignment horizontal="center" vertical="center" textRotation="0" wrapText="false" indent="0" shrinkToFit="false"/>
      <protection locked="true" hidden="true"/>
    </xf>
    <xf numFmtId="173" fontId="4" fillId="6" borderId="5" xfId="0" applyFont="true" applyBorder="true" applyAlignment="true" applyProtection="false">
      <alignment horizontal="center" vertical="center" textRotation="0" wrapText="false" indent="0" shrinkToFit="false"/>
      <protection locked="true" hidden="false"/>
    </xf>
    <xf numFmtId="170" fontId="4" fillId="6" borderId="5" xfId="0" applyFont="true" applyBorder="true" applyAlignment="true" applyProtection="false">
      <alignment horizontal="center" vertical="center" textRotation="0" wrapText="false" indent="0" shrinkToFit="false"/>
      <protection locked="true" hidden="false"/>
    </xf>
    <xf numFmtId="169" fontId="4" fillId="4" borderId="9" xfId="0" applyFont="true" applyBorder="true" applyAlignment="true" applyProtection="true">
      <alignment horizontal="center" vertical="center" textRotation="0" wrapText="false" indent="0" shrinkToFit="false"/>
      <protection locked="false" hidden="false"/>
    </xf>
    <xf numFmtId="173" fontId="0" fillId="6" borderId="5" xfId="0" applyFont="false" applyBorder="true" applyAlignment="true" applyProtection="false">
      <alignment horizontal="center" vertical="center" textRotation="0" wrapText="false" indent="0" shrinkToFit="false"/>
      <protection locked="true" hidden="false"/>
    </xf>
    <xf numFmtId="173" fontId="0"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true" applyBorder="true" applyAlignment="true" applyProtection="false">
      <alignment horizontal="center" vertical="center" textRotation="0" wrapText="false" indent="0" shrinkToFit="false"/>
      <protection locked="true" hidden="false"/>
    </xf>
    <xf numFmtId="169" fontId="4" fillId="4" borderId="20" xfId="0" applyFont="true" applyBorder="true" applyAlignment="true" applyProtection="true">
      <alignment horizontal="center" vertical="center" textRotation="0" wrapText="false" indent="0" shrinkToFit="false"/>
      <protection locked="false" hidden="false"/>
    </xf>
    <xf numFmtId="173" fontId="4" fillId="6" borderId="32" xfId="0" applyFont="true" applyBorder="true" applyAlignment="true" applyProtection="false">
      <alignment horizontal="center" vertical="center" textRotation="0" wrapText="false" indent="0" shrinkToFit="false"/>
      <protection locked="true" hidden="false"/>
    </xf>
    <xf numFmtId="170" fontId="0" fillId="6" borderId="32" xfId="0" applyFont="true" applyBorder="true" applyAlignment="true" applyProtection="false">
      <alignment horizontal="center" vertical="center" textRotation="0" wrapText="false" indent="0" shrinkToFit="false"/>
      <protection locked="true" hidden="false"/>
    </xf>
    <xf numFmtId="190" fontId="4" fillId="6" borderId="9" xfId="0" applyFont="true" applyBorder="true" applyAlignment="true" applyProtection="false">
      <alignment horizontal="center" vertical="center" textRotation="0" wrapText="false" indent="0" shrinkToFit="false"/>
      <protection locked="true" hidden="false"/>
    </xf>
    <xf numFmtId="165" fontId="36" fillId="5" borderId="33" xfId="0" applyFont="true" applyBorder="true" applyAlignment="true" applyProtection="true">
      <alignment horizontal="center" vertical="center" textRotation="0" wrapText="false" indent="0" shrinkToFit="false"/>
      <protection locked="true" hidden="true"/>
    </xf>
    <xf numFmtId="173" fontId="4" fillId="6" borderId="33" xfId="0" applyFont="true" applyBorder="true" applyAlignment="true" applyProtection="false">
      <alignment horizontal="center" vertical="center" textRotation="0" wrapText="false" indent="0" shrinkToFit="false"/>
      <protection locked="true" hidden="false"/>
    </xf>
    <xf numFmtId="164" fontId="0" fillId="6" borderId="33" xfId="0" applyFont="true" applyBorder="true" applyAlignment="true" applyProtection="false">
      <alignment horizontal="center" vertical="center" textRotation="0" wrapText="false" indent="0" shrinkToFit="false"/>
      <protection locked="true" hidden="false"/>
    </xf>
    <xf numFmtId="173" fontId="0" fillId="6" borderId="33" xfId="0" applyFont="false" applyBorder="true" applyAlignment="true" applyProtection="false">
      <alignment horizontal="center" vertical="center" textRotation="0" wrapText="false" indent="0" shrinkToFit="false"/>
      <protection locked="true" hidden="false"/>
    </xf>
    <xf numFmtId="170" fontId="0" fillId="6" borderId="33" xfId="0" applyFont="false" applyBorder="true" applyAlignment="true" applyProtection="false">
      <alignment horizontal="center" vertical="center" textRotation="0" wrapText="false" indent="0" shrinkToFit="false"/>
      <protection locked="true" hidden="false"/>
    </xf>
    <xf numFmtId="173" fontId="0" fillId="6" borderId="32" xfId="0" applyFont="true" applyBorder="true" applyAlignment="true" applyProtection="false">
      <alignment horizontal="center" vertical="center" textRotation="0" wrapText="false" indent="0" shrinkToFit="false"/>
      <protection locked="true" hidden="false"/>
    </xf>
    <xf numFmtId="165" fontId="35" fillId="5" borderId="33" xfId="0" applyFont="true" applyBorder="true" applyAlignment="true" applyProtection="true">
      <alignment horizontal="center" vertical="center" textRotation="0" wrapText="false" indent="0" shrinkToFit="false"/>
      <protection locked="true" hidden="true"/>
    </xf>
    <xf numFmtId="173" fontId="0" fillId="6" borderId="33" xfId="0" applyFont="true" applyBorder="true" applyAlignment="true" applyProtection="false">
      <alignment horizontal="center" vertical="center" textRotation="0" wrapText="false" indent="0" shrinkToFit="false"/>
      <protection locked="true" hidden="false"/>
    </xf>
    <xf numFmtId="170" fontId="4" fillId="6" borderId="33" xfId="0" applyFont="true" applyBorder="true" applyAlignment="true" applyProtection="false">
      <alignment horizontal="center" vertical="center" textRotation="0" wrapText="false" indent="0" shrinkToFit="false"/>
      <protection locked="true" hidden="false"/>
    </xf>
    <xf numFmtId="164" fontId="0" fillId="0" borderId="29" xfId="0" applyFont="false" applyBorder="true" applyAlignment="true" applyProtection="false">
      <alignment horizontal="general" vertical="center" textRotation="0" wrapText="false" indent="0" shrinkToFit="false"/>
      <protection locked="true" hidden="false"/>
    </xf>
    <xf numFmtId="164" fontId="0" fillId="0" borderId="30" xfId="0" applyFont="false" applyBorder="true" applyAlignment="true" applyProtection="false">
      <alignment horizontal="general" vertical="center" textRotation="0" wrapText="false" indent="0" shrinkToFit="false"/>
      <protection locked="true" hidden="false"/>
    </xf>
    <xf numFmtId="164" fontId="0" fillId="0" borderId="3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87" fontId="0" fillId="0" borderId="0" xfId="0" applyFont="false" applyBorder="false" applyAlignment="true" applyProtection="false">
      <alignment horizontal="general" vertical="center" textRotation="0" wrapText="false" indent="0" shrinkToFit="false"/>
      <protection locked="true" hidden="false"/>
    </xf>
    <xf numFmtId="189" fontId="0" fillId="0" borderId="0" xfId="0" applyFont="false" applyBorder="false" applyAlignment="true" applyProtection="false">
      <alignment horizontal="right" vertical="center" textRotation="0" wrapText="false" indent="0" shrinkToFit="false"/>
      <protection locked="true" hidden="false"/>
    </xf>
    <xf numFmtId="189" fontId="0" fillId="0" borderId="0" xfId="0" applyFont="false" applyBorder="false" applyAlignment="true" applyProtection="false">
      <alignment horizontal="general"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73" fontId="0" fillId="0" borderId="31" xfId="0" applyFont="fals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73" fontId="0" fillId="0" borderId="29" xfId="0" applyFont="false" applyBorder="true" applyAlignment="true" applyProtection="false">
      <alignment horizontal="center" vertical="center" textRotation="0" wrapText="false" indent="0" shrinkToFit="false"/>
      <protection locked="true" hidden="false"/>
    </xf>
    <xf numFmtId="173" fontId="0" fillId="0" borderId="28" xfId="0" applyFont="false" applyBorder="true" applyAlignment="true" applyProtection="false">
      <alignment horizontal="center" vertical="center" textRotation="0" wrapText="false" indent="0" shrinkToFit="false"/>
      <protection locked="true" hidden="false"/>
    </xf>
    <xf numFmtId="173" fontId="0" fillId="0" borderId="27" xfId="0" applyFont="false" applyBorder="true" applyAlignment="true" applyProtection="false">
      <alignment horizontal="center" vertical="center" textRotation="0" wrapText="false" indent="0" shrinkToFit="false"/>
      <protection locked="true" hidden="false"/>
    </xf>
    <xf numFmtId="164" fontId="0" fillId="0" borderId="31" xfId="0" applyFont="false" applyBorder="true" applyAlignment="true" applyProtection="false">
      <alignment horizontal="center" vertical="center" textRotation="0" wrapText="false" indent="0" shrinkToFit="false"/>
      <protection locked="true" hidden="false"/>
    </xf>
    <xf numFmtId="164" fontId="0" fillId="0" borderId="24" xfId="0" applyFont="false" applyBorder="true" applyAlignment="true" applyProtection="false">
      <alignment horizontal="general" vertical="center" textRotation="0" wrapText="false" indent="0" shrinkToFit="false"/>
      <protection locked="true" hidden="false"/>
    </xf>
    <xf numFmtId="164" fontId="0" fillId="0" borderId="26" xfId="0" applyFont="true" applyBorder="true" applyAlignment="true" applyProtection="false">
      <alignment horizontal="left" vertical="center" textRotation="0" wrapText="false" indent="0" shrinkToFit="false"/>
      <protection locked="true" hidden="false"/>
    </xf>
    <xf numFmtId="164" fontId="0" fillId="0" borderId="28" xfId="0" applyFont="true" applyBorder="true" applyAlignment="true" applyProtection="false">
      <alignment horizontal="left" vertical="center" textRotation="0" wrapText="false" indent="0" shrinkToFit="false"/>
      <protection locked="true" hidden="false"/>
    </xf>
    <xf numFmtId="170" fontId="0" fillId="0" borderId="27" xfId="0" applyFont="false" applyBorder="true" applyAlignment="true" applyProtection="false">
      <alignment horizontal="center" vertical="center" textRotation="0" wrapText="fals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right" vertical="center" textRotation="0" wrapText="false" indent="0" shrinkToFit="false"/>
      <protection locked="true" hidden="false"/>
    </xf>
    <xf numFmtId="179" fontId="0" fillId="0" borderId="28" xfId="0" applyFont="false" applyBorder="true" applyAlignment="true" applyProtection="false">
      <alignment horizontal="center" vertical="center" textRotation="0" wrapText="false" indent="0" shrinkToFit="false"/>
      <protection locked="true" hidden="false"/>
    </xf>
    <xf numFmtId="164" fontId="0" fillId="0" borderId="29" xfId="0" applyFont="true" applyBorder="true" applyAlignment="true" applyProtection="false">
      <alignment horizontal="right" vertical="center" textRotation="0" wrapText="false" indent="0" shrinkToFit="false"/>
      <protection locked="true" hidden="false"/>
    </xf>
    <xf numFmtId="179" fontId="0" fillId="0" borderId="31" xfId="0" applyFont="false" applyBorder="true" applyAlignment="true" applyProtection="false">
      <alignment horizontal="center" vertical="center" textRotation="0" wrapText="false" indent="0" shrinkToFit="false"/>
      <protection locked="true" hidden="false"/>
    </xf>
    <xf numFmtId="170" fontId="0" fillId="0" borderId="29" xfId="0" applyFont="fals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right" vertical="center" textRotation="0" wrapText="false" indent="0" shrinkToFit="false"/>
      <protection locked="true" hidden="false"/>
    </xf>
    <xf numFmtId="179" fontId="0" fillId="0" borderId="26" xfId="0" applyFont="fals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73" fontId="0" fillId="0" borderId="0" xfId="0" applyFont="false" applyBorder="false" applyAlignment="true" applyProtection="false">
      <alignment horizontal="center" vertical="center" textRotation="0" wrapText="false" indent="0" shrinkToFit="false"/>
      <protection locked="true" hidden="false"/>
    </xf>
    <xf numFmtId="173" fontId="0" fillId="0" borderId="30" xfId="0" applyFont="false" applyBorder="true" applyAlignment="true" applyProtection="false">
      <alignment horizontal="center" vertical="center" textRotation="0" wrapText="false" indent="0" shrinkToFit="false"/>
      <protection locked="true" hidden="false"/>
    </xf>
    <xf numFmtId="165" fontId="0" fillId="0" borderId="27" xfId="0" applyFont="false" applyBorder="true" applyAlignment="true" applyProtection="false">
      <alignment horizontal="center" vertical="center" textRotation="0" wrapText="false" indent="0" shrinkToFit="false"/>
      <protection locked="true" hidden="false"/>
    </xf>
    <xf numFmtId="165" fontId="0" fillId="0" borderId="29" xfId="0" applyFont="false" applyBorder="true" applyAlignment="true" applyProtection="false">
      <alignment horizontal="center" vertical="center" textRotation="0" wrapText="false" indent="0" shrinkToFit="false"/>
      <protection locked="true" hidden="false"/>
    </xf>
    <xf numFmtId="164" fontId="5" fillId="0" borderId="25" xfId="0" applyFont="true" applyBorder="true" applyAlignment="true" applyProtection="false">
      <alignment horizontal="center" vertical="center" textRotation="0" wrapText="false" indent="0" shrinkToFit="false"/>
      <protection locked="true" hidden="false"/>
    </xf>
    <xf numFmtId="164" fontId="5" fillId="0" borderId="26" xfId="0" applyFont="true" applyBorder="true" applyAlignment="true" applyProtection="false">
      <alignment horizontal="center" vertical="center" textRotation="0" wrapText="false" indent="0" shrinkToFit="false"/>
      <protection locked="true" hidden="false"/>
    </xf>
    <xf numFmtId="164" fontId="0" fillId="0" borderId="30" xfId="0" applyFont="false" applyBorder="true" applyAlignment="true" applyProtection="false">
      <alignment horizontal="center" vertical="center" textRotation="0" wrapText="false" indent="0" shrinkToFit="false"/>
      <protection locked="true" hidden="false"/>
    </xf>
    <xf numFmtId="165" fontId="0" fillId="3" borderId="34" xfId="0" applyFont="false" applyBorder="true" applyAlignment="true" applyProtection="false">
      <alignment horizontal="center" vertical="bottom" textRotation="0" wrapText="false" indent="0" shrinkToFit="false"/>
      <protection locked="true" hidden="false"/>
    </xf>
    <xf numFmtId="164" fontId="0" fillId="7" borderId="35" xfId="0" applyFont="false" applyBorder="true" applyAlignment="true" applyProtection="false">
      <alignment horizontal="center" vertical="bottom" textRotation="0" wrapText="false" indent="0" shrinkToFit="false"/>
      <protection locked="true" hidden="false"/>
    </xf>
    <xf numFmtId="164" fontId="0" fillId="3" borderId="36" xfId="0" applyFont="true" applyBorder="true" applyAlignment="true" applyProtection="false">
      <alignment horizontal="center" vertical="bottom" textRotation="0" wrapText="false" indent="0" shrinkToFit="false"/>
      <protection locked="true" hidden="false"/>
    </xf>
    <xf numFmtId="196" fontId="0" fillId="7" borderId="37" xfId="0" applyFont="false" applyBorder="true" applyAlignment="true" applyProtection="false">
      <alignment horizontal="center" vertical="bottom" textRotation="0" wrapText="false" indent="0" shrinkToFit="false"/>
      <protection locked="true" hidden="false"/>
    </xf>
    <xf numFmtId="194" fontId="0" fillId="7" borderId="37" xfId="0" applyFont="false" applyBorder="true" applyAlignment="true" applyProtection="false">
      <alignment horizontal="center" vertical="bottom" textRotation="0" wrapText="false" indent="0" shrinkToFit="false"/>
      <protection locked="true" hidden="false"/>
    </xf>
    <xf numFmtId="180" fontId="0" fillId="7" borderId="37" xfId="0" applyFont="false" applyBorder="true" applyAlignment="true" applyProtection="false">
      <alignment horizontal="center" vertical="bottom" textRotation="0" wrapText="false" indent="0" shrinkToFit="false"/>
      <protection locked="true" hidden="false"/>
    </xf>
    <xf numFmtId="169" fontId="0" fillId="7" borderId="37" xfId="0" applyFont="false" applyBorder="true" applyAlignment="true" applyProtection="false">
      <alignment horizontal="center" vertical="bottom" textRotation="0" wrapText="false" indent="0" shrinkToFit="false"/>
      <protection locked="true" hidden="false"/>
    </xf>
    <xf numFmtId="164" fontId="0" fillId="7" borderId="37" xfId="0" applyFont="false" applyBorder="true" applyAlignment="true" applyProtection="false">
      <alignment horizontal="center" vertical="bottom" textRotation="0" wrapText="false" indent="0" shrinkToFit="false"/>
      <protection locked="true" hidden="false"/>
    </xf>
    <xf numFmtId="164" fontId="0" fillId="3" borderId="38" xfId="0" applyFont="true" applyBorder="true" applyAlignment="true" applyProtection="false">
      <alignment horizontal="center" vertical="bottom" textRotation="0" wrapText="false" indent="0" shrinkToFit="false"/>
      <protection locked="true" hidden="false"/>
    </xf>
    <xf numFmtId="187" fontId="0" fillId="7" borderId="37" xfId="0" applyFont="false" applyBorder="true" applyAlignment="true" applyProtection="false">
      <alignment horizontal="center" vertical="bottom" textRotation="0" wrapText="false" indent="0" shrinkToFit="false"/>
      <protection locked="true" hidden="false"/>
    </xf>
    <xf numFmtId="165" fontId="0" fillId="7" borderId="1" xfId="0" applyFont="false" applyBorder="true" applyAlignment="true" applyProtection="false">
      <alignment horizontal="center" vertical="bottom" textRotation="0" wrapText="false" indent="0" shrinkToFit="false"/>
      <protection locked="true" hidden="false"/>
    </xf>
    <xf numFmtId="165" fontId="0" fillId="7" borderId="2" xfId="0" applyFont="false" applyBorder="true" applyAlignment="true" applyProtection="false">
      <alignment horizontal="center" vertical="bottom" textRotation="0" wrapText="false" indent="0" shrinkToFit="false"/>
      <protection locked="true" hidden="false"/>
    </xf>
    <xf numFmtId="165" fontId="0" fillId="7" borderId="3" xfId="0" applyFont="false" applyBorder="true" applyAlignment="true" applyProtection="false">
      <alignment horizontal="center" vertical="bottom" textRotation="0" wrapText="false" indent="0" shrinkToFit="false"/>
      <protection locked="true" hidden="false"/>
    </xf>
    <xf numFmtId="165" fontId="0" fillId="3" borderId="35" xfId="0" applyFont="false" applyBorder="true" applyAlignment="true" applyProtection="false">
      <alignment horizontal="center" vertical="bottom" textRotation="0" wrapText="false" indent="0" shrinkToFit="false"/>
      <protection locked="true" hidden="false"/>
    </xf>
    <xf numFmtId="165" fontId="0" fillId="7" borderId="21" xfId="0" applyFont="false" applyBorder="true" applyAlignment="true" applyProtection="false">
      <alignment horizontal="center" vertical="bottom" textRotation="0" wrapText="false" indent="0" shrinkToFit="false"/>
      <protection locked="true" hidden="false"/>
    </xf>
    <xf numFmtId="165" fontId="0" fillId="7" borderId="22" xfId="0" applyFont="false" applyBorder="true" applyAlignment="true" applyProtection="false">
      <alignment horizontal="center" vertical="bottom" textRotation="0" wrapText="false" indent="0" shrinkToFit="false"/>
      <protection locked="true" hidden="false"/>
    </xf>
    <xf numFmtId="165" fontId="0" fillId="7" borderId="2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3" borderId="39" xfId="0" applyFont="true" applyBorder="true" applyAlignment="true" applyProtection="false">
      <alignment horizontal="center" vertical="bottom" textRotation="0" wrapText="false" indent="0" shrinkToFit="false"/>
      <protection locked="true" hidden="false"/>
    </xf>
    <xf numFmtId="165" fontId="0" fillId="7" borderId="39" xfId="0" applyFont="false" applyBorder="true" applyAlignment="true" applyProtection="false">
      <alignment horizontal="center" vertical="bottom" textRotation="0" wrapText="false" indent="0" shrinkToFit="false"/>
      <protection locked="true" hidden="false"/>
    </xf>
    <xf numFmtId="180" fontId="0" fillId="4" borderId="37" xfId="0" applyFont="false" applyBorder="true" applyAlignment="true" applyProtection="false">
      <alignment horizontal="center" vertical="bottom" textRotation="0" wrapText="false" indent="0" shrinkToFit="false"/>
      <protection locked="true" hidden="false"/>
    </xf>
    <xf numFmtId="169" fontId="0" fillId="4" borderId="37" xfId="0" applyFont="false" applyBorder="true" applyAlignment="true" applyProtection="false">
      <alignment horizontal="center" vertical="bottom" textRotation="0" wrapText="false" indent="0" shrinkToFit="false"/>
      <protection locked="true" hidden="false"/>
    </xf>
    <xf numFmtId="164" fontId="0" fillId="4" borderId="37" xfId="0" applyFont="tru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3" borderId="40" xfId="0" applyFont="tru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7" borderId="7" xfId="0" applyFont="false" applyBorder="true" applyAlignment="true" applyProtection="false">
      <alignment horizontal="center" vertical="bottom" textRotation="0" wrapText="false" indent="0" shrinkToFit="false"/>
      <protection locked="true" hidden="false"/>
    </xf>
    <xf numFmtId="197" fontId="0" fillId="7" borderId="21" xfId="0" applyFont="false" applyBorder="true" applyAlignment="true" applyProtection="false">
      <alignment horizontal="center" vertical="bottom" textRotation="0" wrapText="false" indent="0" shrinkToFit="false"/>
      <protection locked="true" hidden="false"/>
    </xf>
    <xf numFmtId="197" fontId="0" fillId="7" borderId="22" xfId="0" applyFont="false" applyBorder="true" applyAlignment="true" applyProtection="false">
      <alignment horizontal="center" vertical="bottom" textRotation="0" wrapText="false" indent="0" shrinkToFit="false"/>
      <protection locked="true" hidden="false"/>
    </xf>
    <xf numFmtId="198" fontId="0" fillId="7" borderId="37" xfId="0" applyFont="false" applyBorder="true" applyAlignment="true" applyProtection="false">
      <alignment horizontal="center" vertical="bottom" textRotation="0" wrapText="false" indent="0" shrinkToFit="false"/>
      <protection locked="true" hidden="false"/>
    </xf>
    <xf numFmtId="199" fontId="0" fillId="4" borderId="37"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79" fontId="0" fillId="4" borderId="0" xfId="0" applyFont="false" applyBorder="false" applyAlignment="true" applyProtection="false">
      <alignment horizontal="center" vertical="bottom" textRotation="0" wrapText="false" indent="0" shrinkToFit="false"/>
      <protection locked="true" hidden="false"/>
    </xf>
    <xf numFmtId="165" fontId="0" fillId="7" borderId="36" xfId="0" applyFont="false" applyBorder="true" applyAlignment="true" applyProtection="false">
      <alignment horizontal="center" vertical="bottom" textRotation="0" wrapText="false" indent="0" shrinkToFit="false"/>
      <protection locked="true" hidden="false"/>
    </xf>
    <xf numFmtId="200" fontId="0" fillId="4" borderId="2" xfId="0" applyFont="false" applyBorder="true" applyAlignment="true" applyProtection="false">
      <alignment horizontal="center" vertical="bottom" textRotation="0" wrapText="false" indent="0" shrinkToFit="false"/>
      <protection locked="true" hidden="false"/>
    </xf>
    <xf numFmtId="197" fontId="0" fillId="7" borderId="23" xfId="0" applyFont="false" applyBorder="true" applyAlignment="true" applyProtection="false">
      <alignment horizontal="center" vertical="bottom" textRotation="0" wrapText="false" indent="0" shrinkToFit="false"/>
      <protection locked="true" hidden="false"/>
    </xf>
    <xf numFmtId="197" fontId="0" fillId="3" borderId="35" xfId="0" applyFont="true" applyBorder="true" applyAlignment="true" applyProtection="false">
      <alignment horizontal="center" vertical="bottom" textRotation="0" wrapText="false" indent="0" shrinkToFit="false"/>
      <protection locked="true" hidden="false"/>
    </xf>
    <xf numFmtId="165" fontId="0" fillId="3" borderId="18" xfId="0" applyFont="false" applyBorder="true" applyAlignment="true" applyProtection="false">
      <alignment horizontal="center" vertical="bottom" textRotation="0" wrapText="false" indent="0" shrinkToFit="false"/>
      <protection locked="true" hidden="false"/>
    </xf>
    <xf numFmtId="164" fontId="0" fillId="3" borderId="18" xfId="0" applyFont="true" applyBorder="true" applyAlignment="true" applyProtection="false">
      <alignment horizontal="center" vertical="bottom" textRotation="0" wrapText="false" indent="0" shrinkToFit="false"/>
      <protection locked="true" hidden="false"/>
    </xf>
    <xf numFmtId="165" fontId="0" fillId="7" borderId="20" xfId="0" applyFont="false" applyBorder="true" applyAlignment="true" applyProtection="false">
      <alignment horizontal="center" vertical="bottom" textRotation="0" wrapText="false" indent="0" shrinkToFit="false"/>
      <protection locked="true" hidden="false"/>
    </xf>
    <xf numFmtId="165" fontId="0" fillId="4" borderId="2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5" fontId="0" fillId="4" borderId="20" xfId="0" applyFont="false" applyBorder="true" applyAlignment="true" applyProtection="false">
      <alignment horizontal="center" vertical="bottom" textRotation="0" wrapText="false" indent="0" shrinkToFit="false"/>
      <protection locked="true" hidden="false"/>
    </xf>
    <xf numFmtId="165" fontId="0" fillId="7" borderId="28" xfId="0" applyFont="false" applyBorder="true" applyAlignment="true" applyProtection="false">
      <alignment horizontal="center" vertical="bottom" textRotation="0" wrapText="false" indent="0" shrinkToFit="false"/>
      <protection locked="true" hidden="false"/>
    </xf>
    <xf numFmtId="164" fontId="0" fillId="4" borderId="9"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true" applyAlignment="true" applyProtection="true">
      <alignment horizontal="center" vertical="bottom" textRotation="0" wrapText="false" indent="0" shrinkToFit="false"/>
      <protection locked="false" hidden="false"/>
    </xf>
    <xf numFmtId="165" fontId="0" fillId="7" borderId="9" xfId="0" applyFont="false" applyBorder="true" applyAlignment="true" applyProtection="false">
      <alignment horizontal="center" vertical="bottom" textRotation="0" wrapText="false" indent="0" shrinkToFit="false"/>
      <protection locked="true" hidden="false"/>
    </xf>
    <xf numFmtId="165" fontId="0" fillId="4" borderId="9" xfId="0" applyFont="false" applyBorder="true" applyAlignment="true" applyProtection="false">
      <alignment horizontal="center" vertical="bottom" textRotation="0" wrapText="false" indent="0" shrinkToFit="false"/>
      <protection locked="true" hidden="false"/>
    </xf>
    <xf numFmtId="179" fontId="0" fillId="0" borderId="0" xfId="0" applyFont="false" applyBorder="false" applyAlignment="true" applyProtection="false">
      <alignment horizontal="center" vertical="bottom" textRotation="0" wrapText="false" indent="0" shrinkToFit="false"/>
      <protection locked="true" hidden="false"/>
    </xf>
    <xf numFmtId="179" fontId="46" fillId="0" borderId="0" xfId="0" applyFont="true" applyBorder="false" applyAlignment="true" applyProtection="false">
      <alignment horizontal="center" vertical="bottom" textRotation="0" wrapText="false" indent="0" shrinkToFit="false"/>
      <protection locked="true" hidden="false"/>
    </xf>
    <xf numFmtId="179" fontId="0" fillId="5" borderId="39" xfId="0" applyFont="true" applyBorder="true" applyAlignment="true" applyProtection="false">
      <alignment horizontal="center" vertical="bottom" textRotation="0" wrapText="false" indent="0" shrinkToFit="false"/>
      <protection locked="true" hidden="false"/>
    </xf>
    <xf numFmtId="179" fontId="0" fillId="8" borderId="0" xfId="0" applyFont="false" applyBorder="false" applyAlignment="true" applyProtection="false">
      <alignment horizontal="center" vertical="bottom" textRotation="0" wrapText="false" indent="0" shrinkToFit="false"/>
      <protection locked="true" hidden="false"/>
    </xf>
    <xf numFmtId="179" fontId="0" fillId="5" borderId="34" xfId="0" applyFont="true" applyBorder="true" applyAlignment="true" applyProtection="false">
      <alignment horizontal="center" vertical="bottom" textRotation="0" wrapText="false" indent="0" shrinkToFit="false"/>
      <protection locked="true" hidden="false"/>
    </xf>
    <xf numFmtId="164" fontId="0" fillId="5" borderId="41" xfId="0" applyFont="true" applyBorder="true" applyAlignment="true" applyProtection="false">
      <alignment horizontal="center" vertical="bottom" textRotation="0" wrapText="false" indent="0" shrinkToFit="false"/>
      <protection locked="true" hidden="false"/>
    </xf>
    <xf numFmtId="164" fontId="0" fillId="5" borderId="42" xfId="0" applyFont="true" applyBorder="true" applyAlignment="true" applyProtection="false">
      <alignment horizontal="center" vertical="bottom" textRotation="0" wrapText="false" indent="0" shrinkToFit="false"/>
      <protection locked="true" hidden="false"/>
    </xf>
    <xf numFmtId="164" fontId="46" fillId="0" borderId="0" xfId="0" applyFont="true" applyBorder="false" applyAlignment="true" applyProtection="false">
      <alignment horizontal="center" vertical="bottom" textRotation="0" wrapText="false" indent="0" shrinkToFit="false"/>
      <protection locked="true" hidden="false"/>
    </xf>
    <xf numFmtId="164" fontId="0" fillId="5" borderId="43" xfId="0" applyFont="true" applyBorder="true" applyAlignment="true" applyProtection="false">
      <alignment horizontal="center" vertical="bottom" textRotation="0" wrapText="false" indent="0" shrinkToFit="false"/>
      <protection locked="true" hidden="false"/>
    </xf>
    <xf numFmtId="164" fontId="0" fillId="5" borderId="44" xfId="0" applyFont="true" applyBorder="true" applyAlignment="true" applyProtection="false">
      <alignment horizontal="center" vertical="bottom" textRotation="0" wrapText="false" indent="0" shrinkToFit="false"/>
      <protection locked="true" hidden="false"/>
    </xf>
    <xf numFmtId="164" fontId="0" fillId="5" borderId="45" xfId="0" applyFont="true" applyBorder="true" applyAlignment="true" applyProtection="false">
      <alignment horizontal="center" vertical="bottom" textRotation="0" wrapText="false" indent="0" shrinkToFit="false"/>
      <protection locked="true" hidden="false"/>
    </xf>
    <xf numFmtId="164" fontId="46" fillId="0" borderId="40" xfId="0" applyFont="true" applyBorder="true" applyAlignment="true" applyProtection="false">
      <alignment horizontal="center" vertical="bottom" textRotation="0" wrapText="false" indent="0" shrinkToFit="false"/>
      <protection locked="true" hidden="false"/>
    </xf>
    <xf numFmtId="164" fontId="0" fillId="5" borderId="46" xfId="0" applyFont="true" applyBorder="true" applyAlignment="true" applyProtection="false">
      <alignment horizontal="center" vertical="bottom" textRotation="0" wrapText="false" indent="0" shrinkToFit="false"/>
      <protection locked="true" hidden="false"/>
    </xf>
    <xf numFmtId="164" fontId="5" fillId="5" borderId="41" xfId="0" applyFont="true" applyBorder="true" applyAlignment="true" applyProtection="false">
      <alignment horizontal="center" vertical="bottom" textRotation="0" wrapText="false" indent="0" shrinkToFit="false"/>
      <protection locked="true" hidden="false"/>
    </xf>
    <xf numFmtId="164" fontId="0" fillId="5" borderId="47" xfId="0" applyFont="true" applyBorder="true" applyAlignment="true" applyProtection="false">
      <alignment horizontal="center" vertical="bottom" textRotation="0" wrapText="false" indent="0" shrinkToFit="false"/>
      <protection locked="true" hidden="false"/>
    </xf>
    <xf numFmtId="164" fontId="0" fillId="5" borderId="48" xfId="0" applyFont="true" applyBorder="true" applyAlignment="true" applyProtection="false">
      <alignment horizontal="center" vertical="bottom" textRotation="0" wrapText="false" indent="0" shrinkToFit="false"/>
      <protection locked="true" hidden="false"/>
    </xf>
    <xf numFmtId="164" fontId="0" fillId="5" borderId="49"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center" vertical="bottom" textRotation="0" wrapText="false" indent="0" shrinkToFit="false"/>
      <protection locked="true" hidden="false"/>
    </xf>
    <xf numFmtId="164" fontId="0" fillId="5" borderId="50" xfId="0" applyFont="true" applyBorder="true" applyAlignment="true" applyProtection="false">
      <alignment horizontal="center" vertical="bottom" textRotation="0" wrapText="false" indent="0" shrinkToFit="false"/>
      <protection locked="true" hidden="false"/>
    </xf>
    <xf numFmtId="164" fontId="0" fillId="5" borderId="18" xfId="0" applyFont="true" applyBorder="true" applyAlignment="true" applyProtection="false">
      <alignment horizontal="center" vertical="bottom" textRotation="0" wrapText="false" indent="0" shrinkToFit="false"/>
      <protection locked="true" hidden="false"/>
    </xf>
    <xf numFmtId="164" fontId="0" fillId="5" borderId="51" xfId="0" applyFont="true" applyBorder="true" applyAlignment="true" applyProtection="false">
      <alignment horizontal="center" vertical="bottom" textRotation="0" wrapText="false" indent="0" shrinkToFit="false"/>
      <protection locked="true" hidden="false"/>
    </xf>
    <xf numFmtId="164" fontId="0" fillId="5" borderId="52" xfId="0" applyFont="false" applyBorder="true" applyAlignment="true" applyProtection="false">
      <alignment horizontal="center" vertical="bottom" textRotation="0" wrapText="false" indent="0" shrinkToFit="false"/>
      <protection locked="true" hidden="false"/>
    </xf>
    <xf numFmtId="164" fontId="0" fillId="5" borderId="25" xfId="0" applyFont="false" applyBorder="true" applyAlignment="true" applyProtection="false">
      <alignment horizontal="center" vertical="bottom" textRotation="0" wrapText="false" indent="0" shrinkToFit="false"/>
      <protection locked="true" hidden="false"/>
    </xf>
    <xf numFmtId="164" fontId="0" fillId="5" borderId="53" xfId="0" applyFont="false" applyBorder="true" applyAlignment="true" applyProtection="false">
      <alignment horizontal="center" vertical="bottom" textRotation="0" wrapText="false" indent="0" shrinkToFit="false"/>
      <protection locked="true" hidden="false"/>
    </xf>
    <xf numFmtId="179" fontId="0" fillId="9" borderId="24" xfId="0" applyFont="true" applyBorder="true" applyAlignment="true" applyProtection="false">
      <alignment horizontal="center" vertical="bottom" textRotation="0" wrapText="false" indent="0" shrinkToFit="false"/>
      <protection locked="true" hidden="false"/>
    </xf>
    <xf numFmtId="179" fontId="0" fillId="7" borderId="26" xfId="0" applyFont="false" applyBorder="true" applyAlignment="true" applyProtection="false">
      <alignment horizontal="center" vertical="bottom" textRotation="0" wrapText="false" indent="0" shrinkToFit="false"/>
      <protection locked="true" hidden="false"/>
    </xf>
    <xf numFmtId="179" fontId="0" fillId="9" borderId="25" xfId="0" applyFont="true" applyBorder="true" applyAlignment="true" applyProtection="false">
      <alignment horizontal="center" vertical="bottom" textRotation="0" wrapText="false" indent="0" shrinkToFit="false"/>
      <protection locked="true" hidden="false"/>
    </xf>
    <xf numFmtId="179" fontId="0" fillId="9" borderId="26" xfId="0" applyFont="true" applyBorder="true" applyAlignment="true" applyProtection="false">
      <alignment horizontal="center" vertical="bottom" textRotation="0" wrapText="false" indent="0" shrinkToFit="false"/>
      <protection locked="true" hidden="false"/>
    </xf>
    <xf numFmtId="179" fontId="0" fillId="7" borderId="24" xfId="0" applyFont="false" applyBorder="true" applyAlignment="true" applyProtection="false">
      <alignment horizontal="center" vertical="bottom" textRotation="0" wrapText="false" indent="0" shrinkToFit="false"/>
      <protection locked="true" hidden="false"/>
    </xf>
    <xf numFmtId="179" fontId="0" fillId="7" borderId="25" xfId="0" applyFont="false" applyBorder="true" applyAlignment="true" applyProtection="false">
      <alignment horizontal="center" vertical="bottom" textRotation="0" wrapText="false" indent="0" shrinkToFit="false"/>
      <protection locked="true" hidden="false"/>
    </xf>
    <xf numFmtId="179" fontId="0" fillId="6" borderId="26" xfId="0" applyFont="false" applyBorder="true" applyAlignment="true" applyProtection="false">
      <alignment horizontal="center" vertical="bottom" textRotation="0" wrapText="false" indent="0" shrinkToFit="false"/>
      <protection locked="true" hidden="false"/>
    </xf>
    <xf numFmtId="179" fontId="0" fillId="6" borderId="18" xfId="0" applyFont="false" applyBorder="true" applyAlignment="true" applyProtection="false">
      <alignment horizontal="center" vertical="bottom" textRotation="0" wrapText="false" indent="0" shrinkToFit="false"/>
      <protection locked="true" hidden="false"/>
    </xf>
    <xf numFmtId="179" fontId="0" fillId="6" borderId="24" xfId="0" applyFont="false" applyBorder="true" applyAlignment="true" applyProtection="false">
      <alignment horizontal="center" vertical="bottom" textRotation="0" wrapText="false" indent="0" shrinkToFit="false"/>
      <protection locked="true" hidden="false"/>
    </xf>
    <xf numFmtId="164" fontId="0" fillId="9" borderId="24" xfId="0" applyFont="true" applyBorder="true" applyAlignment="true" applyProtection="false">
      <alignment horizontal="center" vertical="bottom" textRotation="0" wrapText="false" indent="0" shrinkToFit="false"/>
      <protection locked="true" hidden="false"/>
    </xf>
    <xf numFmtId="164" fontId="0" fillId="9" borderId="25" xfId="0" applyFont="true" applyBorder="true" applyAlignment="true" applyProtection="false">
      <alignment horizontal="center" vertical="bottom" textRotation="0" wrapText="false" indent="0" shrinkToFit="false"/>
      <protection locked="true" hidden="false"/>
    </xf>
    <xf numFmtId="164" fontId="0" fillId="9" borderId="26" xfId="0" applyFont="true" applyBorder="true" applyAlignment="true" applyProtection="false">
      <alignment horizontal="center" vertical="bottom" textRotation="0" wrapText="false" indent="0" shrinkToFit="false"/>
      <protection locked="true" hidden="false"/>
    </xf>
    <xf numFmtId="173" fontId="0" fillId="6" borderId="24" xfId="0" applyFont="false" applyBorder="true" applyAlignment="true" applyProtection="false">
      <alignment horizontal="center" vertical="bottom" textRotation="0" wrapText="false" indent="0" shrinkToFit="false"/>
      <protection locked="true" hidden="false"/>
    </xf>
    <xf numFmtId="173" fontId="0" fillId="6" borderId="25" xfId="0" applyFont="false" applyBorder="true" applyAlignment="true" applyProtection="false">
      <alignment horizontal="center" vertical="bottom" textRotation="0" wrapText="false" indent="0" shrinkToFit="false"/>
      <protection locked="true" hidden="false"/>
    </xf>
    <xf numFmtId="173" fontId="0" fillId="6" borderId="26" xfId="0" applyFont="false" applyBorder="true" applyAlignment="true" applyProtection="false">
      <alignment horizontal="center" vertical="bottom" textRotation="0" wrapText="false" indent="0" shrinkToFit="false"/>
      <protection locked="true" hidden="false"/>
    </xf>
    <xf numFmtId="179" fontId="0" fillId="6" borderId="27" xfId="0" applyFont="false" applyBorder="true" applyAlignment="true" applyProtection="false">
      <alignment horizontal="center" vertical="bottom" textRotation="0" wrapText="false" indent="0" shrinkToFit="false"/>
      <protection locked="true" hidden="false"/>
    </xf>
    <xf numFmtId="179" fontId="0" fillId="6" borderId="28" xfId="0" applyFont="false" applyBorder="true" applyAlignment="true" applyProtection="false">
      <alignment horizontal="center" vertical="bottom" textRotation="0" wrapText="false" indent="0" shrinkToFit="false"/>
      <protection locked="true" hidden="false"/>
    </xf>
    <xf numFmtId="179" fontId="0" fillId="6" borderId="0" xfId="0" applyFont="false" applyBorder="false" applyAlignment="true" applyProtection="false">
      <alignment horizontal="center" vertical="bottom" textRotation="0" wrapText="false" indent="0" shrinkToFit="false"/>
      <protection locked="true" hidden="false"/>
    </xf>
    <xf numFmtId="173" fontId="0" fillId="6" borderId="27" xfId="0" applyFont="false" applyBorder="true" applyAlignment="true" applyProtection="false">
      <alignment horizontal="center" vertical="bottom" textRotation="0" wrapText="false" indent="0" shrinkToFit="false"/>
      <protection locked="true" hidden="false"/>
    </xf>
    <xf numFmtId="179" fontId="0" fillId="6" borderId="20" xfId="0" applyFont="false" applyBorder="true" applyAlignment="true" applyProtection="false">
      <alignment horizontal="center" vertical="bottom" textRotation="0" wrapText="false" indent="0" shrinkToFit="false"/>
      <protection locked="true" hidden="false"/>
    </xf>
    <xf numFmtId="165" fontId="0" fillId="6" borderId="27"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28" xfId="0" applyFont="false" applyBorder="true" applyAlignment="true" applyProtection="false">
      <alignment horizontal="center" vertical="bottom" textRotation="0" wrapText="false" indent="0" shrinkToFit="false"/>
      <protection locked="true" hidden="false"/>
    </xf>
    <xf numFmtId="173" fontId="0" fillId="6" borderId="0" xfId="0" applyFont="false" applyBorder="false" applyAlignment="true" applyProtection="false">
      <alignment horizontal="center" vertical="bottom" textRotation="0" wrapText="false" indent="0" shrinkToFit="false"/>
      <protection locked="true" hidden="false"/>
    </xf>
    <xf numFmtId="173" fontId="0" fillId="6" borderId="28" xfId="0" applyFont="false" applyBorder="tru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5" fontId="0" fillId="6" borderId="28" xfId="0" applyFont="false" applyBorder="true" applyAlignment="true" applyProtection="false">
      <alignment horizontal="center" vertical="bottom" textRotation="0" wrapText="false" indent="0" shrinkToFit="false"/>
      <protection locked="true" hidden="false"/>
    </xf>
    <xf numFmtId="165" fontId="0" fillId="6" borderId="27" xfId="0" applyFont="false" applyBorder="true" applyAlignment="false" applyProtection="false">
      <alignment horizontal="general" vertical="bottom" textRotation="0" wrapText="false" indent="0" shrinkToFit="false"/>
      <protection locked="true" hidden="false"/>
    </xf>
    <xf numFmtId="179" fontId="0" fillId="6" borderId="29" xfId="0" applyFont="false" applyBorder="true" applyAlignment="true" applyProtection="false">
      <alignment horizontal="center" vertical="bottom" textRotation="0" wrapText="false" indent="0" shrinkToFit="false"/>
      <protection locked="true" hidden="false"/>
    </xf>
    <xf numFmtId="179" fontId="0" fillId="6" borderId="31" xfId="0" applyFont="false" applyBorder="true" applyAlignment="true" applyProtection="false">
      <alignment horizontal="center" vertical="bottom" textRotation="0" wrapText="false" indent="0" shrinkToFit="false"/>
      <protection locked="true" hidden="false"/>
    </xf>
    <xf numFmtId="179" fontId="0" fillId="6" borderId="30" xfId="0" applyFont="false" applyBorder="true" applyAlignment="true" applyProtection="false">
      <alignment horizontal="center" vertical="bottom" textRotation="0" wrapText="false" indent="0" shrinkToFit="false"/>
      <protection locked="true" hidden="false"/>
    </xf>
    <xf numFmtId="173" fontId="0" fillId="6" borderId="29" xfId="0" applyFont="false" applyBorder="true" applyAlignment="true" applyProtection="false">
      <alignment horizontal="center" vertical="bottom" textRotation="0" wrapText="false" indent="0" shrinkToFit="false"/>
      <protection locked="true" hidden="false"/>
    </xf>
    <xf numFmtId="179" fontId="0" fillId="6" borderId="9" xfId="0" applyFont="false" applyBorder="true" applyAlignment="true" applyProtection="false">
      <alignment horizontal="center" vertical="bottom" textRotation="0" wrapText="false" indent="0" shrinkToFit="false"/>
      <protection locked="true" hidden="false"/>
    </xf>
    <xf numFmtId="165" fontId="0" fillId="6" borderId="29" xfId="0" applyFont="false" applyBorder="true" applyAlignment="false" applyProtection="false">
      <alignment horizontal="general" vertical="bottom" textRotation="0" wrapText="false" indent="0" shrinkToFit="false"/>
      <protection locked="true" hidden="false"/>
    </xf>
    <xf numFmtId="165" fontId="0" fillId="6" borderId="30" xfId="0" applyFont="false" applyBorder="true" applyAlignment="false" applyProtection="false">
      <alignment horizontal="general" vertical="bottom" textRotation="0" wrapText="false" indent="0" shrinkToFit="false"/>
      <protection locked="true" hidden="false"/>
    </xf>
    <xf numFmtId="165" fontId="0" fillId="6" borderId="31" xfId="0" applyFont="false" applyBorder="true" applyAlignment="true" applyProtection="false">
      <alignment horizontal="center" vertical="bottom" textRotation="0" wrapText="false" indent="0" shrinkToFit="false"/>
      <protection locked="true" hidden="false"/>
    </xf>
    <xf numFmtId="173" fontId="0" fillId="6" borderId="30" xfId="0" applyFont="false" applyBorder="true" applyAlignment="true" applyProtection="false">
      <alignment horizontal="center" vertical="bottom" textRotation="0" wrapText="false" indent="0" shrinkToFit="false"/>
      <protection locked="true" hidden="false"/>
    </xf>
    <xf numFmtId="173" fontId="0" fillId="6" borderId="31" xfId="0" applyFont="false" applyBorder="true" applyAlignment="true" applyProtection="false">
      <alignment horizontal="center" vertical="bottom" textRotation="0" wrapText="false" indent="0" shrinkToFit="false"/>
      <protection locked="true" hidden="false"/>
    </xf>
    <xf numFmtId="179" fontId="47" fillId="0" borderId="0" xfId="0" applyFont="true" applyBorder="false" applyAlignment="true" applyProtection="false">
      <alignment horizontal="left" vertical="bottom" textRotation="0" wrapText="false" indent="0" shrinkToFit="false"/>
      <protection locked="true" hidden="false"/>
    </xf>
    <xf numFmtId="179" fontId="17" fillId="0" borderId="0" xfId="20" applyFont="true" applyBorder="tru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center" vertical="bottom" textRotation="0" wrapText="false" indent="0" shrinkToFit="false"/>
      <protection locked="true" hidden="false"/>
    </xf>
    <xf numFmtId="179" fontId="0" fillId="0" borderId="0" xfId="0" applyFont="true" applyBorder="false" applyAlignment="true" applyProtection="false">
      <alignment horizontal="left" vertical="bottom" textRotation="0" wrapText="false" indent="0" shrinkToFit="false"/>
      <protection locked="true" hidden="false"/>
    </xf>
    <xf numFmtId="179"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201" fontId="4" fillId="7" borderId="18" xfId="0" applyFont="true" applyBorder="true" applyAlignment="true" applyProtection="false">
      <alignment horizontal="center" vertical="center" textRotation="0" wrapText="false" indent="0" shrinkToFit="false"/>
      <protection locked="true" hidden="false"/>
    </xf>
    <xf numFmtId="165" fontId="4" fillId="7" borderId="18" xfId="0" applyFont="true" applyBorder="true" applyAlignment="true" applyProtection="false">
      <alignment horizontal="center" vertical="center" textRotation="0" wrapText="false" indent="0" shrinkToFit="false"/>
      <protection locked="true" hidden="false"/>
    </xf>
    <xf numFmtId="202" fontId="4" fillId="7" borderId="5" xfId="0" applyFont="true" applyBorder="true" applyAlignment="true" applyProtection="false">
      <alignment horizontal="center" vertical="center" textRotation="0" wrapText="false" indent="0" shrinkToFit="false"/>
      <protection locked="true" hidden="false"/>
    </xf>
    <xf numFmtId="165" fontId="4" fillId="7" borderId="5" xfId="0" applyFont="true" applyBorder="true" applyAlignment="true" applyProtection="false">
      <alignment horizontal="center" vertical="center"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203" fontId="10" fillId="6" borderId="18" xfId="21" applyFont="true" applyBorder="true" applyAlignment="true" applyProtection="false">
      <alignment horizontal="center" vertical="bottom" textRotation="0" wrapText="false" indent="0" shrinkToFit="false"/>
      <protection locked="true" hidden="false"/>
    </xf>
    <xf numFmtId="165" fontId="10" fillId="6" borderId="26" xfId="21" applyFont="true" applyBorder="true" applyAlignment="true" applyProtection="false">
      <alignment horizontal="center" vertical="bottom" textRotation="0" wrapText="false" indent="0" shrinkToFit="false"/>
      <protection locked="true" hidden="false"/>
    </xf>
    <xf numFmtId="168" fontId="10" fillId="6" borderId="18" xfId="21" applyFont="true" applyBorder="true" applyAlignment="true" applyProtection="true">
      <alignment horizontal="center" vertical="bottom" textRotation="0" wrapText="false" indent="0" shrinkToFit="false"/>
      <protection locked="true" hidden="true"/>
    </xf>
    <xf numFmtId="204" fontId="10" fillId="6" borderId="26" xfId="21" applyFont="true" applyBorder="true" applyAlignment="true" applyProtection="false">
      <alignment horizontal="center" vertical="bottom" textRotation="0" wrapText="false" indent="0" shrinkToFit="false"/>
      <protection locked="true" hidden="false"/>
    </xf>
    <xf numFmtId="168" fontId="10" fillId="6" borderId="26" xfId="21" applyFont="true" applyBorder="true" applyAlignment="true" applyProtection="false">
      <alignment horizontal="center" vertical="bottom" textRotation="0" wrapText="false" indent="0" shrinkToFit="false"/>
      <protection locked="true" hidden="false"/>
    </xf>
    <xf numFmtId="193" fontId="10" fillId="6" borderId="26" xfId="21" applyFont="true" applyBorder="true" applyAlignment="true" applyProtection="false">
      <alignment horizontal="center" vertical="bottom" textRotation="0" wrapText="false" indent="0" shrinkToFit="false"/>
      <protection locked="true" hidden="false"/>
    </xf>
    <xf numFmtId="182" fontId="10" fillId="6" borderId="26" xfId="21" applyFont="true" applyBorder="true" applyAlignment="true" applyProtection="false">
      <alignment horizontal="center" vertical="bottom" textRotation="0" wrapText="false" indent="0" shrinkToFit="false"/>
      <protection locked="true" hidden="false"/>
    </xf>
    <xf numFmtId="189" fontId="10" fillId="6" borderId="26" xfId="21" applyFont="true" applyBorder="true" applyAlignment="true" applyProtection="false">
      <alignment horizontal="center" vertical="bottom" textRotation="0" wrapText="false" indent="0" shrinkToFit="false"/>
      <protection locked="true" hidden="false"/>
    </xf>
    <xf numFmtId="203" fontId="10" fillId="6" borderId="20" xfId="21" applyFont="true" applyBorder="true" applyAlignment="true" applyProtection="false">
      <alignment horizontal="center" vertical="bottom" textRotation="0" wrapText="false" indent="0" shrinkToFit="false"/>
      <protection locked="true" hidden="false"/>
    </xf>
    <xf numFmtId="165" fontId="10" fillId="6" borderId="28" xfId="21" applyFont="true" applyBorder="true" applyAlignment="true" applyProtection="false">
      <alignment horizontal="center" vertical="bottom" textRotation="0" wrapText="false" indent="0" shrinkToFit="false"/>
      <protection locked="true" hidden="false"/>
    </xf>
    <xf numFmtId="168" fontId="10" fillId="6" borderId="20" xfId="21" applyFont="true" applyBorder="true" applyAlignment="true" applyProtection="true">
      <alignment horizontal="center" vertical="bottom" textRotation="0" wrapText="false" indent="0" shrinkToFit="false"/>
      <protection locked="true" hidden="true"/>
    </xf>
    <xf numFmtId="204" fontId="10" fillId="6" borderId="28" xfId="21" applyFont="true" applyBorder="true" applyAlignment="true" applyProtection="false">
      <alignment horizontal="center" vertical="bottom" textRotation="0" wrapText="false" indent="0" shrinkToFit="false"/>
      <protection locked="true" hidden="false"/>
    </xf>
    <xf numFmtId="193" fontId="10" fillId="6" borderId="28" xfId="21" applyFont="true" applyBorder="true" applyAlignment="true" applyProtection="false">
      <alignment horizontal="center" vertical="bottom" textRotation="0" wrapText="false" indent="0" shrinkToFit="false"/>
      <protection locked="true" hidden="false"/>
    </xf>
    <xf numFmtId="182" fontId="10" fillId="6" borderId="28" xfId="21" applyFont="true" applyBorder="true" applyAlignment="true" applyProtection="false">
      <alignment horizontal="center" vertical="bottom" textRotation="0" wrapText="false" indent="0" shrinkToFit="false"/>
      <protection locked="true" hidden="false"/>
    </xf>
    <xf numFmtId="189" fontId="10" fillId="6" borderId="28" xfId="21" applyFont="true" applyBorder="true" applyAlignment="true" applyProtection="false">
      <alignment horizontal="center" vertical="bottom" textRotation="0" wrapText="false" indent="0" shrinkToFit="false"/>
      <protection locked="true" hidden="false"/>
    </xf>
    <xf numFmtId="203" fontId="10" fillId="6" borderId="9" xfId="21" applyFont="true" applyBorder="true" applyAlignment="true" applyProtection="false">
      <alignment horizontal="center" vertical="bottom" textRotation="0" wrapText="false" indent="0" shrinkToFit="false"/>
      <protection locked="true" hidden="false"/>
    </xf>
    <xf numFmtId="165" fontId="10" fillId="6" borderId="31" xfId="21" applyFont="true" applyBorder="true" applyAlignment="true" applyProtection="false">
      <alignment horizontal="center" vertical="bottom" textRotation="0" wrapText="false" indent="0" shrinkToFit="false"/>
      <protection locked="true" hidden="false"/>
    </xf>
    <xf numFmtId="168" fontId="10" fillId="6" borderId="9" xfId="21" applyFont="true" applyBorder="true" applyAlignment="true" applyProtection="true">
      <alignment horizontal="center" vertical="bottom" textRotation="0" wrapText="false" indent="0" shrinkToFit="false"/>
      <protection locked="true" hidden="true"/>
    </xf>
    <xf numFmtId="204" fontId="10" fillId="6" borderId="31" xfId="21" applyFont="true" applyBorder="true" applyAlignment="true" applyProtection="false">
      <alignment horizontal="center" vertical="bottom" textRotation="0" wrapText="false" indent="0" shrinkToFit="false"/>
      <protection locked="true" hidden="false"/>
    </xf>
    <xf numFmtId="193" fontId="10" fillId="6" borderId="31" xfId="21" applyFont="true" applyBorder="true" applyAlignment="true" applyProtection="false">
      <alignment horizontal="center" vertical="bottom" textRotation="0" wrapText="false" indent="0" shrinkToFit="false"/>
      <protection locked="true" hidden="false"/>
    </xf>
    <xf numFmtId="182" fontId="10" fillId="6" borderId="31" xfId="21" applyFont="true" applyBorder="true" applyAlignment="true" applyProtection="false">
      <alignment horizontal="center" vertical="bottom" textRotation="0" wrapText="false" indent="0" shrinkToFit="false"/>
      <protection locked="true" hidden="false"/>
    </xf>
    <xf numFmtId="189" fontId="10" fillId="6" borderId="31" xfId="21" applyFont="true" applyBorder="true" applyAlignment="true" applyProtection="false">
      <alignment horizontal="center" vertical="bottom" textRotation="0" wrapText="false" indent="0" shrinkToFit="false"/>
      <protection locked="true" hidden="false"/>
    </xf>
    <xf numFmtId="165" fontId="51" fillId="0" borderId="0" xfId="0" applyFont="true" applyBorder="false" applyAlignment="false" applyProtection="false">
      <alignment horizontal="general" vertical="bottom" textRotation="0" wrapText="false" indent="0" shrinkToFit="false"/>
      <protection locked="true" hidden="false"/>
    </xf>
    <xf numFmtId="165" fontId="47" fillId="0" borderId="0" xfId="0" applyFont="true" applyBorder="false" applyAlignment="false" applyProtection="fals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false">
      <alignment horizontal="left" vertical="bottom" textRotation="0" wrapText="fals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true"/>
    </xf>
    <xf numFmtId="200" fontId="0" fillId="0" borderId="0" xfId="0" applyFont="false" applyBorder="false" applyAlignment="true" applyProtection="true">
      <alignment horizontal="general" vertical="center" textRotation="0" wrapText="false" indent="0" shrinkToFit="false"/>
      <protection locked="true" hidden="tru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0" fillId="0" borderId="39"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64" fontId="4" fillId="0" borderId="24" xfId="0" applyFont="true" applyBorder="true" applyAlignment="true" applyProtection="false">
      <alignment horizontal="center" vertical="bottom" textRotation="0" wrapText="false" indent="0" shrinkToFit="false"/>
      <protection locked="true" hidden="false"/>
    </xf>
    <xf numFmtId="165" fontId="4" fillId="0" borderId="26"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true" applyProtection="false">
      <alignment horizontal="center" vertical="bottom" textRotation="0" wrapText="false" indent="0" shrinkToFit="false"/>
      <protection locked="true" hidden="false"/>
    </xf>
    <xf numFmtId="170" fontId="4" fillId="0" borderId="26"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5" fontId="0" fillId="0" borderId="5" xfId="0" applyFont="true" applyBorder="true" applyAlignment="true" applyProtection="false">
      <alignment horizontal="center" vertical="bottom" textRotation="0" wrapText="false" indent="0" shrinkToFit="false"/>
      <protection locked="true" hidden="false"/>
    </xf>
    <xf numFmtId="164" fontId="4" fillId="0" borderId="27"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false">
      <alignment horizontal="center" vertical="bottom" textRotation="0" wrapText="false" indent="0" shrinkToFit="false"/>
      <protection locked="true" hidden="false"/>
    </xf>
    <xf numFmtId="170" fontId="4" fillId="0" borderId="28"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fals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bottom" textRotation="0" wrapText="false" indent="0" shrinkToFit="false"/>
      <protection locked="true" hidden="false"/>
    </xf>
    <xf numFmtId="165" fontId="53" fillId="0" borderId="28" xfId="0" applyFont="true" applyBorder="tru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4" fillId="0" borderId="28" xfId="0" applyFont="true" applyBorder="true" applyAlignment="true" applyProtection="false">
      <alignment horizontal="center" vertical="bottom" textRotation="0" wrapText="false" indent="0" shrinkToFit="false"/>
      <protection locked="true" hidden="false"/>
    </xf>
    <xf numFmtId="165" fontId="4" fillId="0" borderId="28" xfId="0" applyFont="true" applyBorder="true" applyAlignment="true" applyProtection="false">
      <alignment horizontal="center" vertical="center" textRotation="0" wrapText="false" indent="0" shrinkToFit="false"/>
      <protection locked="true" hidden="false"/>
    </xf>
    <xf numFmtId="164" fontId="0" fillId="0" borderId="28"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4" fillId="0" borderId="30" xfId="0" applyFont="true" applyBorder="true" applyAlignment="true" applyProtection="false">
      <alignment horizontal="center" vertical="center" textRotation="0" wrapText="false" indent="0" shrinkToFit="false"/>
      <protection locked="true" hidden="false"/>
    </xf>
    <xf numFmtId="164" fontId="4" fillId="0" borderId="30" xfId="0" applyFont="true" applyBorder="true" applyAlignment="true" applyProtection="false">
      <alignment horizontal="center" vertical="bottom" textRotation="0" wrapText="false" indent="0" shrinkToFit="false"/>
      <protection locked="true" hidden="false"/>
    </xf>
    <xf numFmtId="178" fontId="4" fillId="0" borderId="31" xfId="0" applyFont="true" applyBorder="true" applyAlignment="true" applyProtection="false">
      <alignment horizontal="center" vertical="center" textRotation="0" wrapText="false" indent="0" shrinkToFit="false"/>
      <protection locked="true" hidden="false"/>
    </xf>
    <xf numFmtId="178" fontId="4" fillId="0" borderId="0" xfId="0" applyFont="true" applyBorder="false" applyAlignment="true" applyProtection="false">
      <alignment horizontal="center" vertical="center" textRotation="0" wrapText="false" indent="0" shrinkToFit="false"/>
      <protection locked="true" hidden="false"/>
    </xf>
    <xf numFmtId="173" fontId="4" fillId="0" borderId="3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73" fontId="4" fillId="0" borderId="5"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78" fontId="4" fillId="0" borderId="5" xfId="0" applyFont="true" applyBorder="true" applyAlignment="true" applyProtection="false">
      <alignment horizontal="center" vertical="center" textRotation="0" wrapText="false" indent="0" shrinkToFit="false"/>
      <protection locked="true" hidden="false"/>
    </xf>
    <xf numFmtId="178" fontId="4" fillId="0"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54"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bottom" textRotation="0" wrapText="false" indent="0" shrinkToFit="false"/>
      <protection locked="true" hidden="false"/>
    </xf>
    <xf numFmtId="165" fontId="0" fillId="0" borderId="5" xfId="0" applyFont="false" applyBorder="true" applyAlignment="true" applyProtection="false">
      <alignment horizontal="center" vertical="bottom" textRotation="0" wrapText="false" indent="0" shrinkToFit="false"/>
      <protection locked="true" hidden="false"/>
    </xf>
    <xf numFmtId="205" fontId="4" fillId="0" borderId="55" xfId="0" applyFont="true" applyBorder="true" applyAlignment="true" applyProtection="false">
      <alignment horizontal="center" vertical="bottom" textRotation="0" wrapText="false" indent="0" shrinkToFit="false"/>
      <protection locked="true" hidden="false"/>
    </xf>
    <xf numFmtId="173" fontId="4" fillId="0" borderId="55" xfId="0" applyFont="true" applyBorder="true" applyAlignment="true" applyProtection="false">
      <alignment horizontal="center" vertical="bottom" textRotation="0" wrapText="false" indent="0" shrinkToFit="false"/>
      <protection locked="true" hidden="false"/>
    </xf>
    <xf numFmtId="170" fontId="4" fillId="0" borderId="55" xfId="0" applyFont="true" applyBorder="true" applyAlignment="true" applyProtection="false">
      <alignment horizontal="center" vertical="center" textRotation="0" wrapText="false" indent="0" shrinkToFit="false"/>
      <protection locked="true" hidden="false"/>
    </xf>
    <xf numFmtId="173" fontId="4" fillId="0" borderId="55" xfId="0" applyFont="true" applyBorder="true" applyAlignment="true" applyProtection="false">
      <alignment horizontal="center" vertical="center" textRotation="0" wrapText="false" indent="0" shrinkToFit="false"/>
      <protection locked="true" hidden="false"/>
    </xf>
    <xf numFmtId="170" fontId="4" fillId="0" borderId="55" xfId="0" applyFont="true" applyBorder="true" applyAlignment="true" applyProtection="false">
      <alignment horizontal="center" vertical="bottom" textRotation="0" wrapText="false" indent="0" shrinkToFit="false"/>
      <protection locked="true" hidden="false"/>
    </xf>
    <xf numFmtId="205"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true" applyProtection="false">
      <alignment horizontal="center" vertical="center"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5" fontId="0" fillId="0" borderId="39" xfId="0" applyFont="false" applyBorder="true" applyAlignment="true" applyProtection="false">
      <alignment horizontal="center"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true" applyProtection="false">
      <alignment horizontal="center" vertical="bottom" textRotation="0" wrapText="false" indent="0" shrinkToFit="false"/>
      <protection locked="true" hidden="false"/>
    </xf>
    <xf numFmtId="164" fontId="4" fillId="0" borderId="30" xfId="0" applyFont="true" applyBorder="true" applyAlignment="false" applyProtection="false">
      <alignment horizontal="general" vertical="bottom" textRotation="0" wrapText="false" indent="0" shrinkToFit="false"/>
      <protection locked="true" hidden="false"/>
    </xf>
    <xf numFmtId="173" fontId="4" fillId="0" borderId="31" xfId="0" applyFont="true" applyBorder="true" applyAlignment="true" applyProtection="false">
      <alignment horizontal="center" vertical="bottom" textRotation="0" wrapText="false" indent="0" shrinkToFit="false"/>
      <protection locked="true" hidden="false"/>
    </xf>
    <xf numFmtId="170" fontId="4" fillId="0" borderId="30" xfId="0" applyFont="true" applyBorder="true" applyAlignment="true" applyProtection="false">
      <alignment horizontal="center" vertical="center" textRotation="0" wrapText="false" indent="0" shrinkToFit="false"/>
      <protection locked="true" hidden="false"/>
    </xf>
    <xf numFmtId="170" fontId="4" fillId="0" borderId="31" xfId="0" applyFont="tru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5" fontId="4" fillId="0" borderId="31" xfId="0" applyFont="true" applyBorder="true" applyAlignment="true" applyProtection="false">
      <alignment horizontal="center" vertical="bottom" textRotation="0" wrapText="false" indent="0" shrinkToFit="false"/>
      <protection locked="true" hidden="false"/>
    </xf>
    <xf numFmtId="164" fontId="4" fillId="0" borderId="27"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false" applyAlignment="true" applyProtection="true">
      <alignment horizontal="center" vertical="center" textRotation="0" wrapText="false" indent="0" shrinkToFit="false"/>
      <protection locked="false" hidden="false"/>
    </xf>
    <xf numFmtId="164" fontId="4" fillId="4" borderId="28" xfId="0" applyFont="true" applyBorder="true" applyAlignment="true" applyProtection="true">
      <alignment horizontal="center" vertical="center" textRotation="0" wrapText="false" indent="0" shrinkToFit="false"/>
      <protection locked="fals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73" fontId="4" fillId="0" borderId="28" xfId="0" applyFont="true" applyBorder="true" applyAlignment="true" applyProtection="false">
      <alignment horizontal="center" vertical="bottom" textRotation="0" wrapText="false" indent="0" shrinkToFit="false"/>
      <protection locked="true" hidden="false"/>
    </xf>
    <xf numFmtId="165" fontId="4" fillId="4" borderId="26" xfId="0" applyFont="true" applyBorder="true" applyAlignment="true" applyProtection="true">
      <alignment horizontal="center" vertical="center" textRotation="0" wrapText="false" indent="0" shrinkToFit="false"/>
      <protection locked="false" hidden="false"/>
    </xf>
    <xf numFmtId="170" fontId="4" fillId="0" borderId="30" xfId="0" applyFont="true" applyBorder="true" applyAlignment="true" applyProtection="false">
      <alignment horizontal="center" vertical="bottom" textRotation="0" wrapText="false" indent="0" shrinkToFit="false"/>
      <protection locked="true" hidden="false"/>
    </xf>
    <xf numFmtId="165" fontId="4" fillId="0" borderId="31"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true" applyProtection="false">
      <alignment horizontal="center" vertical="bottom" textRotation="0" wrapText="false" indent="0" shrinkToFit="false"/>
      <protection locked="true" hidden="false"/>
    </xf>
    <xf numFmtId="164" fontId="4" fillId="0" borderId="56" xfId="0" applyFont="true" applyBorder="true" applyAlignment="false" applyProtection="false">
      <alignment horizontal="general" vertical="bottom" textRotation="0" wrapText="false" indent="0" shrinkToFit="false"/>
      <protection locked="true" hidden="false"/>
    </xf>
    <xf numFmtId="173" fontId="4" fillId="0" borderId="56" xfId="0" applyFont="true" applyBorder="true" applyAlignment="true" applyProtection="false">
      <alignment horizontal="center" vertical="bottom" textRotation="0" wrapText="false" indent="0" shrinkToFit="false"/>
      <protection locked="true" hidden="false"/>
    </xf>
    <xf numFmtId="164" fontId="4" fillId="0" borderId="56" xfId="0" applyFont="true" applyBorder="true" applyAlignment="true" applyProtection="false">
      <alignment horizontal="center" vertical="bottom" textRotation="0" wrapText="false" indent="0" shrinkToFit="false"/>
      <protection locked="true" hidden="false"/>
    </xf>
    <xf numFmtId="165" fontId="4" fillId="4" borderId="31" xfId="0" applyFont="true" applyBorder="true" applyAlignment="true" applyProtection="true">
      <alignment horizontal="center" vertical="center" textRotation="0" wrapText="false" indent="0" shrinkToFit="false"/>
      <protection locked="false" hidden="false"/>
    </xf>
    <xf numFmtId="170" fontId="4" fillId="0" borderId="25" xfId="0" applyFont="true" applyBorder="true" applyAlignment="true" applyProtection="false">
      <alignment horizontal="center" vertical="center" textRotation="0" wrapText="false" indent="0" shrinkToFit="false"/>
      <protection locked="true" hidden="false"/>
    </xf>
    <xf numFmtId="173" fontId="4" fillId="0" borderId="28" xfId="0" applyFont="true" applyBorder="true" applyAlignment="true" applyProtection="false">
      <alignment horizontal="center" vertical="center" textRotation="0" wrapText="false" indent="0" shrinkToFit="false"/>
      <protection locked="true" hidden="false"/>
    </xf>
    <xf numFmtId="170" fontId="4" fillId="0" borderId="31" xfId="0" applyFont="true" applyBorder="true" applyAlignment="true" applyProtection="false">
      <alignment horizontal="center" vertical="center" textRotation="0" wrapText="false" indent="0" shrinkToFit="false"/>
      <protection locked="true" hidden="false"/>
    </xf>
    <xf numFmtId="164" fontId="54" fillId="0" borderId="0" xfId="0" applyFont="true" applyBorder="false" applyAlignment="true" applyProtection="false">
      <alignment horizontal="center"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4" fillId="0" borderId="27" xfId="0" applyFont="true" applyBorder="true" applyAlignment="true" applyProtection="false">
      <alignment horizontal="left" vertical="bottom" textRotation="0" wrapText="false" indent="0" shrinkToFit="false"/>
      <protection locked="true" hidden="false"/>
    </xf>
    <xf numFmtId="172" fontId="4" fillId="0" borderId="31" xfId="0" applyFont="tru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4" fillId="0" borderId="28" xfId="0" applyFont="tru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true" applyProtection="false">
      <alignment horizontal="center" vertical="bottom" textRotation="0" wrapText="false" indent="0" shrinkToFit="false"/>
      <protection locked="true" hidden="false"/>
    </xf>
    <xf numFmtId="206" fontId="4" fillId="4" borderId="26" xfId="0" applyFont="true" applyBorder="true" applyAlignment="false" applyProtection="true">
      <alignment horizontal="general" vertical="bottom" textRotation="0" wrapText="false" indent="0" shrinkToFit="false"/>
      <protection locked="false" hidden="false"/>
    </xf>
    <xf numFmtId="207" fontId="4" fillId="0" borderId="31" xfId="0" applyFont="true" applyBorder="true" applyAlignment="false" applyProtection="false">
      <alignment horizontal="general" vertical="bottom" textRotation="0" wrapText="false" indent="0" shrinkToFit="false"/>
      <protection locked="true" hidden="false"/>
    </xf>
    <xf numFmtId="208" fontId="4" fillId="0" borderId="25" xfId="0" applyFont="true" applyBorder="true" applyAlignment="true" applyProtection="false">
      <alignment horizontal="center" vertical="bottom" textRotation="0" wrapText="false" indent="0" shrinkToFit="false"/>
      <protection locked="true" hidden="false"/>
    </xf>
    <xf numFmtId="209" fontId="4" fillId="0" borderId="26" xfId="0" applyFont="true" applyBorder="true" applyAlignment="true" applyProtection="false">
      <alignment horizontal="center" vertical="bottom" textRotation="0" wrapText="false" indent="0" shrinkToFit="false"/>
      <protection locked="true" hidden="false"/>
    </xf>
    <xf numFmtId="210" fontId="4" fillId="0" borderId="0" xfId="0" applyFont="true" applyBorder="false" applyAlignment="true" applyProtection="false">
      <alignment horizontal="center" vertical="bottom" textRotation="0" wrapText="false" indent="0" shrinkToFit="false"/>
      <protection locked="true" hidden="false"/>
    </xf>
    <xf numFmtId="206" fontId="4" fillId="0" borderId="28" xfId="0" applyFont="true" applyBorder="true" applyAlignment="true" applyProtection="false">
      <alignment horizontal="center" vertical="bottom" textRotation="0" wrapText="false" indent="0" shrinkToFit="false"/>
      <protection locked="true" hidden="false"/>
    </xf>
    <xf numFmtId="210" fontId="4" fillId="0" borderId="30" xfId="0" applyFont="true" applyBorder="true" applyAlignment="true" applyProtection="false">
      <alignment horizontal="center" vertical="bottom" textRotation="0" wrapText="false" indent="0" shrinkToFit="false"/>
      <protection locked="true" hidden="false"/>
    </xf>
    <xf numFmtId="206" fontId="4" fillId="0" borderId="31" xfId="0" applyFont="true" applyBorder="true" applyAlignment="true" applyProtection="false">
      <alignment horizontal="center"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211" fontId="4" fillId="4" borderId="26" xfId="0" applyFont="true" applyBorder="true" applyAlignment="true" applyProtection="false">
      <alignment horizontal="center" vertical="bottom" textRotation="0" wrapText="false" indent="0" shrinkToFit="false"/>
      <protection locked="true" hidden="false"/>
    </xf>
    <xf numFmtId="212" fontId="4" fillId="0" borderId="31" xfId="0" applyFont="tru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true" applyProtection="false">
      <alignment horizontal="left" vertical="bottom" textRotation="0" wrapText="false" indent="0" shrinkToFit="false"/>
      <protection locked="true" hidden="false"/>
    </xf>
    <xf numFmtId="210" fontId="4" fillId="0" borderId="25" xfId="0" applyFont="true" applyBorder="true" applyAlignment="true" applyProtection="false">
      <alignment horizontal="center" vertical="bottom" textRotation="0" wrapText="false" indent="0" shrinkToFit="false"/>
      <protection locked="true" hidden="false"/>
    </xf>
    <xf numFmtId="206" fontId="4" fillId="0" borderId="26"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left" vertical="bottom" textRotation="0" wrapText="false" indent="0" shrinkToFit="false"/>
      <protection locked="true" hidden="false"/>
    </xf>
    <xf numFmtId="210" fontId="0" fillId="0" borderId="0" xfId="0" applyFont="false" applyBorder="false" applyAlignment="false" applyProtection="false">
      <alignment horizontal="general" vertical="bottom" textRotation="0" wrapText="false" indent="0" shrinkToFit="false"/>
      <protection locked="true" hidden="false"/>
    </xf>
    <xf numFmtId="206" fontId="0" fillId="0" borderId="0" xfId="0" applyFont="false" applyBorder="false" applyAlignment="false" applyProtection="false">
      <alignment horizontal="general" vertical="bottom" textRotation="0" wrapText="false" indent="0" shrinkToFit="false"/>
      <protection locked="true" hidden="false"/>
    </xf>
    <xf numFmtId="206" fontId="4" fillId="4" borderId="26" xfId="0" applyFont="true" applyBorder="true" applyAlignment="true" applyProtection="true">
      <alignment horizontal="center" vertical="bottom" textRotation="0" wrapText="false" indent="0" shrinkToFit="false"/>
      <protection locked="false" hidden="false"/>
    </xf>
    <xf numFmtId="212" fontId="0" fillId="0" borderId="0" xfId="0" applyFont="true" applyBorder="false" applyAlignment="false" applyProtection="false">
      <alignment horizontal="general" vertical="bottom" textRotation="0" wrapText="false" indent="0" shrinkToFit="false"/>
      <protection locked="true" hidden="false"/>
    </xf>
    <xf numFmtId="213" fontId="4" fillId="0" borderId="31" xfId="0" applyFont="tru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6">
    <dxf>
      <font>
        <color rgb="FFFF0000"/>
      </font>
    </dxf>
    <dxf>
      <font>
        <color rgb="FF0000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FFFF"/>
      </font>
      <fill>
        <patternFill>
          <bgColor rgb="00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FF0000"/>
      </font>
    </dxf>
    <dxf>
      <font>
        <color rgb="FFFF0000"/>
      </font>
    </dxf>
    <dxf>
      <font>
        <color rgb="FFFF0000"/>
      </font>
    </dxf>
    <dxf>
      <font>
        <color rgb="FFFF0000"/>
      </font>
    </dxf>
    <dxf>
      <font>
        <color rgb="FFFF0000"/>
      </font>
    </dxf>
    <dxf>
      <font>
        <color rgb="FFFF0000"/>
      </font>
    </dxf>
    <dxf>
      <font>
        <color rgb="FFFFFFFF"/>
      </font>
      <fill>
        <patternFill>
          <bgColor rgb="00FFFFFF"/>
        </patternFill>
      </fill>
      <border diagonalUp="false" diagonalDown="false">
        <left/>
        <right/>
        <top/>
        <bottom/>
        <diagonal/>
      </border>
    </dxf>
    <dxf>
      <font>
        <color rgb="FF00FF00"/>
      </font>
    </dxf>
    <dxf>
      <font>
        <color rgb="FFFFFFFF"/>
      </font>
      <fill>
        <patternFill>
          <bgColor rgb="FFFFFFFF"/>
        </patternFill>
      </fill>
      <border diagonalUp="false" diagonalDown="false">
        <left/>
        <right/>
        <top/>
        <bottom/>
        <diagonal/>
      </border>
    </dxf>
    <dxf>
      <font>
        <color rgb="FFFFFFFF"/>
      </font>
      <fill>
        <patternFill>
          <bgColor rgb="00FFFFFF"/>
        </patternFill>
      </fill>
      <border diagonalUp="false" diagonalDown="false">
        <left/>
        <right/>
        <top/>
        <bottom/>
        <diagonal/>
      </border>
    </dxf>
    <dxf>
      <font>
        <color rgb="FFFF0000"/>
      </font>
    </dxf>
    <dxf>
      <font>
        <color rgb="FF000000"/>
      </font>
    </dxf>
    <dxf>
      <font>
        <color rgb="FFFFFFFF"/>
      </font>
    </dxf>
    <dxf>
      <font>
        <color rgb="FFFFFFFF"/>
      </font>
      <fill>
        <patternFill>
          <bgColor rgb="FFFFFFFF"/>
        </patternFill>
      </fill>
      <border diagonalUp="false" diagonalDown="false">
        <left/>
        <right/>
        <top/>
        <bottom/>
        <diagonal/>
      </border>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rgb="FFFFFFFF"/>
      </font>
      <fill>
        <patternFill>
          <bgColor rgb="00FFFFFF"/>
        </patternFill>
      </fill>
      <border diagonalUp="false" diagonalDown="false">
        <left/>
        <right/>
        <top/>
        <bottom/>
        <diagonal/>
      </border>
    </dxf>
    <dxf>
      <font>
        <color rgb="FFFFFFFF"/>
      </font>
      <fill>
        <patternFill>
          <bgColor rgb="00FFFFFF"/>
        </patternFill>
      </fill>
      <border diagonalUp="false" diagonalDown="false">
        <left/>
        <right/>
        <top/>
        <bottom/>
        <diagonal/>
      </border>
    </dxf>
    <dxf>
      <font>
        <color rgb="FF99CCFF"/>
      </font>
    </dxf>
    <dxf>
      <fill>
        <patternFill>
          <bgColor rgb="FFFF0000"/>
        </patternFill>
      </fill>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ill>
        <patternFill>
          <bgColor rgb="FFFF0000"/>
        </patternFill>
      </fill>
    </dxf>
    <dxf>
      <font>
        <color rgb="FFCCFFFF"/>
      </font>
    </dxf>
    <dxf>
      <fill>
        <patternFill>
          <bgColor rgb="FFFF00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ont>
        <color rgb="FFFFCC99"/>
      </font>
    </dxf>
    <dxf>
      <font>
        <name val="Cambria"/>
        <charset val="1"/>
        <family val="0"/>
        <color rgb="FFFFFF99"/>
      </font>
    </dxf>
    <dxf>
      <fill>
        <patternFill patternType="solid">
          <fgColor rgb="FFFFFF99"/>
        </patternFill>
      </fill>
    </dxf>
    <dxf>
      <fill>
        <patternFill patternType="solid">
          <fgColor rgb="00FFFFFF"/>
        </patternFill>
      </fill>
    </dxf>
    <dxf>
      <fill>
        <patternFill>
          <bgColor rgb="FFFFCCFF"/>
        </patternFill>
      </fill>
    </dxf>
    <dxf>
      <fill>
        <patternFill>
          <bgColor rgb="FFC0C0C0"/>
        </patternFill>
      </fill>
    </dxf>
    <dxf>
      <fill>
        <patternFill>
          <bgColor rgb="FFFFFFCC"/>
        </patternFill>
      </fill>
    </dxf>
    <dxf>
      <font>
        <color rgb="FFFFFFFF"/>
      </font>
    </dxf>
    <dxf>
      <font>
        <color rgb="FFFFFFFF"/>
      </font>
    </dxf>
    <dxf>
      <font>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CC6600"/>
      <rgbColor rgb="FF800080"/>
      <rgbColor rgb="FF008080"/>
      <rgbColor rgb="FFC0C0C0"/>
      <rgbColor rgb="FF808080"/>
      <rgbColor rgb="FF9999FF"/>
      <rgbColor rgb="FFBE4B48"/>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CCFF"/>
      <rgbColor rgb="FFB3B3B3"/>
      <rgbColor rgb="FFFFCC99"/>
      <rgbColor rgb="FF3366FF"/>
      <rgbColor rgb="FF33CCCC"/>
      <rgbColor rgb="FF98B855"/>
      <rgbColor rgb="FFFFCC00"/>
      <rgbColor rgb="FFFF9900"/>
      <rgbColor rgb="FFFF6600"/>
      <rgbColor rgb="FF4A7EBB"/>
      <rgbColor rgb="FF878787"/>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479516931091641"/>
          <c:y val="0.0646689221846303"/>
          <c:w val="0.848567369168837"/>
          <c:h val="0.905558240695988"/>
        </c:manualLayout>
      </c:layout>
      <c:scatterChart>
        <c:scatterStyle val="lineMarker"/>
        <c:varyColors val="0"/>
        <c:ser>
          <c:idx val="0"/>
          <c:order val="0"/>
          <c:tx>
            <c:strRef>
              <c:f>"fuselage"</c:f>
              <c:strCache>
                <c:ptCount val="1"/>
                <c:pt idx="0">
                  <c:v>fuselage</c:v>
                </c:pt>
              </c:strCache>
            </c:strRef>
          </c:tx>
          <c:spPr>
            <a:solidFill>
              <a:srgbClr val="000080"/>
            </a:solidFill>
            <a:ln w="25560">
              <a:solidFill>
                <a:srgbClr val="00008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Stabilito!$D$124:$D$131</c:f>
              <c:numCache>
                <c:formatCode>General</c:formatCode>
                <c:ptCount val="8"/>
                <c:pt idx="0">
                  <c:v>0</c:v>
                </c:pt>
                <c:pt idx="1">
                  <c:v>45</c:v>
                </c:pt>
                <c:pt idx="2">
                  <c:v>45</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-228</c:v>
                </c:pt>
                <c:pt idx="4">
                  <c:v>-500</c:v>
                </c:pt>
                <c:pt idx="5">
                  <c:v>-550</c:v>
                </c:pt>
                <c:pt idx="6">
                  <c:v>-2195</c:v>
                </c:pt>
                <c:pt idx="7">
                  <c:v>-2195</c:v>
                </c:pt>
              </c:numCache>
            </c:numRef>
          </c:yVal>
          <c:smooth val="0"/>
        </c:ser>
        <c:ser>
          <c:idx val="1"/>
          <c:order val="1"/>
          <c:tx>
            <c:strRef>
              <c:f>"aileron"</c:f>
              <c:strCache>
                <c:ptCount val="1"/>
                <c:pt idx="0">
                  <c:v>aileron</c:v>
                </c:pt>
              </c:strCache>
            </c:strRef>
          </c:tx>
          <c:spPr>
            <a:solidFill>
              <a:srgbClr val="00ff00"/>
            </a:solidFill>
            <a:ln w="25560">
              <a:solidFill>
                <a:srgbClr val="00ff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Stabilito!$D$132:$D$136</c:f>
              <c:numCache>
                <c:formatCode>General</c:formatCode>
                <c:ptCount val="5"/>
                <c:pt idx="0">
                  <c:v>50</c:v>
                </c:pt>
                <c:pt idx="1">
                  <c:v>175</c:v>
                </c:pt>
                <c:pt idx="2">
                  <c:v>175</c:v>
                </c:pt>
                <c:pt idx="3">
                  <c:v>50</c:v>
                </c:pt>
                <c:pt idx="4">
                  <c:v>50</c:v>
                </c:pt>
              </c:numCache>
            </c:numRef>
          </c:xVal>
          <c:yVal>
            <c:numRef>
              <c:f>Stabilito!$C$132:$C$136</c:f>
              <c:numCache>
                <c:formatCode>General</c:formatCode>
                <c:ptCount val="5"/>
                <c:pt idx="0">
                  <c:v>-1905</c:v>
                </c:pt>
                <c:pt idx="1">
                  <c:v>-1978</c:v>
                </c:pt>
                <c:pt idx="2">
                  <c:v>-2128</c:v>
                </c:pt>
                <c:pt idx="3">
                  <c:v>-2195</c:v>
                </c:pt>
                <c:pt idx="4">
                  <c:v>-1905</c:v>
                </c:pt>
              </c:numCache>
            </c:numRef>
          </c:yVal>
          <c:smooth val="0"/>
        </c:ser>
        <c:ser>
          <c:idx val="2"/>
          <c:order val="2"/>
          <c:tx>
            <c:strRef>
              <c:f>"fuselage2"</c:f>
              <c:strCache>
                <c:ptCount val="1"/>
                <c:pt idx="0">
                  <c:v>fuselage2</c:v>
                </c:pt>
              </c:strCache>
            </c:strRef>
          </c:tx>
          <c:spPr>
            <a:solidFill>
              <a:srgbClr val="000080"/>
            </a:solidFill>
            <a:ln w="25560">
              <a:solidFill>
                <a:srgbClr val="00008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Stabilito!$E$124:$E$131</c:f>
              <c:numCache>
                <c:formatCode>General</c:formatCode>
                <c:ptCount val="8"/>
                <c:pt idx="0">
                  <c:v>-0</c:v>
                </c:pt>
                <c:pt idx="1">
                  <c:v>-45</c:v>
                </c:pt>
                <c:pt idx="2">
                  <c:v>-45</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-228</c:v>
                </c:pt>
                <c:pt idx="4">
                  <c:v>-500</c:v>
                </c:pt>
                <c:pt idx="5">
                  <c:v>-550</c:v>
                </c:pt>
                <c:pt idx="6">
                  <c:v>-2195</c:v>
                </c:pt>
                <c:pt idx="7">
                  <c:v>-2195</c:v>
                </c:pt>
              </c:numCache>
            </c:numRef>
          </c:yVal>
          <c:smooth val="0"/>
        </c:ser>
        <c:ser>
          <c:idx val="3"/>
          <c:order val="3"/>
          <c:tx>
            <c:strRef>
              <c:f>"aileron2"</c:f>
              <c:strCache>
                <c:ptCount val="1"/>
                <c:pt idx="0">
                  <c:v>aileron2</c:v>
                </c:pt>
              </c:strCache>
            </c:strRef>
          </c:tx>
          <c:spPr>
            <a:solidFill>
              <a:srgbClr val="00ff00"/>
            </a:solidFill>
            <a:ln w="25560">
              <a:solidFill>
                <a:srgbClr val="00ff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Stabilito!$E$132:$E$136</c:f>
              <c:numCache>
                <c:formatCode>General</c:formatCode>
                <c:ptCount val="5"/>
                <c:pt idx="0">
                  <c:v>-50</c:v>
                </c:pt>
                <c:pt idx="1">
                  <c:v>-175</c:v>
                </c:pt>
                <c:pt idx="2">
                  <c:v>-175</c:v>
                </c:pt>
                <c:pt idx="3">
                  <c:v>-50</c:v>
                </c:pt>
                <c:pt idx="4">
                  <c:v>-50</c:v>
                </c:pt>
              </c:numCache>
            </c:numRef>
          </c:xVal>
          <c:yVal>
            <c:numRef>
              <c:f>Stabilito!$C$132:$C$136</c:f>
              <c:numCache>
                <c:formatCode>General</c:formatCode>
                <c:ptCount val="5"/>
                <c:pt idx="0">
                  <c:v>-1905</c:v>
                </c:pt>
                <c:pt idx="1">
                  <c:v>-1978</c:v>
                </c:pt>
                <c:pt idx="2">
                  <c:v>-2128</c:v>
                </c:pt>
                <c:pt idx="3">
                  <c:v>-2195</c:v>
                </c:pt>
                <c:pt idx="4">
                  <c:v>-1905</c:v>
                </c:pt>
              </c:numCache>
            </c:numRef>
          </c:yVal>
          <c:smooth val="0"/>
        </c:ser>
        <c:ser>
          <c:idx val="4"/>
          <c:order val="4"/>
          <c:tx>
            <c:strRef>
              <c:f>Stabilito!$B$12</c:f>
              <c:strCache>
                <c:ptCount val="1"/>
                <c:pt idx="0">
                  <c:v>Centre de Masse</c:v>
                </c:pt>
              </c:strCache>
            </c:strRef>
          </c:tx>
          <c:spPr>
            <a:solidFill>
              <a:srgbClr val="0000ff"/>
            </a:solidFill>
            <a:ln w="25560">
              <a:solidFill>
                <a:srgbClr val="0000ff"/>
              </a:solidFill>
              <a:round/>
            </a:ln>
          </c:spPr>
          <c:marker>
            <c:symbol val="circle"/>
            <c:size val="5"/>
            <c:spPr>
              <a:solidFill>
                <a:srgbClr val="0000ff"/>
              </a:solidFill>
            </c:spPr>
          </c:marker>
          <c:dPt>
            <c:idx val="1"/>
            <c:marker>
              <c:symbol val="circle"/>
              <c:size val="5"/>
              <c:spPr>
                <a:solidFill>
                  <a:srgbClr val="0000ff"/>
                </a:solidFill>
              </c:spPr>
            </c:marker>
          </c:dPt>
          <c:dLbls>
            <c:dLbl>
              <c:idx val="1"/>
              <c:txPr>
                <a:bodyPr wrap="square"/>
                <a:lstStyle/>
                <a:p>
                  <a:pPr>
                    <a:defRPr b="0" sz="800" spc="-1" strike="noStrike">
                      <a:solidFill>
                        <a:srgbClr val="0000ff"/>
                      </a:solidFill>
                      <a:latin typeface="Arial"/>
                      <a:ea typeface="Arial"/>
                    </a:defRPr>
                  </a:pPr>
                </a:p>
              </c:txPr>
              <c:dLblPos val="r"/>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Stabilito!$D$149:$D$150</c:f>
              <c:numCache>
                <c:formatCode>General</c:formatCode>
                <c:ptCount val="2"/>
                <c:pt idx="0">
                  <c:v>0</c:v>
                </c:pt>
                <c:pt idx="1">
                  <c:v>0</c:v>
                </c:pt>
              </c:numCache>
            </c:numRef>
          </c:xVal>
          <c:yVal>
            <c:numRef>
              <c:f>Stabilito!$C$149:$C$150</c:f>
              <c:numCache>
                <c:formatCode>General</c:formatCode>
                <c:ptCount val="2"/>
                <c:pt idx="0">
                  <c:v>-1316</c:v>
                </c:pt>
                <c:pt idx="1">
                  <c:v>-1239.69230769231</c:v>
                </c:pt>
              </c:numCache>
            </c:numRef>
          </c:yVal>
          <c:smooth val="0"/>
        </c:ser>
        <c:ser>
          <c:idx val="5"/>
          <c:order val="5"/>
          <c:tx>
            <c:strRef>
              <c:f>Stabilito!$F$28</c:f>
              <c:strCache>
                <c:ptCount val="1"/>
                <c:pt idx="0">
                  <c:v>Portance</c:v>
                </c:pt>
              </c:strCache>
            </c:strRef>
          </c:tx>
          <c:spPr>
            <a:solidFill>
              <a:srgbClr val="800000"/>
            </a:solidFill>
            <a:ln w="25560">
              <a:solidFill>
                <a:srgbClr val="800000"/>
              </a:solidFill>
              <a:round/>
            </a:ln>
          </c:spPr>
          <c:marker>
            <c:symbol val="diamond"/>
            <c:size val="5"/>
            <c:spPr>
              <a:solidFill>
                <a:srgbClr val="800000"/>
              </a:solidFill>
            </c:spPr>
          </c:marker>
          <c:dPt>
            <c:idx val="1"/>
            <c:marker>
              <c:symbol val="diamond"/>
              <c:size val="5"/>
              <c:spPr>
                <a:solidFill>
                  <a:srgbClr val="800000"/>
                </a:solidFill>
              </c:spPr>
            </c:marker>
          </c:dPt>
          <c:dLbls>
            <c:dLbl>
              <c:idx val="1"/>
              <c:txPr>
                <a:bodyPr wrap="square"/>
                <a:lstStyle/>
                <a:p>
                  <a:pPr>
                    <a:defRPr b="0" sz="800" spc="-1" strike="noStrike">
                      <a:solidFill>
                        <a:srgbClr val="800000"/>
                      </a:solidFill>
                      <a:latin typeface="Arial"/>
                      <a:ea typeface="Arial"/>
                    </a:defRPr>
                  </a:pPr>
                </a:p>
              </c:txPr>
              <c:dLblPos val="r"/>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Stabilito!$D$151:$D$154</c:f>
              <c:numCache>
                <c:formatCode>General</c:formatCode>
                <c:ptCount val="4"/>
                <c:pt idx="0">
                  <c:v>0</c:v>
                </c:pt>
                <c:pt idx="1">
                  <c:v>121.893175797707</c:v>
                </c:pt>
                <c:pt idx="2">
                  <c:v>131.09588785997</c:v>
                </c:pt>
                <c:pt idx="3">
                  <c:v>0</c:v>
                </c:pt>
              </c:numCache>
            </c:numRef>
          </c:xVal>
          <c:yVal>
            <c:numRef>
              <c:f>Stabilito!$C$151:$C$154</c:f>
              <c:numCache>
                <c:formatCode>General</c:formatCode>
                <c:ptCount val="4"/>
                <c:pt idx="0">
                  <c:v>-1557.7033625978</c:v>
                </c:pt>
                <c:pt idx="1">
                  <c:v>-1557.7033625978</c:v>
                </c:pt>
                <c:pt idx="2">
                  <c:v>-1587.66711063274</c:v>
                </c:pt>
                <c:pt idx="3">
                  <c:v>-1587.66711063274</c:v>
                </c:pt>
              </c:numCache>
            </c:numRef>
          </c:yVal>
          <c:smooth val="0"/>
        </c:ser>
        <c:ser>
          <c:idx val="6"/>
          <c:order val="6"/>
          <c:tx>
            <c:strRef>
              <c:f>"canard"</c:f>
              <c:strCache>
                <c:ptCount val="1"/>
                <c:pt idx="0">
                  <c:v>canard</c:v>
                </c:pt>
              </c:strCache>
            </c:strRef>
          </c:tx>
          <c:spPr>
            <a:solidFill>
              <a:srgbClr val="008000"/>
            </a:solidFill>
            <a:ln w="25560">
              <a:solidFill>
                <a:srgbClr val="008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Stabilito!$D$158:$D$162</c:f>
              <c:numCache>
                <c:formatCode>General</c:formatCode>
                <c:ptCount val="5"/>
                <c:pt idx="0">
                  <c:v>50</c:v>
                </c:pt>
                <c:pt idx="1">
                  <c:v>98</c:v>
                </c:pt>
                <c:pt idx="2">
                  <c:v>98</c:v>
                </c:pt>
                <c:pt idx="3">
                  <c:v>50</c:v>
                </c:pt>
                <c:pt idx="4">
                  <c:v>50</c:v>
                </c:pt>
              </c:numCache>
            </c:numRef>
          </c:xVal>
          <c:yVal>
            <c:numRef>
              <c:f>Stabilito!$C$158:$C$162</c:f>
              <c:numCache>
                <c:formatCode>General</c:formatCode>
                <c:ptCount val="5"/>
                <c:pt idx="0">
                  <c:v>-450</c:v>
                </c:pt>
                <c:pt idx="1">
                  <c:v>-450</c:v>
                </c:pt>
                <c:pt idx="2">
                  <c:v>-600</c:v>
                </c:pt>
                <c:pt idx="3">
                  <c:v>-600</c:v>
                </c:pt>
                <c:pt idx="4">
                  <c:v>-450</c:v>
                </c:pt>
              </c:numCache>
            </c:numRef>
          </c:yVal>
          <c:smooth val="0"/>
        </c:ser>
        <c:ser>
          <c:idx val="7"/>
          <c:order val="7"/>
          <c:tx>
            <c:strRef>
              <c:f>"canard2"</c:f>
              <c:strCache>
                <c:ptCount val="1"/>
                <c:pt idx="0">
                  <c:v>canard2</c:v>
                </c:pt>
              </c:strCache>
            </c:strRef>
          </c:tx>
          <c:spPr>
            <a:solidFill>
              <a:srgbClr val="008000"/>
            </a:solidFill>
            <a:ln w="25560">
              <a:solidFill>
                <a:srgbClr val="008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Stabilito!$E$158:$E$162</c:f>
              <c:numCache>
                <c:formatCode>General</c:formatCode>
                <c:ptCount val="5"/>
                <c:pt idx="0">
                  <c:v>-50</c:v>
                </c:pt>
                <c:pt idx="1">
                  <c:v>-98</c:v>
                </c:pt>
                <c:pt idx="2">
                  <c:v>-98</c:v>
                </c:pt>
                <c:pt idx="3">
                  <c:v>-50</c:v>
                </c:pt>
                <c:pt idx="4">
                  <c:v>-50</c:v>
                </c:pt>
              </c:numCache>
            </c:numRef>
          </c:xVal>
          <c:yVal>
            <c:numRef>
              <c:f>Stabilito!$C$158:$C$162</c:f>
              <c:numCache>
                <c:formatCode>General</c:formatCode>
                <c:ptCount val="5"/>
                <c:pt idx="0">
                  <c:v>-450</c:v>
                </c:pt>
                <c:pt idx="1">
                  <c:v>-450</c:v>
                </c:pt>
                <c:pt idx="2">
                  <c:v>-600</c:v>
                </c:pt>
                <c:pt idx="3">
                  <c:v>-600</c:v>
                </c:pt>
                <c:pt idx="4">
                  <c:v>-450</c:v>
                </c:pt>
              </c:numCache>
            </c:numRef>
          </c:yVal>
          <c:smooth val="0"/>
        </c:ser>
        <c:ser>
          <c:idx val="8"/>
          <c:order val="8"/>
          <c:tx>
            <c:strRef>
              <c:f>"masquage"</c:f>
              <c:strCache>
                <c:ptCount val="1"/>
                <c:pt idx="0">
                  <c:v>masquage</c:v>
                </c:pt>
              </c:strCache>
            </c:strRef>
          </c:tx>
          <c:spPr>
            <a:solidFill>
              <a:srgbClr val="ff0000"/>
            </a:solidFill>
            <a:ln w="25560">
              <a:solidFill>
                <a:srgbClr val="ff0000"/>
              </a:solidFill>
              <a:prstDash val="sysDash"/>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Stabilito!$D$163:$D$167</c:f>
              <c:numCache>
                <c:formatCode>General</c:formatCode>
                <c:ptCount val="5"/>
                <c:pt idx="0">
                  <c:v>50</c:v>
                </c:pt>
                <c:pt idx="1">
                  <c:v>98</c:v>
                </c:pt>
                <c:pt idx="2">
                  <c:v>98</c:v>
                </c:pt>
                <c:pt idx="3">
                  <c:v>50</c:v>
                </c:pt>
                <c:pt idx="4">
                  <c:v>50</c:v>
                </c:pt>
              </c:numCache>
            </c:numRef>
          </c:xVal>
          <c:yVal>
            <c:numRef>
              <c:f>Stabilito!$C$163:$C$167</c:f>
              <c:numCache>
                <c:formatCode>General</c:formatCode>
                <c:ptCount val="5"/>
                <c:pt idx="0">
                  <c:v>-1905</c:v>
                </c:pt>
                <c:pt idx="1">
                  <c:v>-1933.032</c:v>
                </c:pt>
                <c:pt idx="2">
                  <c:v>-2169.272</c:v>
                </c:pt>
                <c:pt idx="3">
                  <c:v>-2195</c:v>
                </c:pt>
                <c:pt idx="4">
                  <c:v>-1905</c:v>
                </c:pt>
              </c:numCache>
            </c:numRef>
          </c:yVal>
          <c:smooth val="0"/>
        </c:ser>
        <c:ser>
          <c:idx val="9"/>
          <c:order val="9"/>
          <c:tx>
            <c:strRef>
              <c:f>"masquage2"</c:f>
              <c:strCache>
                <c:ptCount val="1"/>
                <c:pt idx="0">
                  <c:v>masquage2</c:v>
                </c:pt>
              </c:strCache>
            </c:strRef>
          </c:tx>
          <c:spPr>
            <a:solidFill>
              <a:srgbClr val="ff0000"/>
            </a:solidFill>
            <a:ln w="25560">
              <a:solidFill>
                <a:srgbClr val="ff0000"/>
              </a:solidFill>
              <a:prstDash val="sysDash"/>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Stabilito!$E$163:$E$167</c:f>
              <c:numCache>
                <c:formatCode>General</c:formatCode>
                <c:ptCount val="5"/>
                <c:pt idx="0">
                  <c:v>-50</c:v>
                </c:pt>
                <c:pt idx="1">
                  <c:v>-98</c:v>
                </c:pt>
                <c:pt idx="2">
                  <c:v>-98</c:v>
                </c:pt>
                <c:pt idx="3">
                  <c:v>-50</c:v>
                </c:pt>
                <c:pt idx="4">
                  <c:v>-50</c:v>
                </c:pt>
              </c:numCache>
            </c:numRef>
          </c:xVal>
          <c:yVal>
            <c:numRef>
              <c:f>Stabilito!$C$163:$C$167</c:f>
              <c:numCache>
                <c:formatCode>General</c:formatCode>
                <c:ptCount val="5"/>
                <c:pt idx="0">
                  <c:v>-1905</c:v>
                </c:pt>
                <c:pt idx="1">
                  <c:v>-1933.032</c:v>
                </c:pt>
                <c:pt idx="2">
                  <c:v>-2169.272</c:v>
                </c:pt>
                <c:pt idx="3">
                  <c:v>-2195</c:v>
                </c:pt>
                <c:pt idx="4">
                  <c:v>-1905</c:v>
                </c:pt>
              </c:numCache>
            </c:numRef>
          </c:yVal>
          <c:smooth val="0"/>
        </c:ser>
        <c:ser>
          <c:idx val="10"/>
          <c:order val="10"/>
          <c:tx>
            <c:strRef>
              <c:f>"cadre"</c:f>
              <c:strCache>
                <c:ptCount val="1"/>
                <c:pt idx="0">
                  <c:v>cadre</c:v>
                </c:pt>
              </c:strCache>
            </c:strRef>
          </c:tx>
          <c:spPr>
            <a:solidFill>
              <a:srgbClr val="ffffff"/>
            </a:solidFill>
            <a:ln w="12600">
              <a:solidFill>
                <a:srgbClr val="ffffff"/>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Stabilito!$D$168:$D$169</c:f>
              <c:numCache>
                <c:formatCode>General</c:formatCode>
                <c:ptCount val="2"/>
                <c:pt idx="0">
                  <c:v>731.666666666667</c:v>
                </c:pt>
                <c:pt idx="1">
                  <c:v>-731.666666666667</c:v>
                </c:pt>
              </c:numCache>
            </c:numRef>
          </c:xVal>
          <c:yVal>
            <c:numRef>
              <c:f>Stabilito!$C$168:$C$169</c:f>
              <c:numCache>
                <c:formatCode>General</c:formatCode>
                <c:ptCount val="2"/>
                <c:pt idx="0">
                  <c:v>-2216.95</c:v>
                </c:pt>
                <c:pt idx="1">
                  <c:v>-2216.95</c:v>
                </c:pt>
              </c:numCache>
            </c:numRef>
          </c:yVal>
          <c:smooth val="0"/>
        </c:ser>
        <c:ser>
          <c:idx val="11"/>
          <c:order val="11"/>
          <c:tx>
            <c:strRef>
              <c:f>"Propu"</c:f>
              <c:strCache>
                <c:ptCount val="1"/>
                <c:pt idx="0">
                  <c:v>Propu</c:v>
                </c:pt>
              </c:strCache>
            </c:strRef>
          </c:tx>
          <c:spPr>
            <a:solidFill>
              <a:srgbClr val="ff00ff"/>
            </a:solidFill>
            <a:ln w="25560">
              <a:solidFill>
                <a:srgbClr val="ff00ff"/>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Stabilito!$D$170:$D$174</c:f>
              <c:numCache>
                <c:formatCode>General</c:formatCode>
                <c:ptCount val="5"/>
                <c:pt idx="0">
                  <c:v>-27</c:v>
                </c:pt>
                <c:pt idx="1">
                  <c:v>27</c:v>
                </c:pt>
                <c:pt idx="2">
                  <c:v>27</c:v>
                </c:pt>
                <c:pt idx="3">
                  <c:v>-27</c:v>
                </c:pt>
                <c:pt idx="4">
                  <c:v>-27</c:v>
                </c:pt>
              </c:numCache>
            </c:numRef>
          </c:xVal>
          <c:yVal>
            <c:numRef>
              <c:f>Stabilito!$C$170:$C$174</c:f>
              <c:numCache>
                <c:formatCode>General</c:formatCode>
                <c:ptCount val="5"/>
                <c:pt idx="0">
                  <c:v>-1716</c:v>
                </c:pt>
                <c:pt idx="1">
                  <c:v>-1716</c:v>
                </c:pt>
                <c:pt idx="2">
                  <c:v>-2204</c:v>
                </c:pt>
                <c:pt idx="3">
                  <c:v>-2204</c:v>
                </c:pt>
                <c:pt idx="4">
                  <c:v>-1716</c:v>
                </c:pt>
              </c:numCache>
            </c:numRef>
          </c:yVal>
          <c:smooth val="0"/>
        </c:ser>
        <c:ser>
          <c:idx val="12"/>
          <c:order val="12"/>
          <c:tx>
            <c:strRef>
              <c:f>"Cone"</c:f>
              <c:strCache>
                <c:ptCount val="1"/>
                <c:pt idx="0">
                  <c:v>Cone</c:v>
                </c:pt>
              </c:strCache>
            </c:strRef>
          </c:tx>
          <c:spPr>
            <a:solidFill>
              <a:srgbClr val="800080"/>
            </a:solidFill>
            <a:ln w="25560">
              <a:solidFill>
                <a:srgbClr val="80008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Stabilito!$D$175:$D$180</c:f>
              <c:numCache>
                <c:formatCode>General</c:formatCode>
                <c:ptCount val="6"/>
                <c:pt idx="0">
                  <c:v>0</c:v>
                </c:pt>
                <c:pt idx="1">
                  <c:v>9</c:v>
                </c:pt>
                <c:pt idx="2">
                  <c:v>22.5</c:v>
                </c:pt>
                <c:pt idx="3">
                  <c:v>33.75</c:v>
                </c:pt>
                <c:pt idx="4">
                  <c:v>40.5</c:v>
                </c:pt>
                <c:pt idx="5">
                  <c:v>45</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3"/>
          <c:order val="13"/>
          <c:tx>
            <c:strRef>
              <c:f>"Cone1"</c:f>
              <c:strCache>
                <c:ptCount val="1"/>
                <c:pt idx="0">
                  <c:v>Cone1</c:v>
                </c:pt>
              </c:strCache>
            </c:strRef>
          </c:tx>
          <c:spPr>
            <a:solidFill>
              <a:srgbClr val="800080"/>
            </a:solidFill>
            <a:ln w="25560">
              <a:solidFill>
                <a:srgbClr val="80008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Stabilito!$E$175:$E$180</c:f>
              <c:numCache>
                <c:formatCode>General</c:formatCode>
                <c:ptCount val="6"/>
                <c:pt idx="0">
                  <c:v>-0</c:v>
                </c:pt>
                <c:pt idx="1">
                  <c:v>-9</c:v>
                </c:pt>
                <c:pt idx="2">
                  <c:v>-22.5</c:v>
                </c:pt>
                <c:pt idx="3">
                  <c:v>-33.75</c:v>
                </c:pt>
                <c:pt idx="4">
                  <c:v>-40.5</c:v>
                </c:pt>
                <c:pt idx="5">
                  <c:v>-45</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4"/>
          <c:order val="14"/>
          <c:tx>
            <c:strRef>
              <c:f>Stabilito!$B$137</c:f>
              <c:strCache>
                <c:ptCount val="1"/>
                <c:pt idx="0">
                  <c:v>Envergure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b"/>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Stabilito!$D$137:$D$139</c:f>
              <c:numCache>
                <c:formatCode>General</c:formatCode>
                <c:ptCount val="3"/>
                <c:pt idx="0">
                  <c:v>-175</c:v>
                </c:pt>
                <c:pt idx="1">
                  <c:v>-112.5</c:v>
                </c:pt>
                <c:pt idx="2">
                  <c:v>-50</c:v>
                </c:pt>
              </c:numCache>
            </c:numRef>
          </c:xVal>
          <c:yVal>
            <c:numRef>
              <c:f>Stabilito!$C$137:$C$139</c:f>
              <c:numCache>
                <c:formatCode>General</c:formatCode>
                <c:ptCount val="3"/>
                <c:pt idx="0">
                  <c:v>-2268.16666666667</c:v>
                </c:pt>
                <c:pt idx="1">
                  <c:v>-2268.16666666667</c:v>
                </c:pt>
                <c:pt idx="2">
                  <c:v>-2268.16666666667</c:v>
                </c:pt>
              </c:numCache>
            </c:numRef>
          </c:yVal>
          <c:smooth val="0"/>
        </c:ser>
        <c:ser>
          <c:idx val="15"/>
          <c:order val="15"/>
          <c:tx>
            <c:strRef>
              <c:f>Stabilito!$B$143</c:f>
              <c:strCache>
                <c:ptCount val="1"/>
                <c:pt idx="0">
                  <c:v>Flèche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Stabilito!$D$143:$D$145</c:f>
              <c:numCache>
                <c:formatCode>General</c:formatCode>
                <c:ptCount val="3"/>
                <c:pt idx="0">
                  <c:v>-248.166666666667</c:v>
                </c:pt>
                <c:pt idx="1">
                  <c:v>-248.166666666667</c:v>
                </c:pt>
                <c:pt idx="2">
                  <c:v>-248.166666666667</c:v>
                </c:pt>
              </c:numCache>
            </c:numRef>
          </c:xVal>
          <c:yVal>
            <c:numRef>
              <c:f>Stabilito!$C$143:$C$145</c:f>
              <c:numCache>
                <c:formatCode>General</c:formatCode>
                <c:ptCount val="3"/>
                <c:pt idx="0">
                  <c:v>-1905</c:v>
                </c:pt>
                <c:pt idx="1">
                  <c:v>-1941.5</c:v>
                </c:pt>
                <c:pt idx="2">
                  <c:v>-1978</c:v>
                </c:pt>
              </c:numCache>
            </c:numRef>
          </c:yVal>
          <c:smooth val="0"/>
        </c:ser>
        <c:ser>
          <c:idx val="16"/>
          <c:order val="16"/>
          <c:tx>
            <c:strRef>
              <c:f>Stabilito!$B$146</c:f>
              <c:strCache>
                <c:ptCount val="1"/>
                <c:pt idx="0">
                  <c:v>Saumon</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Stabilito!$D$146:$D$148</c:f>
              <c:numCache>
                <c:formatCode>General</c:formatCode>
                <c:ptCount val="3"/>
                <c:pt idx="0">
                  <c:v>-284.75</c:v>
                </c:pt>
                <c:pt idx="1">
                  <c:v>-284.75</c:v>
                </c:pt>
                <c:pt idx="2">
                  <c:v>-284.75</c:v>
                </c:pt>
              </c:numCache>
            </c:numRef>
          </c:xVal>
          <c:yVal>
            <c:numRef>
              <c:f>Stabilito!$C$146:$C$148</c:f>
              <c:numCache>
                <c:formatCode>General</c:formatCode>
                <c:ptCount val="3"/>
                <c:pt idx="0">
                  <c:v>-1978</c:v>
                </c:pt>
                <c:pt idx="1">
                  <c:v>-2053</c:v>
                </c:pt>
                <c:pt idx="2">
                  <c:v>-2128</c:v>
                </c:pt>
              </c:numCache>
            </c:numRef>
          </c:yVal>
          <c:smooth val="0"/>
        </c:ser>
        <c:ser>
          <c:idx val="17"/>
          <c:order val="17"/>
          <c:tx>
            <c:strRef>
              <c:f>Stabilito!$B$140</c:f>
              <c:strCache>
                <c:ptCount val="1"/>
                <c:pt idx="0">
                  <c:v>Emplanture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r"/>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Stabilito!$D$140:$D$142</c:f>
              <c:numCache>
                <c:formatCode>General</c:formatCode>
                <c:ptCount val="3"/>
                <c:pt idx="0">
                  <c:v>284.75</c:v>
                </c:pt>
                <c:pt idx="1">
                  <c:v>284.75</c:v>
                </c:pt>
                <c:pt idx="2">
                  <c:v>284.75</c:v>
                </c:pt>
              </c:numCache>
            </c:numRef>
          </c:xVal>
          <c:yVal>
            <c:numRef>
              <c:f>Stabilito!$C$140:$C$142</c:f>
              <c:numCache>
                <c:formatCode>General</c:formatCode>
                <c:ptCount val="3"/>
                <c:pt idx="0">
                  <c:v>-1905</c:v>
                </c:pt>
                <c:pt idx="1">
                  <c:v>-2050</c:v>
                </c:pt>
                <c:pt idx="2">
                  <c:v>-2195</c:v>
                </c:pt>
              </c:numCache>
            </c:numRef>
          </c:yVal>
          <c:smooth val="0"/>
        </c:ser>
        <c:ser>
          <c:idx val="18"/>
          <c:order val="18"/>
          <c:tx>
            <c:strRef>
              <c:f>Stabilito!$B$155</c:f>
              <c:strCache>
                <c:ptCount val="1"/>
                <c:pt idx="0">
                  <c:v>Marge Statique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Stabilito!$D$155:$D$157</c:f>
              <c:numCache>
                <c:formatCode>General</c:formatCode>
                <c:ptCount val="3"/>
                <c:pt idx="0">
                  <c:v>-284.75</c:v>
                </c:pt>
                <c:pt idx="1">
                  <c:v>-284.75</c:v>
                </c:pt>
                <c:pt idx="2">
                  <c:v>-284.75</c:v>
                </c:pt>
              </c:numCache>
            </c:numRef>
          </c:xVal>
          <c:yVal>
            <c:numRef>
              <c:f>Stabilito!$C$155:$C$157</c:f>
              <c:numCache>
                <c:formatCode>General</c:formatCode>
                <c:ptCount val="3"/>
                <c:pt idx="0">
                  <c:v>-1277.84615384615</c:v>
                </c:pt>
                <c:pt idx="1">
                  <c:v>-1417.77475822198</c:v>
                </c:pt>
                <c:pt idx="2">
                  <c:v>-1557.7033625978</c:v>
                </c:pt>
              </c:numCache>
            </c:numRef>
          </c:yVal>
          <c:smooth val="0"/>
        </c:ser>
        <c:axId val="44235708"/>
        <c:axId val="37520360"/>
      </c:scatterChart>
      <c:valAx>
        <c:axId val="44235708"/>
        <c:scaling>
          <c:orientation val="minMax"/>
        </c:scaling>
        <c:delete val="0"/>
        <c:axPos val="b"/>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37520360"/>
        <c:crosses val="max"/>
        <c:crossBetween val="midCat"/>
      </c:valAx>
      <c:valAx>
        <c:axId val="37520360"/>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44235708"/>
        <c:crosses val="max"/>
        <c:crossBetween val="midCat"/>
      </c:valAx>
      <c:spPr>
        <a:noFill/>
        <a:ln w="25560">
          <a:noFill/>
        </a:ln>
      </c:spPr>
    </c:plotArea>
    <c:plotVisOnly val="1"/>
    <c:dispBlanksAs val="gap"/>
  </c:chart>
  <c:spPr>
    <a:solidFill>
      <a:srgbClr val="ffffff"/>
    </a:solidFill>
    <a:ln w="3240">
      <a:solidFill>
        <a:srgbClr val="000000"/>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Vitesse max / Masse totale</a:t>
            </a:r>
          </a:p>
        </c:rich>
      </c:tx>
      <c:layout>
        <c:manualLayout>
          <c:xMode val="edge"/>
          <c:yMode val="edge"/>
          <c:x val="0.325821519298533"/>
          <c:y val="0.0323607427055703"/>
        </c:manualLayout>
      </c:layout>
      <c:overlay val="0"/>
      <c:spPr>
        <a:noFill/>
        <a:ln w="0">
          <a:noFill/>
        </a:ln>
      </c:spPr>
    </c:title>
    <c:autoTitleDeleted val="0"/>
    <c:plotArea>
      <c:layout>
        <c:manualLayout>
          <c:layoutTarget val="inner"/>
          <c:xMode val="edge"/>
          <c:yMode val="edge"/>
          <c:x val="0.136114070310579"/>
          <c:y val="0.0514588859416446"/>
          <c:w val="0.813570433499959"/>
          <c:h val="0.832493368700265"/>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Abaco!$K$41:$K$49</c:f>
              <c:numCache>
                <c:formatCode>General</c:formatCode>
                <c:ptCount val="9"/>
                <c:pt idx="0">
                  <c:v>930.82458067741</c:v>
                </c:pt>
                <c:pt idx="1">
                  <c:v>555.364529325985</c:v>
                </c:pt>
                <c:pt idx="2">
                  <c:v>361.506706159126</c:v>
                </c:pt>
                <c:pt idx="3">
                  <c:v>262.364122894646</c:v>
                </c:pt>
                <c:pt idx="4">
                  <c:v>203.642318375903</c:v>
                </c:pt>
                <c:pt idx="5">
                  <c:v>165.094654009021</c:v>
                </c:pt>
                <c:pt idx="6">
                  <c:v>137.930398836715</c:v>
                </c:pt>
                <c:pt idx="7">
                  <c:v>117.785087427997</c:v>
                </c:pt>
                <c:pt idx="8">
                  <c:v>102.26176065335</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Abaco!$K$50:$K$58</c:f>
              <c:numCache>
                <c:formatCode>General</c:formatCode>
                <c:ptCount val="9"/>
                <c:pt idx="0">
                  <c:v>531.998954360462</c:v>
                </c:pt>
                <c:pt idx="1">
                  <c:v>439.555093520236</c:v>
                </c:pt>
                <c:pt idx="2">
                  <c:v>324.8994497945</c:v>
                </c:pt>
                <c:pt idx="3">
                  <c:v>247.462246676001</c:v>
                </c:pt>
                <c:pt idx="4">
                  <c:v>196.399839837278</c:v>
                </c:pt>
                <c:pt idx="5">
                  <c:v>161.121965315549</c:v>
                </c:pt>
                <c:pt idx="6">
                  <c:v>135.555747121355</c:v>
                </c:pt>
                <c:pt idx="7">
                  <c:v>116.2725139635</c:v>
                </c:pt>
                <c:pt idx="8">
                  <c:v>101.250277345017</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Abaco!$K$59:$K$67</c:f>
              <c:numCache>
                <c:formatCode>General</c:formatCode>
                <c:ptCount val="9"/>
                <c:pt idx="0">
                  <c:v>355.690893163258</c:v>
                </c:pt>
                <c:pt idx="1">
                  <c:v>333.480453892705</c:v>
                </c:pt>
                <c:pt idx="2">
                  <c:v>278.191482889776</c:v>
                </c:pt>
                <c:pt idx="3">
                  <c:v>225.592663962405</c:v>
                </c:pt>
                <c:pt idx="4">
                  <c:v>185.022926801101</c:v>
                </c:pt>
                <c:pt idx="5">
                  <c:v>154.644597032073</c:v>
                </c:pt>
                <c:pt idx="6">
                  <c:v>131.596523018972</c:v>
                </c:pt>
                <c:pt idx="7">
                  <c:v>113.714227862773</c:v>
                </c:pt>
                <c:pt idx="8">
                  <c:v>99.5228447096186</c:v>
                </c:pt>
              </c:numCache>
            </c:numRef>
          </c:yVal>
          <c:smooth val="0"/>
        </c:ser>
        <c:axId val="10663998"/>
        <c:axId val="12643705"/>
      </c:scatterChart>
      <c:valAx>
        <c:axId val="10663998"/>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3586822912"/>
              <c:y val="0.809151193633952"/>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12643705"/>
        <c:crosses val="autoZero"/>
        <c:crossBetween val="midCat"/>
      </c:valAx>
      <c:valAx>
        <c:axId val="12643705"/>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Vitesse max</a:t>
                </a:r>
              </a:p>
            </c:rich>
          </c:tx>
          <c:layout>
            <c:manualLayout>
              <c:xMode val="edge"/>
              <c:yMode val="edge"/>
              <c:x val="0.141604523477833"/>
              <c:y val="0.0578249336870027"/>
            </c:manualLayout>
          </c:layout>
          <c:overlay val="0"/>
          <c:spPr>
            <a:noFill/>
            <a:ln w="0">
              <a:noFill/>
            </a:ln>
          </c:spPr>
        </c:title>
        <c:numFmt formatCode="General&quot; m/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10663998"/>
        <c:crosses val="autoZero"/>
        <c:crossBetween val="midCat"/>
      </c:valAx>
      <c:spPr>
        <a:noFill/>
        <a:ln w="0">
          <a:noFill/>
        </a:ln>
      </c:spPr>
    </c:plotArea>
    <c:legend>
      <c:legendPos val="r"/>
      <c:layout>
        <c:manualLayout>
          <c:xMode val="edge"/>
          <c:yMode val="edge"/>
          <c:x val="0.719444663167104"/>
          <c:y val="0.187067338291721"/>
          <c:w val="0.208333333333333"/>
          <c:h val="0.247113527668164"/>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Altitude max / Masse totale</a:t>
            </a:r>
          </a:p>
        </c:rich>
      </c:tx>
      <c:layout>
        <c:manualLayout>
          <c:xMode val="edge"/>
          <c:yMode val="edge"/>
          <c:x val="0.325821519298533"/>
          <c:y val="0.0323764582514091"/>
        </c:manualLayout>
      </c:layout>
      <c:overlay val="0"/>
      <c:spPr>
        <a:noFill/>
        <a:ln w="0">
          <a:noFill/>
        </a:ln>
      </c:spPr>
    </c:title>
    <c:autoTitleDeleted val="0"/>
    <c:plotArea>
      <c:layout>
        <c:manualLayout>
          <c:layoutTarget val="inner"/>
          <c:xMode val="edge"/>
          <c:yMode val="edge"/>
          <c:x val="0.136114070310579"/>
          <c:y val="0.051382881111548"/>
          <c:w val="0.813570433499959"/>
          <c:h val="0.83248132127408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Abaco!$L$41:$L$49</c:f>
              <c:numCache>
                <c:formatCode>General</c:formatCode>
                <c:ptCount val="9"/>
                <c:pt idx="0">
                  <c:v>2433.15251751396</c:v>
                </c:pt>
                <c:pt idx="1">
                  <c:v>3484.63234346392</c:v>
                </c:pt>
                <c:pt idx="2">
                  <c:v>3180.849595039</c:v>
                </c:pt>
                <c:pt idx="3">
                  <c:v>2480.8691283882</c:v>
                </c:pt>
                <c:pt idx="4">
                  <c:v>1832.11001004812</c:v>
                </c:pt>
                <c:pt idx="5">
                  <c:v>1347.02419078856</c:v>
                </c:pt>
                <c:pt idx="6">
                  <c:v>1006.49974319547</c:v>
                </c:pt>
                <c:pt idx="7">
                  <c:v>768.811092959007</c:v>
                </c:pt>
                <c:pt idx="8">
                  <c:v>600.284409751177</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Abaco!$L$50:$L$58</c:f>
              <c:numCache>
                <c:formatCode>General</c:formatCode>
                <c:ptCount val="9"/>
                <c:pt idx="0">
                  <c:v>1127.95660521648</c:v>
                </c:pt>
                <c:pt idx="1">
                  <c:v>1544.15610733488</c:v>
                </c:pt>
                <c:pt idx="2">
                  <c:v>1615.17960249282</c:v>
                </c:pt>
                <c:pt idx="3">
                  <c:v>1486.75728539124</c:v>
                </c:pt>
                <c:pt idx="4">
                  <c:v>1272.36638506643</c:v>
                </c:pt>
                <c:pt idx="5">
                  <c:v>1046.28101451533</c:v>
                </c:pt>
                <c:pt idx="6">
                  <c:v>845.348362002318</c:v>
                </c:pt>
                <c:pt idx="7">
                  <c:v>680.661538369413</c:v>
                </c:pt>
                <c:pt idx="8">
                  <c:v>550.557365168864</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Abaco!$L$59:$L$67</c:f>
              <c:numCache>
                <c:formatCode>General</c:formatCode>
                <c:ptCount val="9"/>
                <c:pt idx="0">
                  <c:v>702.919623673218</c:v>
                </c:pt>
                <c:pt idx="1">
                  <c:v>901.329574782959</c:v>
                </c:pt>
                <c:pt idx="2">
                  <c:v>974.010992700865</c:v>
                </c:pt>
                <c:pt idx="3">
                  <c:v>958.335833254065</c:v>
                </c:pt>
                <c:pt idx="4">
                  <c:v>886.418200160436</c:v>
                </c:pt>
                <c:pt idx="5">
                  <c:v>786.152533094931</c:v>
                </c:pt>
                <c:pt idx="6">
                  <c:v>678.326065286988</c:v>
                </c:pt>
                <c:pt idx="7">
                  <c:v>575.901659531776</c:v>
                </c:pt>
                <c:pt idx="8">
                  <c:v>485.20173095535</c:v>
                </c:pt>
              </c:numCache>
            </c:numRef>
          </c:yVal>
          <c:smooth val="0"/>
        </c:ser>
        <c:axId val="28302277"/>
        <c:axId val="14443757"/>
      </c:scatterChart>
      <c:valAx>
        <c:axId val="28302277"/>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3586822912"/>
              <c:y val="0.809149298728536"/>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14443757"/>
        <c:crosses val="autoZero"/>
        <c:crossBetween val="midCat"/>
      </c:valAx>
      <c:valAx>
        <c:axId val="14443757"/>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Altitude max</a:t>
                </a:r>
              </a:p>
            </c:rich>
          </c:tx>
          <c:layout>
            <c:manualLayout>
              <c:xMode val="edge"/>
              <c:yMode val="edge"/>
              <c:x val="0.141604523477833"/>
              <c:y val="0.0578057412504915"/>
            </c:manualLayout>
          </c:layout>
          <c:overlay val="0"/>
          <c:spPr>
            <a:noFill/>
            <a:ln w="0">
              <a:noFill/>
            </a:ln>
          </c:spPr>
        </c:title>
        <c:numFmt formatCode="General&quot; m&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28302277"/>
        <c:crosses val="autoZero"/>
        <c:crossBetween val="midCat"/>
      </c:valAx>
      <c:spPr>
        <a:noFill/>
        <a:ln w="0">
          <a:noFill/>
        </a:ln>
      </c:spPr>
    </c:plotArea>
    <c:legend>
      <c:legendPos val="r"/>
      <c:layout>
        <c:manualLayout>
          <c:xMode val="edge"/>
          <c:yMode val="edge"/>
          <c:x val="0.719444663167104"/>
          <c:y val="0.183962635566781"/>
          <c:w val="0.208333333333333"/>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Temps de culmination / Masse totale</a:t>
            </a:r>
          </a:p>
        </c:rich>
      </c:tx>
      <c:layout>
        <c:manualLayout>
          <c:xMode val="edge"/>
          <c:yMode val="edge"/>
          <c:x val="0.183686128557029"/>
          <c:y val="0.0323764582514091"/>
        </c:manualLayout>
      </c:layout>
      <c:overlay val="0"/>
      <c:spPr>
        <a:noFill/>
        <a:ln w="0">
          <a:noFill/>
        </a:ln>
      </c:spPr>
    </c:title>
    <c:autoTitleDeleted val="0"/>
    <c:plotArea>
      <c:layout>
        <c:manualLayout>
          <c:layoutTarget val="inner"/>
          <c:xMode val="edge"/>
          <c:yMode val="edge"/>
          <c:x val="0.136078157711096"/>
          <c:y val="0.051382881111548"/>
          <c:w val="0.813600062029929"/>
          <c:h val="0.83248132127408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Abaco!$M$41:$M$49</c:f>
              <c:numCache>
                <c:formatCode>General</c:formatCode>
                <c:ptCount val="9"/>
                <c:pt idx="0">
                  <c:v>12.8251109882247</c:v>
                </c:pt>
                <c:pt idx="1">
                  <c:v>21.2799230391538</c:v>
                </c:pt>
                <c:pt idx="2">
                  <c:v>22.9884767176161</c:v>
                </c:pt>
                <c:pt idx="3">
                  <c:v>21.6981711340561</c:v>
                </c:pt>
                <c:pt idx="4">
                  <c:v>19.3759716867269</c:v>
                </c:pt>
                <c:pt idx="5">
                  <c:v>17.0214009596573</c:v>
                </c:pt>
                <c:pt idx="6">
                  <c:v>14.9697280376081</c:v>
                </c:pt>
                <c:pt idx="7">
                  <c:v>13.2655166303664</c:v>
                </c:pt>
                <c:pt idx="8">
                  <c:v>11.8645323176843</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Abaco!$M$50:$M$58</c:f>
              <c:numCache>
                <c:formatCode>General</c:formatCode>
                <c:ptCount val="9"/>
                <c:pt idx="0">
                  <c:v>7.72490838188493</c:v>
                </c:pt>
                <c:pt idx="1">
                  <c:v>12.9150165536945</c:v>
                </c:pt>
                <c:pt idx="2">
                  <c:v>15.1158618097237</c:v>
                </c:pt>
                <c:pt idx="3">
                  <c:v>15.7464759857346</c:v>
                </c:pt>
                <c:pt idx="4">
                  <c:v>15.3941409742516</c:v>
                </c:pt>
                <c:pt idx="5">
                  <c:v>14.5059523906201</c:v>
                </c:pt>
                <c:pt idx="6">
                  <c:v>13.4049474650323</c:v>
                </c:pt>
                <c:pt idx="7">
                  <c:v>12.2841387641819</c:v>
                </c:pt>
                <c:pt idx="8">
                  <c:v>11.2368996512308</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Abaco!$M$59:$M$67</c:f>
              <c:numCache>
                <c:formatCode>General</c:formatCode>
                <c:ptCount val="9"/>
                <c:pt idx="0">
                  <c:v>5.71717645585819</c:v>
                </c:pt>
                <c:pt idx="1">
                  <c:v>9.29039340423545</c:v>
                </c:pt>
                <c:pt idx="2">
                  <c:v>11.1110802766018</c:v>
                </c:pt>
                <c:pt idx="3">
                  <c:v>12.03020130393</c:v>
                </c:pt>
                <c:pt idx="4">
                  <c:v>12.3124550259484</c:v>
                </c:pt>
                <c:pt idx="5">
                  <c:v>12.1443608371533</c:v>
                </c:pt>
                <c:pt idx="6">
                  <c:v>11.685835191489</c:v>
                </c:pt>
                <c:pt idx="7">
                  <c:v>11.0680339863294</c:v>
                </c:pt>
                <c:pt idx="8">
                  <c:v>10.3865607853585</c:v>
                </c:pt>
              </c:numCache>
            </c:numRef>
          </c:yVal>
          <c:smooth val="0"/>
        </c:ser>
        <c:axId val="82146385"/>
        <c:axId val="50874622"/>
      </c:scatterChart>
      <c:valAx>
        <c:axId val="82146385"/>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376289059471"/>
              <c:y val="0.809149298728536"/>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50874622"/>
        <c:crosses val="autoZero"/>
        <c:crossBetween val="midCat"/>
      </c:valAx>
      <c:valAx>
        <c:axId val="50874622"/>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Temps de culmination</a:t>
                </a:r>
              </a:p>
            </c:rich>
          </c:tx>
          <c:layout>
            <c:manualLayout>
              <c:xMode val="edge"/>
              <c:yMode val="edge"/>
              <c:x val="0.141660851360782"/>
              <c:y val="0.0578057412504915"/>
            </c:manualLayout>
          </c:layout>
          <c:overlay val="0"/>
          <c:spPr>
            <a:noFill/>
            <a:ln w="0">
              <a:noFill/>
            </a:ln>
          </c:spPr>
        </c:title>
        <c:numFmt formatCode="General&quot; 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2146385"/>
        <c:crosses val="autoZero"/>
        <c:crossBetween val="midCat"/>
      </c:valAx>
      <c:spPr>
        <a:noFill/>
        <a:ln w="0">
          <a:noFill/>
        </a:ln>
      </c:spPr>
    </c:plotArea>
    <c:legend>
      <c:legendPos val="r"/>
      <c:layout>
        <c:manualLayout>
          <c:xMode val="edge"/>
          <c:yMode val="edge"/>
          <c:x val="0.723577449160318"/>
          <c:y val="0.183962635566781"/>
          <c:w val="0.203252032520325"/>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Diagramme des critères de stabilité</a:t>
            </a:r>
          </a:p>
        </c:rich>
      </c:tx>
      <c:layout>
        <c:manualLayout>
          <c:xMode val="edge"/>
          <c:yMode val="edge"/>
          <c:x val="0.196225964409411"/>
          <c:y val="0.0802578923966207"/>
        </c:manualLayout>
      </c:layout>
      <c:overlay val="0"/>
      <c:spPr>
        <a:solidFill>
          <a:srgbClr val="ffffff"/>
        </a:solidFill>
        <a:ln w="25560">
          <a:noFill/>
        </a:ln>
      </c:spPr>
    </c:title>
    <c:autoTitleDeleted val="0"/>
    <c:plotArea>
      <c:layout>
        <c:manualLayout>
          <c:layoutTarget val="inner"/>
          <c:xMode val="edge"/>
          <c:yMode val="edge"/>
          <c:x val="0.045145109279828"/>
          <c:y val="0.0589150733659404"/>
          <c:w val="0.938851068911979"/>
          <c:h val="0.828590484659849"/>
        </c:manualLayout>
      </c:layout>
      <c:scatterChart>
        <c:scatterStyle val="lineMarker"/>
        <c:varyColors val="0"/>
        <c:ser>
          <c:idx val="0"/>
          <c:order val="0"/>
          <c:tx>
            <c:strRef>
              <c:f>"Cna min"</c:f>
              <c:strCache>
                <c:ptCount val="1"/>
                <c:pt idx="0">
                  <c:v>Cna min</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ser>
        <c:ser>
          <c:idx val="1"/>
          <c:order val="1"/>
          <c:tx>
            <c:strRef>
              <c:f>"Cna max"</c:f>
              <c:strCache>
                <c:ptCount val="1"/>
                <c:pt idx="0">
                  <c:v>Cna max</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ser>
        <c:ser>
          <c:idx val="2"/>
          <c:order val="2"/>
          <c:tx>
            <c:strRef>
              <c:f>"MS min"</c:f>
              <c:strCache>
                <c:ptCount val="1"/>
                <c:pt idx="0">
                  <c:v>MS min</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ser>
        <c:ser>
          <c:idx val="3"/>
          <c:order val="3"/>
          <c:tx>
            <c:strRef>
              <c:f>"MS max"</c:f>
              <c:strCache>
                <c:ptCount val="1"/>
                <c:pt idx="0">
                  <c:v>MS max</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ser>
        <c:ser>
          <c:idx val="4"/>
          <c:order val="4"/>
          <c:tx>
            <c:strRef>
              <c:f>"MS*Cna min"</c:f>
              <c:strCache>
                <c:ptCount val="1"/>
                <c:pt idx="0">
                  <c:v>MS*Cna min</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c:v>
                </c:pt>
                <c:pt idx="4">
                  <c:v>8</c:v>
                </c:pt>
                <c:pt idx="5">
                  <c:v>5.71428571428571</c:v>
                </c:pt>
              </c:numCache>
            </c:numRef>
          </c:yVal>
          <c:smooth val="1"/>
        </c:ser>
        <c:ser>
          <c:idx val="5"/>
          <c:order val="5"/>
          <c:tx>
            <c:strRef>
              <c:f>"MS*Cna max"</c:f>
              <c:strCache>
                <c:ptCount val="1"/>
                <c:pt idx="0">
                  <c:v>MS*Cna max</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c:v>
                </c:pt>
                <c:pt idx="3">
                  <c:v>25</c:v>
                </c:pt>
                <c:pt idx="4">
                  <c:v>16.6666666666667</c:v>
                </c:pt>
                <c:pt idx="5">
                  <c:v>14.2857142857143</c:v>
                </c:pt>
              </c:numCache>
            </c:numRef>
          </c:yVal>
          <c:smooth val="1"/>
        </c:ser>
        <c:ser>
          <c:idx val="6"/>
          <c:order val="6"/>
          <c:tx>
            <c:strRef>
              <c:f>"Cna moy"</c:f>
              <c:strCache>
                <c:ptCount val="1"/>
                <c:pt idx="0">
                  <c:v>Cna moy</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ser>
        <c:ser>
          <c:idx val="7"/>
          <c:order val="7"/>
          <c:tx>
            <c:strRef>
              <c:f>"Cna moy2"</c:f>
              <c:strCache>
                <c:ptCount val="1"/>
                <c:pt idx="0">
                  <c:v>Cna moy2</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Stabilito!$B$197:$B$198</c:f>
              <c:numCache>
                <c:formatCode>General</c:formatCode>
                <c:ptCount val="2"/>
                <c:pt idx="0">
                  <c:v>3.63636363636364</c:v>
                </c:pt>
                <c:pt idx="1">
                  <c:v>7</c:v>
                </c:pt>
              </c:numCache>
            </c:numRef>
          </c:xVal>
          <c:yVal>
            <c:numRef>
              <c:f>Stabilito!$C$197:$C$198</c:f>
              <c:numCache>
                <c:formatCode>General</c:formatCode>
                <c:ptCount val="2"/>
                <c:pt idx="0">
                  <c:v>27.5</c:v>
                </c:pt>
                <c:pt idx="1">
                  <c:v>27.5</c:v>
                </c:pt>
              </c:numCache>
            </c:numRef>
          </c:yVal>
          <c:smooth val="1"/>
        </c:ser>
        <c:ser>
          <c:idx val="8"/>
          <c:order val="8"/>
          <c:tx>
            <c:strRef>
              <c:f>"MS moy"</c:f>
              <c:strCache>
                <c:ptCount val="1"/>
                <c:pt idx="0">
                  <c:v>MS moy</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ser>
        <c:ser>
          <c:idx val="9"/>
          <c:order val="9"/>
          <c:tx>
            <c:strRef>
              <c:f>"MS moy2"</c:f>
              <c:strCache>
                <c:ptCount val="1"/>
                <c:pt idx="0">
                  <c:v>MS moy2</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ser>
        <c:ser>
          <c:idx val="10"/>
          <c:order val="10"/>
          <c:tx>
            <c:strRef>
              <c:f>"Fusée en cours"</c:f>
              <c:strCache>
                <c:ptCount val="1"/>
                <c:pt idx="0">
                  <c:v>Fusée en cours</c:v>
                </c:pt>
              </c:strCache>
            </c:strRef>
          </c:tx>
          <c:spPr>
            <a:solidFill>
              <a:srgbClr val="000000"/>
            </a:solidFill>
            <a:ln w="25560">
              <a:solidFill>
                <a:srgbClr val="000000"/>
              </a:solidFill>
              <a:round/>
            </a:ln>
          </c:spPr>
          <c:marker>
            <c:symbol val="diamond"/>
            <c:size val="7"/>
            <c:spPr>
              <a:solidFill>
                <a:srgbClr val="000000"/>
              </a:solidFill>
            </c:spPr>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Stabilito!$B$190:$B$193</c:f>
              <c:numCache>
                <c:formatCode>General</c:formatCode>
                <c:ptCount val="4"/>
                <c:pt idx="0">
                  <c:v>2.417033625978</c:v>
                </c:pt>
                <c:pt idx="1">
                  <c:v>2.7166711063274</c:v>
                </c:pt>
                <c:pt idx="2">
                  <c:v>3.47974802940432</c:v>
                </c:pt>
                <c:pt idx="3">
                  <c:v>3.18011054905492</c:v>
                </c:pt>
              </c:numCache>
            </c:numRef>
          </c:xVal>
          <c:yVal>
            <c:numRef>
              <c:f>Stabilito!$C$190:$C$193</c:f>
              <c:numCache>
                <c:formatCode>General</c:formatCode>
                <c:ptCount val="4"/>
                <c:pt idx="0">
                  <c:v>18.2839763696561</c:v>
                </c:pt>
                <c:pt idx="1">
                  <c:v>19.6643831789955</c:v>
                </c:pt>
                <c:pt idx="2">
                  <c:v>19.6643831789955</c:v>
                </c:pt>
                <c:pt idx="3">
                  <c:v>18.2839763696561</c:v>
                </c:pt>
              </c:numCache>
            </c:numRef>
          </c:yVal>
          <c:smooth val="1"/>
        </c:ser>
        <c:ser>
          <c:idx val="11"/>
          <c:order val="11"/>
          <c:tx>
            <c:strRef>
              <c:f>"Fusée en cours0"</c:f>
              <c:strCache>
                <c:ptCount val="1"/>
                <c:pt idx="0">
                  <c:v>Fusée en cours0</c:v>
                </c:pt>
              </c:strCache>
            </c:strRef>
          </c:tx>
          <c:spPr>
            <a:solidFill>
              <a:srgbClr val="000000"/>
            </a:solidFill>
            <a:ln w="25560">
              <a:solidFill>
                <a:srgbClr val="00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Stabilito!$B$193:$B$194</c:f>
              <c:numCache>
                <c:formatCode>General</c:formatCode>
                <c:ptCount val="2"/>
                <c:pt idx="0">
                  <c:v>3.18011054905492</c:v>
                </c:pt>
                <c:pt idx="1">
                  <c:v>2.417033625978</c:v>
                </c:pt>
              </c:numCache>
            </c:numRef>
          </c:xVal>
          <c:yVal>
            <c:numRef>
              <c:f>Stabilito!$C$193:$C$194</c:f>
              <c:numCache>
                <c:formatCode>General</c:formatCode>
                <c:ptCount val="2"/>
                <c:pt idx="0">
                  <c:v>18.2839763696561</c:v>
                </c:pt>
                <c:pt idx="1">
                  <c:v>18.2839763696561</c:v>
                </c:pt>
              </c:numCache>
            </c:numRef>
          </c:yVal>
          <c:smooth val="1"/>
        </c:ser>
        <c:axId val="74362585"/>
        <c:axId val="2931406"/>
      </c:scatterChart>
      <c:valAx>
        <c:axId val="74362585"/>
        <c:scaling>
          <c:orientation val="minMax"/>
          <c:max val="7"/>
          <c:min val="0"/>
        </c:scaling>
        <c:delete val="0"/>
        <c:axPos val="b"/>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Marge Statique (MS)</a:t>
                </a:r>
              </a:p>
            </c:rich>
          </c:tx>
          <c:layout>
            <c:manualLayout>
              <c:xMode val="edge"/>
              <c:yMode val="edge"/>
              <c:x val="0.51713842111549"/>
              <c:y val="0.730769230769231"/>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2931406"/>
        <c:crosses val="autoZero"/>
        <c:crossBetween val="midCat"/>
      </c:valAx>
      <c:valAx>
        <c:axId val="2931406"/>
        <c:scaling>
          <c:orientation val="minMax"/>
          <c:max val="55"/>
          <c:min val="0"/>
        </c:scaling>
        <c:delete val="0"/>
        <c:axPos val="l"/>
        <c:title>
          <c:tx>
            <c:rich>
              <a:bodyPr rot="-540000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Portance Cnα</a:t>
                </a:r>
              </a:p>
            </c:rich>
          </c:tx>
          <c:layout>
            <c:manualLayout>
              <c:xMode val="edge"/>
              <c:yMode val="edge"/>
              <c:x val="0.0690314104860862"/>
              <c:y val="0.240773677189862"/>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74362585"/>
        <c:crosses val="autoZero"/>
        <c:crossBetween val="midCat"/>
      </c:valAx>
      <c:spPr>
        <a:noFill/>
        <a:ln w="12600">
          <a:solidFill>
            <a:srgbClr val="808080"/>
          </a:solidFill>
          <a:round/>
        </a:ln>
      </c:spPr>
    </c:plotArea>
    <c:plotVisOnly val="1"/>
    <c:dispBlanksAs val="gap"/>
  </c:chart>
  <c:spPr>
    <a:solidFill>
      <a:srgbClr val="ffffff"/>
    </a:solidFill>
    <a:ln w="3240">
      <a:solidFill>
        <a:srgbClr val="000000"/>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Trajectoire (x z)</a:t>
            </a:r>
          </a:p>
        </c:rich>
      </c:tx>
      <c:layout>
        <c:manualLayout>
          <c:xMode val="edge"/>
          <c:yMode val="edge"/>
          <c:x val="0.668726957276079"/>
          <c:y val="0.0386145565176691"/>
        </c:manualLayout>
      </c:layout>
      <c:overlay val="0"/>
      <c:spPr>
        <a:noFill/>
        <a:ln w="25560">
          <a:noFill/>
        </a:ln>
      </c:spPr>
    </c:title>
    <c:autoTitleDeleted val="0"/>
    <c:plotArea>
      <c:layout>
        <c:manualLayout>
          <c:layoutTarget val="inner"/>
          <c:xMode val="edge"/>
          <c:yMode val="edge"/>
          <c:x val="0.0697245716764259"/>
          <c:y val="0.0355721975193073"/>
          <c:w val="0.896877033181523"/>
          <c:h val="0.896091738825181"/>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3240">
              <a:solidFill>
                <a:srgbClr val="99cc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Trajecto!$B$120</c:f>
              <c:numCache>
                <c:formatCode>General</c:formatCode>
                <c:ptCount val="1"/>
                <c:pt idx="0">
                  <c:v>1190.7418963748</c:v>
                </c:pt>
              </c:numCache>
            </c:numRef>
          </c:xVal>
          <c:yVal>
            <c:numRef>
              <c:f>Trajecto!$C$118</c:f>
              <c:numCache>
                <c:formatCode>General</c:formatCode>
                <c:ptCount val="1"/>
                <c:pt idx="0">
                  <c:v>1190.7418963748</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Calculs!$AD$4:$AD$1004</c:f>
              <c:numCache>
                <c:formatCode>General</c:formatCode>
                <c:ptCount val="1001"/>
                <c:pt idx="0">
                  <c:v>0</c:v>
                </c:pt>
                <c:pt idx="100">
                  <c:v>11.8355470219611</c:v>
                </c:pt>
                <c:pt idx="200">
                  <c:v>46.2998000724542</c:v>
                </c:pt>
                <c:pt idx="210">
                  <c:v>82.1168878047977</c:v>
                </c:pt>
                <c:pt idx="220">
                  <c:v>115.010951998323</c:v>
                </c:pt>
                <c:pt idx="230">
                  <c:v>145.601237323677</c:v>
                </c:pt>
                <c:pt idx="240">
                  <c:v>174.346973556911</c:v>
                </c:pt>
                <c:pt idx="250">
                  <c:v>201.600248281967</c:v>
                </c:pt>
                <c:pt idx="260">
                  <c:v>227.638753485754</c:v>
                </c:pt>
                <c:pt idx="270">
                  <c:v>252.686932537095</c:v>
                </c:pt>
                <c:pt idx="280">
                  <c:v>276.930039454904</c:v>
                </c:pt>
                <c:pt idx="290">
                  <c:v>300.523557966851</c:v>
                </c:pt>
                <c:pt idx="300">
                  <c:v>323.599208774914</c:v>
                </c:pt>
                <c:pt idx="310">
                  <c:v>346.267810817741</c:v>
                </c:pt>
                <c:pt idx="320">
                  <c:v>368.618140906229</c:v>
                </c:pt>
                <c:pt idx="330">
                  <c:v>390.710020533387</c:v>
                </c:pt>
                <c:pt idx="340">
                  <c:v>412.563390814028</c:v>
                </c:pt>
                <c:pt idx="350">
                  <c:v>434.155572244981</c:v>
                </c:pt>
                <c:pt idx="360">
                  <c:v>455.433849345324</c:v>
                </c:pt>
                <c:pt idx="370">
                  <c:v>476.331434369182</c:v>
                </c:pt>
                <c:pt idx="380">
                  <c:v>496.777995625116</c:v>
                </c:pt>
                <c:pt idx="390">
                  <c:v>516.705488573798</c:v>
                </c:pt>
                <c:pt idx="400">
                  <c:v>536.051447937529</c:v>
                </c:pt>
                <c:pt idx="410">
                  <c:v>554.760914524414</c:v>
                </c:pt>
                <c:pt idx="420">
                  <c:v>572.787528833383</c:v>
                </c:pt>
                <c:pt idx="430">
                  <c:v>590.094048059015</c:v>
                </c:pt>
                <c:pt idx="440">
                  <c:v>606.652432292717</c:v>
                </c:pt>
                <c:pt idx="450">
                  <c:v>622.443600378644</c:v>
                </c:pt>
                <c:pt idx="460">
                  <c:v>637.456935709642</c:v>
                </c:pt>
                <c:pt idx="470">
                  <c:v>651.68961110136</c:v>
                </c:pt>
                <c:pt idx="480">
                  <c:v>665.145793370071</c:v>
                </c:pt>
                <c:pt idx="490">
                  <c:v>677.835780045339</c:v>
                </c:pt>
                <c:pt idx="500">
                  <c:v>689.775112197561</c:v>
                </c:pt>
              </c:numCache>
            </c:numRef>
          </c:xVal>
          <c:yVal>
            <c:numRef>
              <c:f>Calculs!$K$4:$K$1004</c:f>
              <c:numCache>
                <c:formatCode>General</c:formatCode>
                <c:ptCount val="1001"/>
                <c:pt idx="0">
                  <c:v>0</c:v>
                </c:pt>
                <c:pt idx="1">
                  <c:v>0.000809369121977596</c:v>
                </c:pt>
                <c:pt idx="2">
                  <c:v>0.00681497705424646</c:v>
                </c:pt>
                <c:pt idx="3">
                  <c:v>0.0237742342654421</c:v>
                </c:pt>
                <c:pt idx="4">
                  <c:v>0.0536390370688621</c:v>
                </c:pt>
                <c:pt idx="5">
                  <c:v>0.0959528173126447</c:v>
                </c:pt>
                <c:pt idx="6">
                  <c:v>0.150397298662818</c:v>
                </c:pt>
                <c:pt idx="7">
                  <c:v>0.216932234156586</c:v>
                </c:pt>
                <c:pt idx="8">
                  <c:v>0.295656592254106</c:v>
                </c:pt>
                <c:pt idx="9">
                  <c:v>0.386669378019447</c:v>
                </c:pt>
                <c:pt idx="10">
                  <c:v>0.490069630937058</c:v>
                </c:pt>
                <c:pt idx="11">
                  <c:v>0.605941961097425</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4.52381044693113</c:v>
                </c:pt>
                <c:pt idx="29">
                  <c:v>4.87051495281694</c:v>
                </c:pt>
                <c:pt idx="30">
                  <c:v>5.23023195522687</c:v>
                </c:pt>
                <c:pt idx="31">
                  <c:v>5.60297611074379</c:v>
                </c:pt>
                <c:pt idx="32">
                  <c:v>5.98876196007513</c:v>
                </c:pt>
                <c:pt idx="33">
                  <c:v>6.38760392523191</c:v>
                </c:pt>
                <c:pt idx="34">
                  <c:v>6.79951630690016</c:v>
                </c:pt>
                <c:pt idx="35">
                  <c:v>7.2245132819825</c:v>
                </c:pt>
                <c:pt idx="36">
                  <c:v>7.66260890129063</c:v>
                </c:pt>
                <c:pt idx="37">
                  <c:v>8.11381708737258</c:v>
                </c:pt>
                <c:pt idx="38">
                  <c:v>8.57815163246043</c:v>
                </c:pt>
                <c:pt idx="39">
                  <c:v>9.05562619652656</c:v>
                </c:pt>
                <c:pt idx="40">
                  <c:v>9.54625430543776</c:v>
                </c:pt>
                <c:pt idx="41">
                  <c:v>10.0500448353437</c:v>
                </c:pt>
                <c:pt idx="42">
                  <c:v>10.5669974874658</c:v>
                </c:pt>
                <c:pt idx="43">
                  <c:v>11.0971072870597</c:v>
                </c:pt>
                <c:pt idx="44">
                  <c:v>11.6403690924156</c:v>
                </c:pt>
                <c:pt idx="45">
                  <c:v>12.1967775939708</c:v>
                </c:pt>
                <c:pt idx="46">
                  <c:v>12.7663273134904</c:v>
                </c:pt>
                <c:pt idx="47">
                  <c:v>13.3490126033098</c:v>
                </c:pt>
                <c:pt idx="48">
                  <c:v>13.944827645637</c:v>
                </c:pt>
                <c:pt idx="49">
                  <c:v>14.5537664519077</c:v>
                </c:pt>
                <c:pt idx="50">
                  <c:v>15.1758228621925</c:v>
                </c:pt>
                <c:pt idx="51">
                  <c:v>15.8109905446507</c:v>
                </c:pt>
                <c:pt idx="52">
                  <c:v>16.4592629950292</c:v>
                </c:pt>
                <c:pt idx="53">
                  <c:v>17.1206335362031</c:v>
                </c:pt>
                <c:pt idx="54">
                  <c:v>17.795095317757</c:v>
                </c:pt>
                <c:pt idx="55">
                  <c:v>18.4826413156022</c:v>
                </c:pt>
                <c:pt idx="56">
                  <c:v>19.1832643316316</c:v>
                </c:pt>
                <c:pt idx="57">
                  <c:v>19.8969569934066</c:v>
                </c:pt>
                <c:pt idx="58">
                  <c:v>20.6237117538779</c:v>
                </c:pt>
                <c:pt idx="59">
                  <c:v>21.3635208911363</c:v>
                </c:pt>
                <c:pt idx="60">
                  <c:v>22.116376508193</c:v>
                </c:pt>
                <c:pt idx="61">
                  <c:v>22.8822705327891</c:v>
                </c:pt>
                <c:pt idx="62">
                  <c:v>23.6611947172314</c:v>
                </c:pt>
                <c:pt idx="63">
                  <c:v>24.4531406382549</c:v>
                </c:pt>
                <c:pt idx="64">
                  <c:v>25.2580996969102</c:v>
                </c:pt>
                <c:pt idx="65">
                  <c:v>26.0760631184758</c:v>
                </c:pt>
                <c:pt idx="66">
                  <c:v>26.9070219523937</c:v>
                </c:pt>
                <c:pt idx="67">
                  <c:v>27.7509670722276</c:v>
                </c:pt>
                <c:pt idx="68">
                  <c:v>28.6078891756439</c:v>
                </c:pt>
                <c:pt idx="69">
                  <c:v>29.4777787844132</c:v>
                </c:pt>
                <c:pt idx="70">
                  <c:v>30.3606262444339</c:v>
                </c:pt>
                <c:pt idx="71">
                  <c:v>31.2564217257753</c:v>
                </c:pt>
                <c:pt idx="72">
                  <c:v>32.1651552227409</c:v>
                </c:pt>
                <c:pt idx="73">
                  <c:v>33.0868165539511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47.3403191008921</c:v>
                </c:pt>
                <c:pt idx="88">
                  <c:v>48.4540382067721</c:v>
                </c:pt>
                <c:pt idx="89">
                  <c:v>49.5803513373839</c:v>
                </c:pt>
                <c:pt idx="90">
                  <c:v>50.7192268975048</c:v>
                </c:pt>
                <c:pt idx="91">
                  <c:v>51.8706310841689</c:v>
                </c:pt>
                <c:pt idx="92">
                  <c:v>53.0345258597699</c:v>
                </c:pt>
                <c:pt idx="93">
                  <c:v>54.2108709752172</c:v>
                </c:pt>
                <c:pt idx="94">
                  <c:v>55.3996259962981</c:v>
                </c:pt>
                <c:pt idx="95">
                  <c:v>56.6007503052889</c:v>
                </c:pt>
                <c:pt idx="96">
                  <c:v>57.8142031025794</c:v>
                </c:pt>
                <c:pt idx="97">
                  <c:v>59.0399434083093</c:v>
                </c:pt>
                <c:pt idx="98">
                  <c:v>60.2779300640165</c:v>
                </c:pt>
                <c:pt idx="99">
                  <c:v>61.5281217342969</c:v>
                </c:pt>
                <c:pt idx="100">
                  <c:v>62.7904769084752</c:v>
                </c:pt>
                <c:pt idx="101">
                  <c:v>64.0649535783243</c:v>
                </c:pt>
                <c:pt idx="102">
                  <c:v>65.3515089153761</c:v>
                </c:pt>
                <c:pt idx="103">
                  <c:v>66.6500995962024</c:v>
                </c:pt>
                <c:pt idx="104">
                  <c:v>67.9606821281556</c:v>
                </c:pt>
                <c:pt idx="105">
                  <c:v>69.2832128511519</c:v>
                </c:pt>
                <c:pt idx="106">
                  <c:v>70.617647939464</c:v>
                </c:pt>
                <c:pt idx="107">
                  <c:v>71.9639434035227</c:v>
                </c:pt>
                <c:pt idx="108">
                  <c:v>73.322055091726</c:v>
                </c:pt>
                <c:pt idx="109">
                  <c:v>74.6919386922565</c:v>
                </c:pt>
                <c:pt idx="110">
                  <c:v>76.0735497349065</c:v>
                </c:pt>
                <c:pt idx="111">
                  <c:v>77.4668473235084</c:v>
                </c:pt>
                <c:pt idx="112">
                  <c:v>78.8717978724917</c:v>
                </c:pt>
                <c:pt idx="113">
                  <c:v>80.2883713812461</c:v>
                </c:pt>
                <c:pt idx="114">
                  <c:v>81.7165377040319</c:v>
                </c:pt>
                <c:pt idx="115">
                  <c:v>83.1562665511598</c:v>
                </c:pt>
                <c:pt idx="116">
                  <c:v>84.6075274901793</c:v>
                </c:pt>
                <c:pt idx="117">
                  <c:v>86.070289947075</c:v>
                </c:pt>
                <c:pt idx="118">
                  <c:v>87.5445232074688</c:v>
                </c:pt>
                <c:pt idx="119">
                  <c:v>89.0301964178315</c:v>
                </c:pt>
                <c:pt idx="120">
                  <c:v>90.5272785866989</c:v>
                </c:pt>
                <c:pt idx="121">
                  <c:v>92.0357323971959</c:v>
                </c:pt>
                <c:pt idx="122">
                  <c:v>93.5555080137354</c:v>
                </c:pt>
                <c:pt idx="123">
                  <c:v>95.0865492687492</c:v>
                </c:pt>
                <c:pt idx="124">
                  <c:v>96.6287998558301</c:v>
                </c:pt>
                <c:pt idx="125">
                  <c:v>98.18220333213</c:v>
                </c:pt>
                <c:pt idx="126">
                  <c:v>99.7467031207575</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115.989223567471</c:v>
                </c:pt>
                <c:pt idx="137">
                  <c:v>117.671874993802</c:v>
                </c:pt>
                <c:pt idx="138">
                  <c:v>119.364888839612</c:v>
                </c:pt>
                <c:pt idx="139">
                  <c:v>121.068200522312</c:v>
                </c:pt>
                <c:pt idx="140">
                  <c:v>122.781745360408</c:v>
                </c:pt>
                <c:pt idx="141">
                  <c:v>124.505439197165</c:v>
                </c:pt>
                <c:pt idx="142">
                  <c:v>126.239159014771</c:v>
                </c:pt>
                <c:pt idx="143">
                  <c:v>127.982762322136</c:v>
                </c:pt>
                <c:pt idx="144">
                  <c:v>129.736106554507</c:v>
                </c:pt>
                <c:pt idx="145">
                  <c:v>131.499049080756</c:v>
                </c:pt>
                <c:pt idx="146">
                  <c:v>133.271447210596</c:v>
                </c:pt>
                <c:pt idx="147">
                  <c:v>135.053158201746</c:v>
                </c:pt>
                <c:pt idx="148">
                  <c:v>136.844039267026</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153.350498289288</c:v>
                </c:pt>
                <c:pt idx="158">
                  <c:v>155.224028762765</c:v>
                </c:pt>
                <c:pt idx="159">
                  <c:v>157.104056772517</c:v>
                </c:pt>
                <c:pt idx="160">
                  <c:v>158.99007313415</c:v>
                </c:pt>
                <c:pt idx="161">
                  <c:v>160.881452376397</c:v>
                </c:pt>
                <c:pt idx="162">
                  <c:v>162.777336189554</c:v>
                </c:pt>
                <c:pt idx="163">
                  <c:v>164.676761615208</c:v>
                </c:pt>
                <c:pt idx="164">
                  <c:v>166.578789170951</c:v>
                </c:pt>
                <c:pt idx="165">
                  <c:v>168.482603311807</c:v>
                </c:pt>
                <c:pt idx="166">
                  <c:v>170.387612715169</c:v>
                </c:pt>
                <c:pt idx="167">
                  <c:v>172.293253758675</c:v>
                </c:pt>
                <c:pt idx="168">
                  <c:v>174.198855599423</c:v>
                </c:pt>
                <c:pt idx="169">
                  <c:v>176.103550152462</c:v>
                </c:pt>
                <c:pt idx="170">
                  <c:v>178.00624363917</c:v>
                </c:pt>
                <c:pt idx="171">
                  <c:v>179.90617124101</c:v>
                </c:pt>
                <c:pt idx="172">
                  <c:v>181.803143928908</c:v>
                </c:pt>
                <c:pt idx="173">
                  <c:v>183.697168171124</c:v>
                </c:pt>
                <c:pt idx="174">
                  <c:v>185.588250410162</c:v>
                </c:pt>
                <c:pt idx="175">
                  <c:v>187.476397062908</c:v>
                </c:pt>
                <c:pt idx="176">
                  <c:v>189.361614520763</c:v>
                </c:pt>
                <c:pt idx="177">
                  <c:v>191.243909149777</c:v>
                </c:pt>
                <c:pt idx="178">
                  <c:v>193.123287290786</c:v>
                </c:pt>
                <c:pt idx="179">
                  <c:v>194.999755259537</c:v>
                </c:pt>
                <c:pt idx="180">
                  <c:v>196.873319346825</c:v>
                </c:pt>
                <c:pt idx="181">
                  <c:v>198.743985818621</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220.968216959713</c:v>
                </c:pt>
                <c:pt idx="194">
                  <c:v>222.801773570674</c:v>
                </c:pt>
                <c:pt idx="195">
                  <c:v>224.632517754234</c:v>
                </c:pt>
                <c:pt idx="196">
                  <c:v>226.460455419081</c:v>
                </c:pt>
                <c:pt idx="197">
                  <c:v>228.285592451052</c:v>
                </c:pt>
                <c:pt idx="198">
                  <c:v>230.107934713249</c:v>
                </c:pt>
                <c:pt idx="199">
                  <c:v>231.927488046157</c:v>
                </c:pt>
                <c:pt idx="200">
                  <c:v>233.744258267757</c:v>
                </c:pt>
                <c:pt idx="201">
                  <c:v>251.759338269024</c:v>
                </c:pt>
                <c:pt idx="202">
                  <c:v>269.499832784952</c:v>
                </c:pt>
                <c:pt idx="203">
                  <c:v>286.97134765305</c:v>
                </c:pt>
                <c:pt idx="204">
                  <c:v>304.179278247715</c:v>
                </c:pt>
                <c:pt idx="205">
                  <c:v>321.128819794228</c:v>
                </c:pt>
                <c:pt idx="206">
                  <c:v>337.824977049869</c:v>
                </c:pt>
                <c:pt idx="207">
                  <c:v>354.272573398403</c:v>
                </c:pt>
                <c:pt idx="208">
                  <c:v>370.476259400238</c:v>
                </c:pt>
                <c:pt idx="209">
                  <c:v>386.440520837068</c:v>
                </c:pt>
                <c:pt idx="210">
                  <c:v>402.169686286569</c:v>
                </c:pt>
                <c:pt idx="211">
                  <c:v>417.667934259837</c:v>
                </c:pt>
                <c:pt idx="212">
                  <c:v>432.939299931636</c:v>
                </c:pt>
                <c:pt idx="213">
                  <c:v>447.987681491085</c:v>
                </c:pt>
                <c:pt idx="214">
                  <c:v>462.816846138289</c:v>
                </c:pt>
                <c:pt idx="215">
                  <c:v>477.430435750407</c:v>
                </c:pt>
                <c:pt idx="216">
                  <c:v>491.831972238845</c:v>
                </c:pt>
                <c:pt idx="217">
                  <c:v>506.024862617608</c:v>
                </c:pt>
                <c:pt idx="218">
                  <c:v>520.012403801359</c:v>
                </c:pt>
                <c:pt idx="219">
                  <c:v>533.797787150326</c:v>
                </c:pt>
                <c:pt idx="220">
                  <c:v>547.384102777952</c:v>
                </c:pt>
                <c:pt idx="221">
                  <c:v>560.774343636018</c:v>
                </c:pt>
                <c:pt idx="222">
                  <c:v>573.971409390916</c:v>
                </c:pt>
                <c:pt idx="223">
                  <c:v>586.978110103761</c:v>
                </c:pt>
                <c:pt idx="224">
                  <c:v>599.797169726151</c:v>
                </c:pt>
                <c:pt idx="225">
                  <c:v>612.431229422539</c:v>
                </c:pt>
                <c:pt idx="226">
                  <c:v>624.882850729448</c:v>
                </c:pt>
                <c:pt idx="227">
                  <c:v>637.154518561036</c:v>
                </c:pt>
                <c:pt idx="228">
                  <c:v>649.248644069885</c:v>
                </c:pt>
                <c:pt idx="229">
                  <c:v>661.167567371297</c:v>
                </c:pt>
                <c:pt idx="230">
                  <c:v>672.913560138816</c:v>
                </c:pt>
                <c:pt idx="231">
                  <c:v>684.488828078198</c:v>
                </c:pt>
                <c:pt idx="232">
                  <c:v>695.895513286582</c:v>
                </c:pt>
                <c:pt idx="233">
                  <c:v>707.135696503156</c:v>
                </c:pt>
                <c:pt idx="234">
                  <c:v>718.211399257249</c:v>
                </c:pt>
                <c:pt idx="235">
                  <c:v>729.124585919368</c:v>
                </c:pt>
                <c:pt idx="236">
                  <c:v>739.877165660366</c:v>
                </c:pt>
                <c:pt idx="237">
                  <c:v>750.470994323609</c:v>
                </c:pt>
                <c:pt idx="238">
                  <c:v>760.907876214706</c:v>
                </c:pt>
                <c:pt idx="239">
                  <c:v>771.189565813081</c:v>
                </c:pt>
                <c:pt idx="240">
                  <c:v>781.317769409413</c:v>
                </c:pt>
                <c:pt idx="241">
                  <c:v>791.294146672729</c:v>
                </c:pt>
                <c:pt idx="242">
                  <c:v>801.120312150711</c:v>
                </c:pt>
                <c:pt idx="243">
                  <c:v>810.797836706551</c:v>
                </c:pt>
                <c:pt idx="244">
                  <c:v>820.328248895524</c:v>
                </c:pt>
                <c:pt idx="245">
                  <c:v>829.713036284235</c:v>
                </c:pt>
                <c:pt idx="246">
                  <c:v>838.953646715341</c:v>
                </c:pt>
                <c:pt idx="247">
                  <c:v>848.051489520393</c:v>
                </c:pt>
                <c:pt idx="248">
                  <c:v>857.007936683274</c:v>
                </c:pt>
                <c:pt idx="249">
                  <c:v>865.824323956595</c:v>
                </c:pt>
                <c:pt idx="250">
                  <c:v>874.501951933264</c:v>
                </c:pt>
                <c:pt idx="251">
                  <c:v>883.042087075321</c:v>
                </c:pt>
                <c:pt idx="252">
                  <c:v>891.445962702023</c:v>
                </c:pt>
                <c:pt idx="253">
                  <c:v>899.714779939057</c:v>
                </c:pt>
                <c:pt idx="254">
                  <c:v>907.849708630642</c:v>
                </c:pt>
                <c:pt idx="255">
                  <c:v>915.851888216219</c:v>
                </c:pt>
                <c:pt idx="256">
                  <c:v>923.722428573292</c:v>
                </c:pt>
                <c:pt idx="257">
                  <c:v>931.462410827955</c:v>
                </c:pt>
                <c:pt idx="258">
                  <c:v>939.072888134509</c:v>
                </c:pt>
                <c:pt idx="259">
                  <c:v>946.554886425535</c:v>
                </c:pt>
                <c:pt idx="260">
                  <c:v>953.909405133704</c:v>
                </c:pt>
                <c:pt idx="261">
                  <c:v>961.137417886551</c:v>
                </c:pt>
                <c:pt idx="262">
                  <c:v>968.239873175354</c:v>
                </c:pt>
                <c:pt idx="263">
                  <c:v>975.217694999242</c:v>
                </c:pt>
                <c:pt idx="264">
                  <c:v>982.071783485561</c:v>
                </c:pt>
                <c:pt idx="265">
                  <c:v>988.803015487493</c:v>
                </c:pt>
                <c:pt idx="266">
                  <c:v>995.412245159895</c:v>
                </c:pt>
                <c:pt idx="267">
                  <c:v>1001.90030451423</c:v>
                </c:pt>
                <c:pt idx="268">
                  <c:v>1008.26800395349</c:v>
                </c:pt>
                <c:pt idx="269">
                  <c:v>1014.51613278786</c:v>
                </c:pt>
                <c:pt idx="270">
                  <c:v>1020.64545973203</c:v>
                </c:pt>
                <c:pt idx="271">
                  <c:v>1026.65673338474</c:v>
                </c:pt>
                <c:pt idx="272">
                  <c:v>1032.55068269141</c:v>
                </c:pt>
                <c:pt idx="273">
                  <c:v>1038.32801739047</c:v>
                </c:pt>
                <c:pt idx="274">
                  <c:v>1043.98942844403</c:v>
                </c:pt>
                <c:pt idx="275">
                  <c:v>1049.53558845364</c:v>
                </c:pt>
                <c:pt idx="276">
                  <c:v>1054.96715206147</c:v>
                </c:pt>
                <c:pt idx="277">
                  <c:v>1060.28475633787</c:v>
                </c:pt>
                <c:pt idx="278">
                  <c:v>1065.48902115551</c:v>
                </c:pt>
                <c:pt idx="279">
                  <c:v>1070.58054955085</c:v>
                </c:pt>
                <c:pt idx="280">
                  <c:v>1075.55992807338</c:v>
                </c:pt>
                <c:pt idx="281">
                  <c:v>1080.42772712318</c:v>
                </c:pt>
                <c:pt idx="282">
                  <c:v>1085.18450127717</c:v>
                </c:pt>
                <c:pt idx="283">
                  <c:v>1089.83078960477</c:v>
                </c:pt>
                <c:pt idx="284">
                  <c:v>1094.36711597305</c:v>
                </c:pt>
                <c:pt idx="285">
                  <c:v>1098.79398934229</c:v>
                </c:pt>
                <c:pt idx="286">
                  <c:v>1103.11190405194</c:v>
                </c:pt>
                <c:pt idx="287">
                  <c:v>1107.32134009781</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1140.3971564499</c:v>
                </c:pt>
                <c:pt idx="297">
                  <c:v>1143.54523245974</c:v>
                </c:pt>
                <c:pt idx="298">
                  <c:v>1146.58923471149</c:v>
                </c:pt>
                <c:pt idx="299">
                  <c:v>1149.52949004743</c:v>
                </c:pt>
                <c:pt idx="300">
                  <c:v>1152.36631396239</c:v>
                </c:pt>
                <c:pt idx="301">
                  <c:v>1155.1000108056</c:v>
                </c:pt>
                <c:pt idx="302">
                  <c:v>1157.73087398174</c:v>
                </c:pt>
                <c:pt idx="303">
                  <c:v>1160.2591861519</c:v>
                </c:pt>
                <c:pt idx="304">
                  <c:v>1162.68521943538</c:v>
                </c:pt>
                <c:pt idx="305">
                  <c:v>1165.00923561341</c:v>
                </c:pt>
                <c:pt idx="306">
                  <c:v>1167.23148633575</c:v>
                </c:pt>
                <c:pt idx="307">
                  <c:v>1169.35221333152</c:v>
                </c:pt>
                <c:pt idx="308">
                  <c:v>1171.37164862532</c:v>
                </c:pt>
                <c:pt idx="309">
                  <c:v>1173.29001476041</c:v>
                </c:pt>
                <c:pt idx="310">
                  <c:v>1175.1075250301</c:v>
                </c:pt>
                <c:pt idx="311">
                  <c:v>1176.82438371933</c:v>
                </c:pt>
                <c:pt idx="312">
                  <c:v>1178.44078635796</c:v>
                </c:pt>
                <c:pt idx="313">
                  <c:v>1179.95691998779</c:v>
                </c:pt>
                <c:pt idx="314">
                  <c:v>1181.3729634453</c:v>
                </c:pt>
                <c:pt idx="315">
                  <c:v>1182.68908766194</c:v>
                </c:pt>
                <c:pt idx="316">
                  <c:v>1183.90545598429</c:v>
                </c:pt>
                <c:pt idx="317">
                  <c:v>1185.02222451576</c:v>
                </c:pt>
                <c:pt idx="318">
                  <c:v>1186.03954248212</c:v>
                </c:pt>
                <c:pt idx="319">
                  <c:v>1186.95755262217</c:v>
                </c:pt>
                <c:pt idx="320">
                  <c:v>1187.77639160531</c:v>
                </c:pt>
                <c:pt idx="321">
                  <c:v>1188.4961904768</c:v>
                </c:pt>
                <c:pt idx="322">
                  <c:v>1189.1170751314</c:v>
                </c:pt>
                <c:pt idx="323">
                  <c:v>1189.63916681507</c:v>
                </c:pt>
                <c:pt idx="324">
                  <c:v>1190.06258265402</c:v>
                </c:pt>
                <c:pt idx="325">
                  <c:v>1190.38743620944</c:v>
                </c:pt>
                <c:pt idx="326">
                  <c:v>1190.61383805511</c:v>
                </c:pt>
                <c:pt idx="327">
                  <c:v>1190.7418963748</c:v>
                </c:pt>
                <c:pt idx="328">
                  <c:v>1190.77171757483</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1182.26879748705</c:v>
                </c:pt>
                <c:pt idx="342">
                  <c:v>1180.93491877981</c:v>
                </c:pt>
                <c:pt idx="343">
                  <c:v>1179.50458700375</c:v>
                </c:pt>
                <c:pt idx="344">
                  <c:v>1177.97795584974</c:v>
                </c:pt>
                <c:pt idx="345">
                  <c:v>1176.35518532768</c:v>
                </c:pt>
                <c:pt idx="346">
                  <c:v>1174.6364419696</c:v>
                </c:pt>
                <c:pt idx="347">
                  <c:v>1172.82189900575</c:v>
                </c:pt>
                <c:pt idx="348">
                  <c:v>1170.91173651566</c:v>
                </c:pt>
                <c:pt idx="349">
                  <c:v>1168.90614155618</c:v>
                </c:pt>
                <c:pt idx="350">
                  <c:v>1166.8053082684</c:v>
                </c:pt>
                <c:pt idx="351">
                  <c:v>1164.60943796536</c:v>
                </c:pt>
                <c:pt idx="352">
                  <c:v>1162.31873920221</c:v>
                </c:pt>
                <c:pt idx="353">
                  <c:v>1159.93342783038</c:v>
                </c:pt>
                <c:pt idx="354">
                  <c:v>1157.4537270373</c:v>
                </c:pt>
                <c:pt idx="355">
                  <c:v>1154.87986737299</c:v>
                </c:pt>
                <c:pt idx="356">
                  <c:v>1152.2120867646</c:v>
                </c:pt>
                <c:pt idx="357">
                  <c:v>1149.45063052023</c:v>
                </c:pt>
                <c:pt idx="358">
                  <c:v>1146.59575132278</c:v>
                </c:pt>
                <c:pt idx="359">
                  <c:v>1143.6477092149</c:v>
                </c:pt>
                <c:pt idx="360">
                  <c:v>1140.60677157566</c:v>
                </c:pt>
                <c:pt idx="361">
                  <c:v>1137.47321308986</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1084.04899249818</c:v>
                </c:pt>
                <c:pt idx="376">
                  <c:v>1079.56389079921</c:v>
                </c:pt>
                <c:pt idx="377">
                  <c:v>1074.99151054388</c:v>
                </c:pt>
                <c:pt idx="378">
                  <c:v>1070.33224096776</c:v>
                </c:pt>
                <c:pt idx="379">
                  <c:v>1065.58647727694</c:v>
                </c:pt>
                <c:pt idx="380">
                  <c:v>1060.75462054727</c:v>
                </c:pt>
                <c:pt idx="381">
                  <c:v>1055.83707762198</c:v>
                </c:pt>
                <c:pt idx="382">
                  <c:v>1050.83426100772</c:v>
                </c:pt>
                <c:pt idx="383">
                  <c:v>1045.74658876908</c:v>
                </c:pt>
                <c:pt idx="384">
                  <c:v>1040.57448442188</c:v>
                </c:pt>
                <c:pt idx="385">
                  <c:v>1035.31837682509</c:v>
                </c:pt>
                <c:pt idx="386">
                  <c:v>1029.97870007167</c:v>
                </c:pt>
                <c:pt idx="387">
                  <c:v>1024.5558933783</c:v>
                </c:pt>
                <c:pt idx="388">
                  <c:v>1019.05040097411</c:v>
                </c:pt>
                <c:pt idx="389">
                  <c:v>1013.4626719886</c:v>
                </c:pt>
                <c:pt idx="390">
                  <c:v>1007.79316033861</c:v>
                </c:pt>
                <c:pt idx="391">
                  <c:v>1002.04232461467</c:v>
                </c:pt>
                <c:pt idx="392">
                  <c:v>996.210627966583</c:v>
                </c:pt>
                <c:pt idx="393">
                  <c:v>990.29853798852</c:v>
                </c:pt>
                <c:pt idx="394">
                  <c:v>984.306526603507</c:v>
                </c:pt>
                <c:pt idx="395">
                  <c:v>978.235069947512</c:v>
                </c:pt>
                <c:pt idx="396">
                  <c:v>972.084648253135</c:v>
                </c:pt>
                <c:pt idx="397">
                  <c:v>965.855745732987</c:v>
                </c:pt>
                <c:pt idx="398">
                  <c:v>959.548850462818</c:v>
                </c:pt>
                <c:pt idx="399">
                  <c:v>953.164454264457</c:v>
                </c:pt>
                <c:pt idx="400">
                  <c:v>946.703052588626</c:v>
                </c:pt>
                <c:pt idx="401">
                  <c:v>940.165144397693</c:v>
                </c:pt>
                <c:pt idx="402">
                  <c:v>933.551232048414</c:v>
                </c:pt>
                <c:pt idx="403">
                  <c:v>926.861821174727</c:v>
                </c:pt>
                <c:pt idx="404">
                  <c:v>920.097420570659</c:v>
                </c:pt>
                <c:pt idx="405">
                  <c:v>913.258542073387</c:v>
                </c:pt>
                <c:pt idx="406">
                  <c:v>906.345700446519</c:v>
                </c:pt>
                <c:pt idx="407">
                  <c:v>899.359413263647</c:v>
                </c:pt>
                <c:pt idx="408">
                  <c:v>892.300200792209</c:v>
                </c:pt>
                <c:pt idx="409">
                  <c:v>885.168585877736</c:v>
                </c:pt>
                <c:pt idx="410">
                  <c:v>877.965093828501</c:v>
                </c:pt>
                <c:pt idx="411">
                  <c:v>870.690252300642</c:v>
                </c:pt>
                <c:pt idx="412">
                  <c:v>863.344591183802</c:v>
                </c:pt>
                <c:pt idx="413">
                  <c:v>855.928642487311</c:v>
                </c:pt>
                <c:pt idx="414">
                  <c:v>848.442940226982</c:v>
                </c:pt>
                <c:pt idx="415">
                  <c:v>840.888020312549</c:v>
                </c:pt>
                <c:pt idx="416">
                  <c:v>833.264420435784</c:v>
                </c:pt>
                <c:pt idx="417">
                  <c:v>825.572679959345</c:v>
                </c:pt>
                <c:pt idx="418">
                  <c:v>817.813339806387</c:v>
                </c:pt>
                <c:pt idx="419">
                  <c:v>809.986942350978</c:v>
                </c:pt>
                <c:pt idx="420">
                  <c:v>802.094031309351</c:v>
                </c:pt>
                <c:pt idx="421">
                  <c:v>794.135151632036</c:v>
                </c:pt>
                <c:pt idx="422">
                  <c:v>786.110849396899</c:v>
                </c:pt>
                <c:pt idx="423">
                  <c:v>778.021671703125</c:v>
                </c:pt>
                <c:pt idx="424">
                  <c:v>769.868166566178</c:v>
                </c:pt>
                <c:pt idx="425">
                  <c:v>761.650882813765</c:v>
                </c:pt>
                <c:pt idx="426">
                  <c:v>753.370369982843</c:v>
                </c:pt>
                <c:pt idx="427">
                  <c:v>745.027178217683</c:v>
                </c:pt>
                <c:pt idx="428">
                  <c:v>736.621858169034</c:v>
                </c:pt>
                <c:pt idx="429">
                  <c:v>728.154960894401</c:v>
                </c:pt>
                <c:pt idx="430">
                  <c:v>719.627037759474</c:v>
                </c:pt>
                <c:pt idx="431">
                  <c:v>711.038640340723</c:v>
                </c:pt>
                <c:pt idx="432">
                  <c:v>702.390320329184</c:v>
                </c:pt>
                <c:pt idx="433">
                  <c:v>693.682629435462</c:v>
                </c:pt>
                <c:pt idx="434">
                  <c:v>684.916119295969</c:v>
                </c:pt>
                <c:pt idx="435">
                  <c:v>676.091341380416</c:v>
                </c:pt>
                <c:pt idx="436">
                  <c:v>667.208846900577</c:v>
                </c:pt>
                <c:pt idx="437">
                  <c:v>658.269186720353</c:v>
                </c:pt>
                <c:pt idx="438">
                  <c:v>649.272911267134</c:v>
                </c:pt>
                <c:pt idx="439">
                  <c:v>640.220570444489</c:v>
                </c:pt>
                <c:pt idx="440">
                  <c:v>631.112713546196</c:v>
                </c:pt>
                <c:pt idx="441">
                  <c:v>621.949889171623</c:v>
                </c:pt>
                <c:pt idx="442">
                  <c:v>612.73264514247</c:v>
                </c:pt>
                <c:pt idx="443">
                  <c:v>603.461528420892</c:v>
                </c:pt>
                <c:pt idx="444">
                  <c:v>594.137085029004</c:v>
                </c:pt>
                <c:pt idx="445">
                  <c:v>584.759859969784</c:v>
                </c:pt>
                <c:pt idx="446">
                  <c:v>575.330397149381</c:v>
                </c:pt>
                <c:pt idx="447">
                  <c:v>565.849239300835</c:v>
                </c:pt>
                <c:pt idx="448">
                  <c:v>556.31692790921</c:v>
                </c:pt>
                <c:pt idx="449">
                  <c:v>546.734003138163</c:v>
                </c:pt>
                <c:pt idx="450">
                  <c:v>537.101003757933</c:v>
                </c:pt>
                <c:pt idx="451">
                  <c:v>527.418467074768</c:v>
                </c:pt>
                <c:pt idx="452">
                  <c:v>517.686928861784</c:v>
                </c:pt>
                <c:pt idx="453">
                  <c:v>507.906923291271</c:v>
                </c:pt>
                <c:pt idx="454">
                  <c:v>498.078982868434</c:v>
                </c:pt>
                <c:pt idx="455">
                  <c:v>488.203638366576</c:v>
                </c:pt>
                <c:pt idx="456">
                  <c:v>478.281418763721</c:v>
                </c:pt>
                <c:pt idx="457">
                  <c:v>468.312851180684</c:v>
                </c:pt>
                <c:pt idx="458">
                  <c:v>458.298460820569</c:v>
                </c:pt>
                <c:pt idx="459">
                  <c:v>448.238770909716</c:v>
                </c:pt>
                <c:pt idx="460">
                  <c:v>438.134302640069</c:v>
                </c:pt>
                <c:pt idx="461">
                  <c:v>427.985575112982</c:v>
                </c:pt>
                <c:pt idx="462">
                  <c:v>417.79310528445</c:v>
                </c:pt>
                <c:pt idx="463">
                  <c:v>407.557407911754</c:v>
                </c:pt>
                <c:pt idx="464">
                  <c:v>397.278995501528</c:v>
                </c:pt>
                <c:pt idx="465">
                  <c:v>386.95837825923</c:v>
                </c:pt>
                <c:pt idx="466">
                  <c:v>376.596064040011</c:v>
                </c:pt>
                <c:pt idx="467">
                  <c:v>366.192558300989</c:v>
                </c:pt>
                <c:pt idx="468">
                  <c:v>355.748364054895</c:v>
                </c:pt>
                <c:pt idx="469">
                  <c:v>345.263981825105</c:v>
                </c:pt>
                <c:pt idx="470">
                  <c:v>334.739909602037</c:v>
                </c:pt>
                <c:pt idx="471">
                  <c:v>324.176642800906</c:v>
                </c:pt>
                <c:pt idx="472">
                  <c:v>313.574674220831</c:v>
                </c:pt>
                <c:pt idx="473">
                  <c:v>302.934494005271</c:v>
                </c:pt>
                <c:pt idx="474">
                  <c:v>292.256589603796</c:v>
                </c:pt>
                <c:pt idx="475">
                  <c:v>281.541445735168</c:v>
                </c:pt>
                <c:pt idx="476">
                  <c:v>270.789544351731</c:v>
                </c:pt>
                <c:pt idx="477">
                  <c:v>260.001364605083</c:v>
                </c:pt>
                <c:pt idx="478">
                  <c:v>249.177382813035</c:v>
                </c:pt>
                <c:pt idx="479">
                  <c:v>238.31807242783</c:v>
                </c:pt>
                <c:pt idx="480">
                  <c:v>227.423904005614</c:v>
                </c:pt>
                <c:pt idx="481">
                  <c:v>216.49534517715</c:v>
                </c:pt>
                <c:pt idx="482">
                  <c:v>205.53286061975</c:v>
                </c:pt>
                <c:pt idx="483">
                  <c:v>194.536912030422</c:v>
                </c:pt>
                <c:pt idx="484">
                  <c:v>183.507958100208</c:v>
                </c:pt>
                <c:pt idx="485">
                  <c:v>172.446454489711</c:v>
                </c:pt>
                <c:pt idx="486">
                  <c:v>161.352853805774</c:v>
                </c:pt>
                <c:pt idx="487">
                  <c:v>150.227605579323</c:v>
                </c:pt>
                <c:pt idx="488">
                  <c:v>139.071156244339</c:v>
                </c:pt>
                <c:pt idx="489">
                  <c:v>127.883949117947</c:v>
                </c:pt>
                <c:pt idx="490">
                  <c:v>116.666424381613</c:v>
                </c:pt>
                <c:pt idx="491">
                  <c:v>105.41901906343</c:v>
                </c:pt>
                <c:pt idx="492">
                  <c:v>94.1421670214652</c:v>
                </c:pt>
                <c:pt idx="493">
                  <c:v>82.8362989281763</c:v>
                </c:pt>
                <c:pt idx="494">
                  <c:v>71.5018422558558</c:v>
                </c:pt>
                <c:pt idx="495">
                  <c:v>60.1392212631031</c:v>
                </c:pt>
                <c:pt idx="496">
                  <c:v>48.7488569822998</c:v>
                </c:pt>
                <c:pt idx="497">
                  <c:v>37.3311672080754</c:v>
                </c:pt>
                <c:pt idx="498">
                  <c:v>25.8865664867444</c:v>
                </c:pt>
                <c:pt idx="499">
                  <c:v>14.4154661066991</c:v>
                </c:pt>
                <c:pt idx="500">
                  <c:v>2.91827408974138</c:v>
                </c:pt>
                <c:pt idx="501">
                  <c:v>-8.60460481666437</c:v>
                </c:pt>
                <c:pt idx="502">
                  <c:v>-8.61614045078113</c:v>
                </c:pt>
                <c:pt idx="503">
                  <c:v>-8.62767610998321</c:v>
                </c:pt>
                <c:pt idx="504">
                  <c:v>-8.63921179427021</c:v>
                </c:pt>
                <c:pt idx="505">
                  <c:v>-8.65074750364173</c:v>
                </c:pt>
                <c:pt idx="506">
                  <c:v>-8.66228323809738</c:v>
                </c:pt>
                <c:pt idx="507">
                  <c:v>-8.67381899763675</c:v>
                </c:pt>
                <c:pt idx="508">
                  <c:v>-8.68535478225947</c:v>
                </c:pt>
                <c:pt idx="509">
                  <c:v>-8.69689059196512</c:v>
                </c:pt>
                <c:pt idx="510">
                  <c:v>-8.70842642675331</c:v>
                </c:pt>
                <c:pt idx="511">
                  <c:v>-8.71996228662365</c:v>
                </c:pt>
                <c:pt idx="512">
                  <c:v>-8.73149817157575</c:v>
                </c:pt>
                <c:pt idx="513">
                  <c:v>-8.7430340816092</c:v>
                </c:pt>
                <c:pt idx="514">
                  <c:v>-8.75457001672361</c:v>
                </c:pt>
                <c:pt idx="515">
                  <c:v>-8.76610597691859</c:v>
                </c:pt>
                <c:pt idx="516">
                  <c:v>-8.77764196219374</c:v>
                </c:pt>
                <c:pt idx="517">
                  <c:v>-8.78917797254866</c:v>
                </c:pt>
                <c:pt idx="518">
                  <c:v>-8.80071400798296</c:v>
                </c:pt>
                <c:pt idx="519">
                  <c:v>-8.81225006849624</c:v>
                </c:pt>
                <c:pt idx="520">
                  <c:v>-8.82378615408811</c:v>
                </c:pt>
                <c:pt idx="521">
                  <c:v>-8.83532226475818</c:v>
                </c:pt>
                <c:pt idx="522">
                  <c:v>-8.84685840050604</c:v>
                </c:pt>
                <c:pt idx="523">
                  <c:v>-8.85839456133129</c:v>
                </c:pt>
                <c:pt idx="524">
                  <c:v>-8.86993074723356</c:v>
                </c:pt>
                <c:pt idx="525">
                  <c:v>-8.88146695821243</c:v>
                </c:pt>
                <c:pt idx="526">
                  <c:v>-8.89300319426752</c:v>
                </c:pt>
                <c:pt idx="527">
                  <c:v>-8.90453945539842</c:v>
                </c:pt>
                <c:pt idx="528">
                  <c:v>-8.91607574160475</c:v>
                </c:pt>
                <c:pt idx="529">
                  <c:v>-8.9276120528861</c:v>
                </c:pt>
                <c:pt idx="530">
                  <c:v>-8.93914838924208</c:v>
                </c:pt>
                <c:pt idx="531">
                  <c:v>-8.9506847506723</c:v>
                </c:pt>
                <c:pt idx="532">
                  <c:v>-8.96222113717636</c:v>
                </c:pt>
                <c:pt idx="533">
                  <c:v>-8.97375754875387</c:v>
                </c:pt>
                <c:pt idx="534">
                  <c:v>-8.98529398540442</c:v>
                </c:pt>
                <c:pt idx="535">
                  <c:v>-8.99683044712763</c:v>
                </c:pt>
                <c:pt idx="536">
                  <c:v>-9.00836693392309</c:v>
                </c:pt>
                <c:pt idx="537">
                  <c:v>-9.01990344579042</c:v>
                </c:pt>
                <c:pt idx="538">
                  <c:v>-9.03143998272921</c:v>
                </c:pt>
                <c:pt idx="539">
                  <c:v>-9.04297654473908</c:v>
                </c:pt>
                <c:pt idx="540">
                  <c:v>-9.05451313181962</c:v>
                </c:pt>
                <c:pt idx="541">
                  <c:v>-9.06604974397043</c:v>
                </c:pt>
                <c:pt idx="542">
                  <c:v>-9.07758638119114</c:v>
                </c:pt>
                <c:pt idx="543">
                  <c:v>-9.08912304348133</c:v>
                </c:pt>
                <c:pt idx="544">
                  <c:v>-9.10065973084062</c:v>
                </c:pt>
                <c:pt idx="545">
                  <c:v>-9.1121964432686</c:v>
                </c:pt>
                <c:pt idx="546">
                  <c:v>-9.12373318076488</c:v>
                </c:pt>
                <c:pt idx="547">
                  <c:v>-9.13526994332908</c:v>
                </c:pt>
                <c:pt idx="548">
                  <c:v>-9.14680673096078</c:v>
                </c:pt>
                <c:pt idx="549">
                  <c:v>-9.1583435436596</c:v>
                </c:pt>
                <c:pt idx="550">
                  <c:v>-9.16988038142514</c:v>
                </c:pt>
                <c:pt idx="551">
                  <c:v>-9.181417244257</c:v>
                </c:pt>
                <c:pt idx="552">
                  <c:v>-9.19295413215479</c:v>
                </c:pt>
                <c:pt idx="553">
                  <c:v>-9.20449104511812</c:v>
                </c:pt>
                <c:pt idx="554">
                  <c:v>-9.21602798314658</c:v>
                </c:pt>
                <c:pt idx="555">
                  <c:v>-9.22756494623979</c:v>
                </c:pt>
                <c:pt idx="556">
                  <c:v>-9.23910193439734</c:v>
                </c:pt>
                <c:pt idx="557">
                  <c:v>-9.25063894761885</c:v>
                </c:pt>
                <c:pt idx="558">
                  <c:v>-9.26217598590391</c:v>
                </c:pt>
                <c:pt idx="559">
                  <c:v>-9.27371304925213</c:v>
                </c:pt>
                <c:pt idx="560">
                  <c:v>-9.28525013766312</c:v>
                </c:pt>
                <c:pt idx="561">
                  <c:v>-9.29678725113647</c:v>
                </c:pt>
                <c:pt idx="562">
                  <c:v>-9.3083243896718</c:v>
                </c:pt>
                <c:pt idx="563">
                  <c:v>-9.31986155326871</c:v>
                </c:pt>
                <c:pt idx="564">
                  <c:v>-9.3313987419268</c:v>
                </c:pt>
                <c:pt idx="565">
                  <c:v>-9.34293595564568</c:v>
                </c:pt>
                <c:pt idx="566">
                  <c:v>-9.35447319442495</c:v>
                </c:pt>
                <c:pt idx="567">
                  <c:v>-9.36601045826422</c:v>
                </c:pt>
                <c:pt idx="568">
                  <c:v>-9.37754774716309</c:v>
                </c:pt>
                <c:pt idx="569">
                  <c:v>-9.38908506112117</c:v>
                </c:pt>
                <c:pt idx="570">
                  <c:v>-9.40062240013805</c:v>
                </c:pt>
                <c:pt idx="571">
                  <c:v>-9.41215976421335</c:v>
                </c:pt>
                <c:pt idx="572">
                  <c:v>-9.42369715334667</c:v>
                </c:pt>
                <c:pt idx="573">
                  <c:v>-9.43523456753761</c:v>
                </c:pt>
                <c:pt idx="574">
                  <c:v>-9.44677200678578</c:v>
                </c:pt>
                <c:pt idx="575">
                  <c:v>-9.45830947109079</c:v>
                </c:pt>
                <c:pt idx="576">
                  <c:v>-9.46984696045223</c:v>
                </c:pt>
                <c:pt idx="577">
                  <c:v>-9.48138447486971</c:v>
                </c:pt>
                <c:pt idx="578">
                  <c:v>-9.49292201434285</c:v>
                </c:pt>
                <c:pt idx="579">
                  <c:v>-9.50445957887123</c:v>
                </c:pt>
                <c:pt idx="580">
                  <c:v>-9.51599716845447</c:v>
                </c:pt>
                <c:pt idx="581">
                  <c:v>-9.52753478309216</c:v>
                </c:pt>
                <c:pt idx="582">
                  <c:v>-9.53907242278393</c:v>
                </c:pt>
                <c:pt idx="583">
                  <c:v>-9.55061008752936</c:v>
                </c:pt>
                <c:pt idx="584">
                  <c:v>-9.56214777732807</c:v>
                </c:pt>
                <c:pt idx="585">
                  <c:v>-9.57368549217965</c:v>
                </c:pt>
                <c:pt idx="586">
                  <c:v>-9.58522323208372</c:v>
                </c:pt>
                <c:pt idx="587">
                  <c:v>-9.59676099703988</c:v>
                </c:pt>
                <c:pt idx="588">
                  <c:v>-9.60829878704773</c:v>
                </c:pt>
                <c:pt idx="589">
                  <c:v>-9.61983660210688</c:v>
                </c:pt>
                <c:pt idx="590">
                  <c:v>-9.63137444221692</c:v>
                </c:pt>
                <c:pt idx="591">
                  <c:v>-9.64291230737748</c:v>
                </c:pt>
                <c:pt idx="592">
                  <c:v>-9.65445019758814</c:v>
                </c:pt>
                <c:pt idx="593">
                  <c:v>-9.66598811284853</c:v>
                </c:pt>
                <c:pt idx="594">
                  <c:v>-9.67752605315823</c:v>
                </c:pt>
                <c:pt idx="595">
                  <c:v>-9.68906401851685</c:v>
                </c:pt>
                <c:pt idx="596">
                  <c:v>-9.70060200892401</c:v>
                </c:pt>
                <c:pt idx="597">
                  <c:v>-9.7121400243793</c:v>
                </c:pt>
                <c:pt idx="598">
                  <c:v>-9.72367806488233</c:v>
                </c:pt>
                <c:pt idx="599">
                  <c:v>-9.7352161304327</c:v>
                </c:pt>
                <c:pt idx="600">
                  <c:v>-9.74675422103002</c:v>
                </c:pt>
                <c:pt idx="601">
                  <c:v>-9.75829233667389</c:v>
                </c:pt>
                <c:pt idx="602">
                  <c:v>-9.76983047736392</c:v>
                </c:pt>
                <c:pt idx="603">
                  <c:v>-9.78136864309971</c:v>
                </c:pt>
                <c:pt idx="604">
                  <c:v>-9.79290683388087</c:v>
                </c:pt>
                <c:pt idx="605">
                  <c:v>-9.804445049707</c:v>
                </c:pt>
                <c:pt idx="606">
                  <c:v>-9.8159832905777</c:v>
                </c:pt>
                <c:pt idx="607">
                  <c:v>-9.82752155649259</c:v>
                </c:pt>
                <c:pt idx="608">
                  <c:v>-9.83905984745126</c:v>
                </c:pt>
                <c:pt idx="609">
                  <c:v>-9.85059816345332</c:v>
                </c:pt>
                <c:pt idx="610">
                  <c:v>-9.86213650449837</c:v>
                </c:pt>
                <c:pt idx="611">
                  <c:v>-9.87367487058603</c:v>
                </c:pt>
                <c:pt idx="612">
                  <c:v>-9.88521326171589</c:v>
                </c:pt>
                <c:pt idx="613">
                  <c:v>-9.89675167788755</c:v>
                </c:pt>
                <c:pt idx="614">
                  <c:v>-9.90829011910063</c:v>
                </c:pt>
                <c:pt idx="615">
                  <c:v>-9.91982858535473</c:v>
                </c:pt>
                <c:pt idx="616">
                  <c:v>-9.93136707664945</c:v>
                </c:pt>
                <c:pt idx="617">
                  <c:v>-9.9429055929844</c:v>
                </c:pt>
                <c:pt idx="618">
                  <c:v>-9.95444413435918</c:v>
                </c:pt>
                <c:pt idx="619">
                  <c:v>-9.96598270077339</c:v>
                </c:pt>
                <c:pt idx="620">
                  <c:v>-9.97752129222665</c:v>
                </c:pt>
                <c:pt idx="621">
                  <c:v>-9.98905990871855</c:v>
                </c:pt>
                <c:pt idx="622">
                  <c:v>-10.0005985502487</c:v>
                </c:pt>
                <c:pt idx="623">
                  <c:v>-10.0121372168167</c:v>
                </c:pt>
                <c:pt idx="624">
                  <c:v>-10.0236759084222</c:v>
                </c:pt>
                <c:pt idx="625">
                  <c:v>-10.0352146250647</c:v>
                </c:pt>
                <c:pt idx="626">
                  <c:v>-10.0467533667439</c:v>
                </c:pt>
                <c:pt idx="627">
                  <c:v>-10.0582921334594</c:v>
                </c:pt>
                <c:pt idx="628">
                  <c:v>-10.0698309252108</c:v>
                </c:pt>
                <c:pt idx="629">
                  <c:v>-10.0813697419976</c:v>
                </c:pt>
                <c:pt idx="630">
                  <c:v>-10.0929085838195</c:v>
                </c:pt>
                <c:pt idx="631">
                  <c:v>-10.1044474506762</c:v>
                </c:pt>
                <c:pt idx="632">
                  <c:v>-10.1159863425671</c:v>
                </c:pt>
                <c:pt idx="633">
                  <c:v>-10.1275252594919</c:v>
                </c:pt>
                <c:pt idx="634">
                  <c:v>-10.1390642014502</c:v>
                </c:pt>
                <c:pt idx="635">
                  <c:v>-10.1506031684417</c:v>
                </c:pt>
                <c:pt idx="636">
                  <c:v>-10.1621421604658</c:v>
                </c:pt>
                <c:pt idx="637">
                  <c:v>-10.1736811775223</c:v>
                </c:pt>
                <c:pt idx="638">
                  <c:v>-10.1852202196107</c:v>
                </c:pt>
                <c:pt idx="639">
                  <c:v>-10.1967592867307</c:v>
                </c:pt>
                <c:pt idx="640">
                  <c:v>-10.2082983788818</c:v>
                </c:pt>
                <c:pt idx="641">
                  <c:v>-10.2198374960636</c:v>
                </c:pt>
                <c:pt idx="642">
                  <c:v>-10.2313766382757</c:v>
                </c:pt>
                <c:pt idx="643">
                  <c:v>-10.2429158055179</c:v>
                </c:pt>
                <c:pt idx="644">
                  <c:v>-10.2544549977895</c:v>
                </c:pt>
                <c:pt idx="645">
                  <c:v>-10.2659942150904</c:v>
                </c:pt>
                <c:pt idx="646">
                  <c:v>-10.27753345742</c:v>
                </c:pt>
                <c:pt idx="647">
                  <c:v>-10.2890727247779</c:v>
                </c:pt>
                <c:pt idx="648">
                  <c:v>-10.3006120171639</c:v>
                </c:pt>
                <c:pt idx="649">
                  <c:v>-10.3121513345774</c:v>
                </c:pt>
                <c:pt idx="650">
                  <c:v>-10.3236906770181</c:v>
                </c:pt>
                <c:pt idx="651">
                  <c:v>-10.3352300444856</c:v>
                </c:pt>
                <c:pt idx="652">
                  <c:v>-10.3467694369795</c:v>
                </c:pt>
                <c:pt idx="653">
                  <c:v>-10.3583088544993</c:v>
                </c:pt>
                <c:pt idx="654">
                  <c:v>-10.3698482970448</c:v>
                </c:pt>
                <c:pt idx="655">
                  <c:v>-10.3813877646155</c:v>
                </c:pt>
                <c:pt idx="656">
                  <c:v>-10.392927257211</c:v>
                </c:pt>
                <c:pt idx="657">
                  <c:v>-10.4044667748309</c:v>
                </c:pt>
                <c:pt idx="658">
                  <c:v>-10.4160063174749</c:v>
                </c:pt>
                <c:pt idx="659">
                  <c:v>-10.4275458851425</c:v>
                </c:pt>
                <c:pt idx="660">
                  <c:v>-10.4390854778333</c:v>
                </c:pt>
                <c:pt idx="661">
                  <c:v>-10.4506250955469</c:v>
                </c:pt>
                <c:pt idx="662">
                  <c:v>-10.462164738283</c:v>
                </c:pt>
                <c:pt idx="663">
                  <c:v>-10.4737044060411</c:v>
                </c:pt>
                <c:pt idx="664">
                  <c:v>-10.4852440988209</c:v>
                </c:pt>
                <c:pt idx="665">
                  <c:v>-10.496783816622</c:v>
                </c:pt>
                <c:pt idx="666">
                  <c:v>-10.5083235594439</c:v>
                </c:pt>
                <c:pt idx="667">
                  <c:v>-10.5198633272862</c:v>
                </c:pt>
                <c:pt idx="668">
                  <c:v>-10.5314031201487</c:v>
                </c:pt>
                <c:pt idx="669">
                  <c:v>-10.5429429380308</c:v>
                </c:pt>
                <c:pt idx="670">
                  <c:v>-10.5544827809322</c:v>
                </c:pt>
                <c:pt idx="671">
                  <c:v>-10.5660226488524</c:v>
                </c:pt>
                <c:pt idx="672">
                  <c:v>-10.5775625417912</c:v>
                </c:pt>
                <c:pt idx="673">
                  <c:v>-10.5891024597481</c:v>
                </c:pt>
                <c:pt idx="674">
                  <c:v>-10.6006424027226</c:v>
                </c:pt>
                <c:pt idx="675">
                  <c:v>-10.6121823707145</c:v>
                </c:pt>
                <c:pt idx="676">
                  <c:v>-10.6237223637233</c:v>
                </c:pt>
                <c:pt idx="677">
                  <c:v>-10.6352623817486</c:v>
                </c:pt>
                <c:pt idx="678">
                  <c:v>-10.64680242479</c:v>
                </c:pt>
                <c:pt idx="679">
                  <c:v>-10.6583424928471</c:v>
                </c:pt>
                <c:pt idx="680">
                  <c:v>-10.6698825859196</c:v>
                </c:pt>
                <c:pt idx="681">
                  <c:v>-10.681422704007</c:v>
                </c:pt>
                <c:pt idx="682">
                  <c:v>-10.692962847109</c:v>
                </c:pt>
                <c:pt idx="683">
                  <c:v>-10.7045030152251</c:v>
                </c:pt>
                <c:pt idx="684">
                  <c:v>-10.7160432083549</c:v>
                </c:pt>
                <c:pt idx="685">
                  <c:v>-10.7275834264981</c:v>
                </c:pt>
                <c:pt idx="686">
                  <c:v>-10.7391236696542</c:v>
                </c:pt>
                <c:pt idx="687">
                  <c:v>-10.7506639378229</c:v>
                </c:pt>
                <c:pt idx="688">
                  <c:v>-10.7622042310038</c:v>
                </c:pt>
                <c:pt idx="689">
                  <c:v>-10.7737445491965</c:v>
                </c:pt>
                <c:pt idx="690">
                  <c:v>-10.7852848924005</c:v>
                </c:pt>
                <c:pt idx="691">
                  <c:v>-10.7968252606155</c:v>
                </c:pt>
                <c:pt idx="692">
                  <c:v>-10.8083656538411</c:v>
                </c:pt>
                <c:pt idx="693">
                  <c:v>-10.8199060720769</c:v>
                </c:pt>
                <c:pt idx="694">
                  <c:v>-10.8314465153225</c:v>
                </c:pt>
                <c:pt idx="695">
                  <c:v>-10.8429869835775</c:v>
                </c:pt>
                <c:pt idx="696">
                  <c:v>-10.8545274768415</c:v>
                </c:pt>
                <c:pt idx="697">
                  <c:v>-10.8660679951142</c:v>
                </c:pt>
                <c:pt idx="698">
                  <c:v>-10.877608538395</c:v>
                </c:pt>
                <c:pt idx="699">
                  <c:v>-10.8891491066837</c:v>
                </c:pt>
                <c:pt idx="700">
                  <c:v>-10.9006896999798</c:v>
                </c:pt>
                <c:pt idx="701">
                  <c:v>-10.9122303182829</c:v>
                </c:pt>
                <c:pt idx="702">
                  <c:v>-10.9237709615927</c:v>
                </c:pt>
                <c:pt idx="703">
                  <c:v>-10.9353116299087</c:v>
                </c:pt>
                <c:pt idx="704">
                  <c:v>-10.9468523232305</c:v>
                </c:pt>
                <c:pt idx="705">
                  <c:v>-10.9583930415578</c:v>
                </c:pt>
                <c:pt idx="706">
                  <c:v>-10.9699337848902</c:v>
                </c:pt>
                <c:pt idx="707">
                  <c:v>-10.9814745532272</c:v>
                </c:pt>
                <c:pt idx="708">
                  <c:v>-10.9930153465685</c:v>
                </c:pt>
                <c:pt idx="709">
                  <c:v>-11.0045561649137</c:v>
                </c:pt>
                <c:pt idx="710">
                  <c:v>-11.0160970082623</c:v>
                </c:pt>
                <c:pt idx="711">
                  <c:v>-11.0276378766141</c:v>
                </c:pt>
                <c:pt idx="712">
                  <c:v>-11.0391787699685</c:v>
                </c:pt>
                <c:pt idx="713">
                  <c:v>-11.0507196883252</c:v>
                </c:pt>
                <c:pt idx="714">
                  <c:v>-11.0622606316838</c:v>
                </c:pt>
                <c:pt idx="715">
                  <c:v>-11.0738016000439</c:v>
                </c:pt>
                <c:pt idx="716">
                  <c:v>-11.0853425934051</c:v>
                </c:pt>
                <c:pt idx="717">
                  <c:v>-11.0968836117671</c:v>
                </c:pt>
                <c:pt idx="718">
                  <c:v>-11.1084246551293</c:v>
                </c:pt>
                <c:pt idx="719">
                  <c:v>-11.1199657234915</c:v>
                </c:pt>
                <c:pt idx="720">
                  <c:v>-11.1315068168532</c:v>
                </c:pt>
                <c:pt idx="721">
                  <c:v>-11.143047935214</c:v>
                </c:pt>
                <c:pt idx="722">
                  <c:v>-11.1545890785736</c:v>
                </c:pt>
                <c:pt idx="723">
                  <c:v>-11.1661302469315</c:v>
                </c:pt>
                <c:pt idx="724">
                  <c:v>-11.1776714402874</c:v>
                </c:pt>
                <c:pt idx="725">
                  <c:v>-11.1892126586408</c:v>
                </c:pt>
                <c:pt idx="726">
                  <c:v>-11.2007539019914</c:v>
                </c:pt>
                <c:pt idx="727">
                  <c:v>-11.2122951703387</c:v>
                </c:pt>
                <c:pt idx="728">
                  <c:v>-11.2238364636824</c:v>
                </c:pt>
                <c:pt idx="729">
                  <c:v>-11.2353777820221</c:v>
                </c:pt>
                <c:pt idx="730">
                  <c:v>-11.2469191253574</c:v>
                </c:pt>
                <c:pt idx="731">
                  <c:v>-11.2584604936878</c:v>
                </c:pt>
                <c:pt idx="732">
                  <c:v>-11.2700018870131</c:v>
                </c:pt>
                <c:pt idx="733">
                  <c:v>-11.2815433053327</c:v>
                </c:pt>
                <c:pt idx="734">
                  <c:v>-11.2930847486463</c:v>
                </c:pt>
                <c:pt idx="735">
                  <c:v>-11.3046262169536</c:v>
                </c:pt>
                <c:pt idx="736">
                  <c:v>-11.316167710254</c:v>
                </c:pt>
                <c:pt idx="737">
                  <c:v>-11.3277092285472</c:v>
                </c:pt>
                <c:pt idx="738">
                  <c:v>-11.3392507718329</c:v>
                </c:pt>
                <c:pt idx="739">
                  <c:v>-11.3507923401106</c:v>
                </c:pt>
                <c:pt idx="740">
                  <c:v>-11.3623339333799</c:v>
                </c:pt>
                <c:pt idx="741">
                  <c:v>-11.3738755516405</c:v>
                </c:pt>
                <c:pt idx="742">
                  <c:v>-11.3854171948919</c:v>
                </c:pt>
                <c:pt idx="743">
                  <c:v>-11.3969588631337</c:v>
                </c:pt>
                <c:pt idx="744">
                  <c:v>-11.4085005563656</c:v>
                </c:pt>
                <c:pt idx="745">
                  <c:v>-11.4200422745872</c:v>
                </c:pt>
                <c:pt idx="746">
                  <c:v>-11.431584017798</c:v>
                </c:pt>
                <c:pt idx="747">
                  <c:v>-11.4431257859977</c:v>
                </c:pt>
                <c:pt idx="748">
                  <c:v>-11.4546675791858</c:v>
                </c:pt>
                <c:pt idx="749">
                  <c:v>-11.466209397362</c:v>
                </c:pt>
                <c:pt idx="750">
                  <c:v>-11.4777512405259</c:v>
                </c:pt>
                <c:pt idx="751">
                  <c:v>-11.4892931086771</c:v>
                </c:pt>
                <c:pt idx="752">
                  <c:v>-11.5008350018152</c:v>
                </c:pt>
                <c:pt idx="753">
                  <c:v>-11.5123769199398</c:v>
                </c:pt>
                <c:pt idx="754">
                  <c:v>-11.5239188630504</c:v>
                </c:pt>
                <c:pt idx="755">
                  <c:v>-11.5354608311468</c:v>
                </c:pt>
                <c:pt idx="756">
                  <c:v>-11.5470028242285</c:v>
                </c:pt>
                <c:pt idx="757">
                  <c:v>-11.5585448422951</c:v>
                </c:pt>
                <c:pt idx="758">
                  <c:v>-11.5700868853462</c:v>
                </c:pt>
                <c:pt idx="759">
                  <c:v>-11.5816289533815</c:v>
                </c:pt>
                <c:pt idx="760">
                  <c:v>-11.5931710464005</c:v>
                </c:pt>
                <c:pt idx="761">
                  <c:v>-11.6047131644028</c:v>
                </c:pt>
                <c:pt idx="762">
                  <c:v>-11.6162553073881</c:v>
                </c:pt>
                <c:pt idx="763">
                  <c:v>-11.6277974753559</c:v>
                </c:pt>
                <c:pt idx="764">
                  <c:v>-11.6393396683059</c:v>
                </c:pt>
                <c:pt idx="765">
                  <c:v>-11.6508818862376</c:v>
                </c:pt>
                <c:pt idx="766">
                  <c:v>-11.6624241291507</c:v>
                </c:pt>
                <c:pt idx="767">
                  <c:v>-11.6739663970447</c:v>
                </c:pt>
                <c:pt idx="768">
                  <c:v>-11.6855086899194</c:v>
                </c:pt>
                <c:pt idx="769">
                  <c:v>-11.6970510077742</c:v>
                </c:pt>
                <c:pt idx="770">
                  <c:v>-11.7085933506088</c:v>
                </c:pt>
                <c:pt idx="771">
                  <c:v>-11.7201357184227</c:v>
                </c:pt>
                <c:pt idx="772">
                  <c:v>-11.7316781112157</c:v>
                </c:pt>
                <c:pt idx="773">
                  <c:v>-11.7432205289873</c:v>
                </c:pt>
                <c:pt idx="774">
                  <c:v>-11.7547629717371</c:v>
                </c:pt>
                <c:pt idx="775">
                  <c:v>-11.7663054394646</c:v>
                </c:pt>
                <c:pt idx="776">
                  <c:v>-11.7778479321696</c:v>
                </c:pt>
                <c:pt idx="777">
                  <c:v>-11.7893904498517</c:v>
                </c:pt>
                <c:pt idx="778">
                  <c:v>-11.8009329925103</c:v>
                </c:pt>
                <c:pt idx="779">
                  <c:v>-11.8124755601452</c:v>
                </c:pt>
                <c:pt idx="780">
                  <c:v>-11.8240181527559</c:v>
                </c:pt>
                <c:pt idx="781">
                  <c:v>-11.8355607703421</c:v>
                </c:pt>
                <c:pt idx="782">
                  <c:v>-11.8471034129033</c:v>
                </c:pt>
                <c:pt idx="783">
                  <c:v>-11.8586460804391</c:v>
                </c:pt>
                <c:pt idx="784">
                  <c:v>-11.8701887729492</c:v>
                </c:pt>
                <c:pt idx="785">
                  <c:v>-11.8817314904332</c:v>
                </c:pt>
                <c:pt idx="786">
                  <c:v>-11.8932742328906</c:v>
                </c:pt>
                <c:pt idx="787">
                  <c:v>-11.9048170003211</c:v>
                </c:pt>
                <c:pt idx="788">
                  <c:v>-11.9163597927243</c:v>
                </c:pt>
                <c:pt idx="789">
                  <c:v>-11.9279026100998</c:v>
                </c:pt>
                <c:pt idx="790">
                  <c:v>-11.9394454524472</c:v>
                </c:pt>
                <c:pt idx="791">
                  <c:v>-11.950988319766</c:v>
                </c:pt>
                <c:pt idx="792">
                  <c:v>-11.962531212056</c:v>
                </c:pt>
                <c:pt idx="793">
                  <c:v>-11.9740741293166</c:v>
                </c:pt>
                <c:pt idx="794">
                  <c:v>-11.9856170715476</c:v>
                </c:pt>
                <c:pt idx="795">
                  <c:v>-11.9971600387485</c:v>
                </c:pt>
                <c:pt idx="796">
                  <c:v>-12.0087030309189</c:v>
                </c:pt>
                <c:pt idx="797">
                  <c:v>-12.0202460480584</c:v>
                </c:pt>
                <c:pt idx="798">
                  <c:v>-12.0317890901666</c:v>
                </c:pt>
                <c:pt idx="799">
                  <c:v>-12.0433321572432</c:v>
                </c:pt>
                <c:pt idx="800">
                  <c:v>-12.0548752492877</c:v>
                </c:pt>
                <c:pt idx="801">
                  <c:v>-12.0664183662998</c:v>
                </c:pt>
                <c:pt idx="802">
                  <c:v>-12.0779615082791</c:v>
                </c:pt>
                <c:pt idx="803">
                  <c:v>-12.089504675225</c:v>
                </c:pt>
                <c:pt idx="804">
                  <c:v>-12.1010478671374</c:v>
                </c:pt>
                <c:pt idx="805">
                  <c:v>-12.1125910840157</c:v>
                </c:pt>
                <c:pt idx="806">
                  <c:v>-12.1241343258596</c:v>
                </c:pt>
                <c:pt idx="807">
                  <c:v>-12.1356775926687</c:v>
                </c:pt>
                <c:pt idx="808">
                  <c:v>-12.1472208844425</c:v>
                </c:pt>
                <c:pt idx="809">
                  <c:v>-12.1587642011807</c:v>
                </c:pt>
                <c:pt idx="810">
                  <c:v>-12.170307542883</c:v>
                </c:pt>
                <c:pt idx="811">
                  <c:v>-12.1818509095488</c:v>
                </c:pt>
                <c:pt idx="812">
                  <c:v>-12.1933943011778</c:v>
                </c:pt>
                <c:pt idx="813">
                  <c:v>-12.2049377177697</c:v>
                </c:pt>
                <c:pt idx="814">
                  <c:v>-12.2164811593239</c:v>
                </c:pt>
                <c:pt idx="815">
                  <c:v>-12.2280246258402</c:v>
                </c:pt>
                <c:pt idx="816">
                  <c:v>-12.2395681173181</c:v>
                </c:pt>
                <c:pt idx="817">
                  <c:v>-12.2511116337573</c:v>
                </c:pt>
                <c:pt idx="818">
                  <c:v>-12.2626551751572</c:v>
                </c:pt>
                <c:pt idx="819">
                  <c:v>-12.2741987415177</c:v>
                </c:pt>
                <c:pt idx="820">
                  <c:v>-12.2857423328381</c:v>
                </c:pt>
                <c:pt idx="821">
                  <c:v>-12.2972859491182</c:v>
                </c:pt>
                <c:pt idx="822">
                  <c:v>-12.3088295903576</c:v>
                </c:pt>
                <c:pt idx="823">
                  <c:v>-12.3203732565558</c:v>
                </c:pt>
                <c:pt idx="824">
                  <c:v>-12.3319169477126</c:v>
                </c:pt>
                <c:pt idx="825">
                  <c:v>-12.3434606638273</c:v>
                </c:pt>
                <c:pt idx="826">
                  <c:v>-12.3550044048998</c:v>
                </c:pt>
                <c:pt idx="827">
                  <c:v>-12.3665481709295</c:v>
                </c:pt>
                <c:pt idx="828">
                  <c:v>-12.3780919619162</c:v>
                </c:pt>
                <c:pt idx="829">
                  <c:v>-12.3896357778593</c:v>
                </c:pt>
                <c:pt idx="830">
                  <c:v>-12.4011796187585</c:v>
                </c:pt>
                <c:pt idx="831">
                  <c:v>-12.4127234846135</c:v>
                </c:pt>
                <c:pt idx="832">
                  <c:v>-12.4242673754237</c:v>
                </c:pt>
                <c:pt idx="833">
                  <c:v>-12.4358112911889</c:v>
                </c:pt>
                <c:pt idx="834">
                  <c:v>-12.4473552319086</c:v>
                </c:pt>
                <c:pt idx="835">
                  <c:v>-12.4588991975824</c:v>
                </c:pt>
                <c:pt idx="836">
                  <c:v>-12.47044318821</c:v>
                </c:pt>
                <c:pt idx="837">
                  <c:v>-12.4819872037909</c:v>
                </c:pt>
                <c:pt idx="838">
                  <c:v>-12.4935312443247</c:v>
                </c:pt>
                <c:pt idx="839">
                  <c:v>-12.5050753098111</c:v>
                </c:pt>
                <c:pt idx="840">
                  <c:v>-12.5166194002496</c:v>
                </c:pt>
                <c:pt idx="841">
                  <c:v>-12.5281635156399</c:v>
                </c:pt>
                <c:pt idx="842">
                  <c:v>-12.5397076559816</c:v>
                </c:pt>
                <c:pt idx="843">
                  <c:v>-12.5512518212742</c:v>
                </c:pt>
                <c:pt idx="844">
                  <c:v>-12.5627960115174</c:v>
                </c:pt>
                <c:pt idx="845">
                  <c:v>-12.5743402267108</c:v>
                </c:pt>
                <c:pt idx="846">
                  <c:v>-12.585884466854</c:v>
                </c:pt>
                <c:pt idx="847">
                  <c:v>-12.5974287319466</c:v>
                </c:pt>
                <c:pt idx="848">
                  <c:v>-12.6089730219882</c:v>
                </c:pt>
                <c:pt idx="849">
                  <c:v>-12.6205173369784</c:v>
                </c:pt>
                <c:pt idx="850">
                  <c:v>-12.6320616769167</c:v>
                </c:pt>
                <c:pt idx="851">
                  <c:v>-12.643606041803</c:v>
                </c:pt>
                <c:pt idx="852">
                  <c:v>-12.6551504316366</c:v>
                </c:pt>
                <c:pt idx="853">
                  <c:v>-12.6666948464172</c:v>
                </c:pt>
                <c:pt idx="854">
                  <c:v>-12.6782392861445</c:v>
                </c:pt>
                <c:pt idx="855">
                  <c:v>-12.689783750818</c:v>
                </c:pt>
                <c:pt idx="856">
                  <c:v>-12.7013282404374</c:v>
                </c:pt>
                <c:pt idx="857">
                  <c:v>-12.7128727550022</c:v>
                </c:pt>
                <c:pt idx="858">
                  <c:v>-12.7244172945121</c:v>
                </c:pt>
                <c:pt idx="859">
                  <c:v>-12.7359618589666</c:v>
                </c:pt>
                <c:pt idx="860">
                  <c:v>-12.7475064483654</c:v>
                </c:pt>
                <c:pt idx="861">
                  <c:v>-12.759051062708</c:v>
                </c:pt>
                <c:pt idx="862">
                  <c:v>-12.7705957019942</c:v>
                </c:pt>
                <c:pt idx="863">
                  <c:v>-12.7821403662234</c:v>
                </c:pt>
                <c:pt idx="864">
                  <c:v>-12.7936850553953</c:v>
                </c:pt>
                <c:pt idx="865">
                  <c:v>-12.8052297695095</c:v>
                </c:pt>
                <c:pt idx="866">
                  <c:v>-12.8167745085655</c:v>
                </c:pt>
                <c:pt idx="867">
                  <c:v>-12.8283192725631</c:v>
                </c:pt>
                <c:pt idx="868">
                  <c:v>-12.8398640615018</c:v>
                </c:pt>
                <c:pt idx="869">
                  <c:v>-12.8514088753812</c:v>
                </c:pt>
                <c:pt idx="870">
                  <c:v>-12.862953714201</c:v>
                </c:pt>
                <c:pt idx="871">
                  <c:v>-12.8744985779606</c:v>
                </c:pt>
                <c:pt idx="872">
                  <c:v>-12.8860434666598</c:v>
                </c:pt>
                <c:pt idx="873">
                  <c:v>-12.8975883802981</c:v>
                </c:pt>
                <c:pt idx="874">
                  <c:v>-12.9091333188752</c:v>
                </c:pt>
                <c:pt idx="875">
                  <c:v>-12.9206782823906</c:v>
                </c:pt>
                <c:pt idx="876">
                  <c:v>-12.932223270844</c:v>
                </c:pt>
                <c:pt idx="877">
                  <c:v>-12.9437682842349</c:v>
                </c:pt>
                <c:pt idx="878">
                  <c:v>-12.955313322563</c:v>
                </c:pt>
                <c:pt idx="879">
                  <c:v>-12.9668583858278</c:v>
                </c:pt>
                <c:pt idx="880">
                  <c:v>-12.978403474029</c:v>
                </c:pt>
                <c:pt idx="881">
                  <c:v>-12.9899485871663</c:v>
                </c:pt>
                <c:pt idx="882">
                  <c:v>-13.001493725239</c:v>
                </c:pt>
                <c:pt idx="883">
                  <c:v>-13.013038888247</c:v>
                </c:pt>
                <c:pt idx="884">
                  <c:v>-13.0245840761898</c:v>
                </c:pt>
                <c:pt idx="885">
                  <c:v>-13.036129289067</c:v>
                </c:pt>
                <c:pt idx="886">
                  <c:v>-13.0476745268782</c:v>
                </c:pt>
                <c:pt idx="887">
                  <c:v>-13.059219789623</c:v>
                </c:pt>
                <c:pt idx="888">
                  <c:v>-13.070765077301</c:v>
                </c:pt>
                <c:pt idx="889">
                  <c:v>-13.0823103899119</c:v>
                </c:pt>
                <c:pt idx="890">
                  <c:v>-13.0938557274551</c:v>
                </c:pt>
                <c:pt idx="891">
                  <c:v>-13.1054010899305</c:v>
                </c:pt>
                <c:pt idx="892">
                  <c:v>-13.1169464773374</c:v>
                </c:pt>
                <c:pt idx="893">
                  <c:v>-13.1284918896756</c:v>
                </c:pt>
                <c:pt idx="894">
                  <c:v>-13.1400373269447</c:v>
                </c:pt>
                <c:pt idx="895">
                  <c:v>-13.1515827891442</c:v>
                </c:pt>
                <c:pt idx="896">
                  <c:v>-13.1631282762738</c:v>
                </c:pt>
                <c:pt idx="897">
                  <c:v>-13.174673788333</c:v>
                </c:pt>
                <c:pt idx="898">
                  <c:v>-13.1862193253215</c:v>
                </c:pt>
                <c:pt idx="899">
                  <c:v>-13.1977648872389</c:v>
                </c:pt>
                <c:pt idx="900">
                  <c:v>-13.2093104740848</c:v>
                </c:pt>
                <c:pt idx="901">
                  <c:v>-13.2208560858588</c:v>
                </c:pt>
                <c:pt idx="902">
                  <c:v>-13.2324017225605</c:v>
                </c:pt>
                <c:pt idx="903">
                  <c:v>-13.2439473841895</c:v>
                </c:pt>
                <c:pt idx="904">
                  <c:v>-13.2554930707453</c:v>
                </c:pt>
                <c:pt idx="905">
                  <c:v>-13.2670387822277</c:v>
                </c:pt>
                <c:pt idx="906">
                  <c:v>-13.2785845186363</c:v>
                </c:pt>
                <c:pt idx="907">
                  <c:v>-13.2901302799705</c:v>
                </c:pt>
                <c:pt idx="908">
                  <c:v>-13.3016760662301</c:v>
                </c:pt>
                <c:pt idx="909">
                  <c:v>-13.3132218774146</c:v>
                </c:pt>
                <c:pt idx="910">
                  <c:v>-13.3247677135237</c:v>
                </c:pt>
                <c:pt idx="911">
                  <c:v>-13.3363135745569</c:v>
                </c:pt>
                <c:pt idx="912">
                  <c:v>-13.3478594605138</c:v>
                </c:pt>
                <c:pt idx="913">
                  <c:v>-13.3594053713942</c:v>
                </c:pt>
                <c:pt idx="914">
                  <c:v>-13.3709513071975</c:v>
                </c:pt>
                <c:pt idx="915">
                  <c:v>-13.3824972679233</c:v>
                </c:pt>
                <c:pt idx="916">
                  <c:v>-13.3940432535714</c:v>
                </c:pt>
                <c:pt idx="917">
                  <c:v>-13.4055892641412</c:v>
                </c:pt>
                <c:pt idx="918">
                  <c:v>-13.4171352996324</c:v>
                </c:pt>
                <c:pt idx="919">
                  <c:v>-13.4286813600446</c:v>
                </c:pt>
                <c:pt idx="920">
                  <c:v>-13.4402274453774</c:v>
                </c:pt>
                <c:pt idx="921">
                  <c:v>-13.4517735556304</c:v>
                </c:pt>
                <c:pt idx="922">
                  <c:v>-13.4633196908032</c:v>
                </c:pt>
                <c:pt idx="923">
                  <c:v>-13.4748658508954</c:v>
                </c:pt>
                <c:pt idx="924">
                  <c:v>-13.4864120359067</c:v>
                </c:pt>
                <c:pt idx="925">
                  <c:v>-13.4979582458365</c:v>
                </c:pt>
                <c:pt idx="926">
                  <c:v>-13.5095044806847</c:v>
                </c:pt>
                <c:pt idx="927">
                  <c:v>-13.5210507404506</c:v>
                </c:pt>
                <c:pt idx="928">
                  <c:v>-13.532597025134</c:v>
                </c:pt>
                <c:pt idx="929">
                  <c:v>-13.5441433347344</c:v>
                </c:pt>
                <c:pt idx="930">
                  <c:v>-13.5556896692515</c:v>
                </c:pt>
                <c:pt idx="931">
                  <c:v>-13.5672360286849</c:v>
                </c:pt>
                <c:pt idx="932">
                  <c:v>-13.5787824130341</c:v>
                </c:pt>
                <c:pt idx="933">
                  <c:v>-13.5903288222988</c:v>
                </c:pt>
                <c:pt idx="934">
                  <c:v>-13.6018752564786</c:v>
                </c:pt>
                <c:pt idx="935">
                  <c:v>-13.6134217155731</c:v>
                </c:pt>
                <c:pt idx="936">
                  <c:v>-13.6249681995819</c:v>
                </c:pt>
                <c:pt idx="937">
                  <c:v>-13.6365147085045</c:v>
                </c:pt>
                <c:pt idx="938">
                  <c:v>-13.6480612423407</c:v>
                </c:pt>
                <c:pt idx="939">
                  <c:v>-13.6596078010899</c:v>
                </c:pt>
                <c:pt idx="940">
                  <c:v>-13.6711543847519</c:v>
                </c:pt>
                <c:pt idx="941">
                  <c:v>-13.6827009933262</c:v>
                </c:pt>
                <c:pt idx="942">
                  <c:v>-13.6942476268124</c:v>
                </c:pt>
                <c:pt idx="943">
                  <c:v>-13.7057942852102</c:v>
                </c:pt>
                <c:pt idx="944">
                  <c:v>-13.7173409685191</c:v>
                </c:pt>
                <c:pt idx="945">
                  <c:v>-13.7288876767387</c:v>
                </c:pt>
                <c:pt idx="946">
                  <c:v>-13.7404344098687</c:v>
                </c:pt>
                <c:pt idx="947">
                  <c:v>-13.7519811679086</c:v>
                </c:pt>
                <c:pt idx="948">
                  <c:v>-13.7635279508581</c:v>
                </c:pt>
                <c:pt idx="949">
                  <c:v>-13.7750747587168</c:v>
                </c:pt>
                <c:pt idx="950">
                  <c:v>-13.7866215914842</c:v>
                </c:pt>
                <c:pt idx="951">
                  <c:v>-13.79816844916</c:v>
                </c:pt>
                <c:pt idx="952">
                  <c:v>-13.8097153317438</c:v>
                </c:pt>
                <c:pt idx="953">
                  <c:v>-13.8212622392352</c:v>
                </c:pt>
                <c:pt idx="954">
                  <c:v>-13.8328091716338</c:v>
                </c:pt>
                <c:pt idx="955">
                  <c:v>-13.8443561289391</c:v>
                </c:pt>
                <c:pt idx="956">
                  <c:v>-13.8559031111509</c:v>
                </c:pt>
                <c:pt idx="957">
                  <c:v>-13.8674501182687</c:v>
                </c:pt>
                <c:pt idx="958">
                  <c:v>-13.8789971502921</c:v>
                </c:pt>
                <c:pt idx="959">
                  <c:v>-13.8905442072207</c:v>
                </c:pt>
                <c:pt idx="960">
                  <c:v>-13.9020912890542</c:v>
                </c:pt>
                <c:pt idx="961">
                  <c:v>-13.9136383957921</c:v>
                </c:pt>
                <c:pt idx="962">
                  <c:v>-13.925185527434</c:v>
                </c:pt>
                <c:pt idx="963">
                  <c:v>-13.9367326839796</c:v>
                </c:pt>
                <c:pt idx="964">
                  <c:v>-13.9482798654285</c:v>
                </c:pt>
                <c:pt idx="965">
                  <c:v>-13.9598270717801</c:v>
                </c:pt>
                <c:pt idx="966">
                  <c:v>-13.9713743030343</c:v>
                </c:pt>
                <c:pt idx="967">
                  <c:v>-13.9829215591905</c:v>
                </c:pt>
                <c:pt idx="968">
                  <c:v>-13.9944688402484</c:v>
                </c:pt>
                <c:pt idx="969">
                  <c:v>-14.0060161462076</c:v>
                </c:pt>
                <c:pt idx="970">
                  <c:v>-14.0175634770677</c:v>
                </c:pt>
                <c:pt idx="971">
                  <c:v>-14.0291108328283</c:v>
                </c:pt>
                <c:pt idx="972">
                  <c:v>-14.0406582134889</c:v>
                </c:pt>
                <c:pt idx="973">
                  <c:v>-14.0522056190493</c:v>
                </c:pt>
                <c:pt idx="974">
                  <c:v>-14.063753049509</c:v>
                </c:pt>
                <c:pt idx="975">
                  <c:v>-14.0753005048676</c:v>
                </c:pt>
                <c:pt idx="976">
                  <c:v>-14.0868479851247</c:v>
                </c:pt>
                <c:pt idx="977">
                  <c:v>-14.0983954902799</c:v>
                </c:pt>
                <c:pt idx="978">
                  <c:v>-14.1099430203329</c:v>
                </c:pt>
                <c:pt idx="979">
                  <c:v>-14.1214905752832</c:v>
                </c:pt>
                <c:pt idx="980">
                  <c:v>-14.1330381551305</c:v>
                </c:pt>
                <c:pt idx="981">
                  <c:v>-14.1445857598743</c:v>
                </c:pt>
                <c:pt idx="982">
                  <c:v>-14.1561333895143</c:v>
                </c:pt>
                <c:pt idx="983">
                  <c:v>-14.16768104405</c:v>
                </c:pt>
                <c:pt idx="984">
                  <c:v>-14.1792287234811</c:v>
                </c:pt>
                <c:pt idx="985">
                  <c:v>-14.1907764278072</c:v>
                </c:pt>
                <c:pt idx="986">
                  <c:v>-14.2023241570279</c:v>
                </c:pt>
                <c:pt idx="987">
                  <c:v>-14.2138719111427</c:v>
                </c:pt>
                <c:pt idx="988">
                  <c:v>-14.2254196901514</c:v>
                </c:pt>
                <c:pt idx="989">
                  <c:v>-14.2369674940534</c:v>
                </c:pt>
                <c:pt idx="990">
                  <c:v>-14.2485153228485</c:v>
                </c:pt>
                <c:pt idx="991">
                  <c:v>-14.2600631765361</c:v>
                </c:pt>
                <c:pt idx="992">
                  <c:v>-14.271611055116</c:v>
                </c:pt>
                <c:pt idx="993">
                  <c:v>-14.2831589585877</c:v>
                </c:pt>
                <c:pt idx="994">
                  <c:v>-14.2947068869509</c:v>
                </c:pt>
                <c:pt idx="995">
                  <c:v>-14.306254840205</c:v>
                </c:pt>
                <c:pt idx="996">
                  <c:v>-14.3178028183498</c:v>
                </c:pt>
                <c:pt idx="997">
                  <c:v>-14.3293508213849</c:v>
                </c:pt>
                <c:pt idx="998">
                  <c:v>-14.3408988493098</c:v>
                </c:pt>
                <c:pt idx="999">
                  <c:v>-14.3524469021241</c:v>
                </c:pt>
                <c:pt idx="1000">
                  <c:v>-14.3639949798276</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0.000142702521077708</c:v>
                </c:pt>
                <c:pt idx="2">
                  <c:v>0.00120158907755714</c:v>
                </c:pt>
                <c:pt idx="3">
                  <c:v>0.00419179677730875</c:v>
                </c:pt>
                <c:pt idx="4">
                  <c:v>0.00945748075444779</c:v>
                </c:pt>
                <c:pt idx="5">
                  <c:v>0.0169181396636682</c:v>
                </c:pt>
                <c:pt idx="6">
                  <c:v>0.0265176555434008</c:v>
                </c:pt>
                <c:pt idx="7">
                  <c:v>0.0382489321105681</c:v>
                </c:pt>
                <c:pt idx="8">
                  <c:v>0.0521294193143606</c:v>
                </c:pt>
                <c:pt idx="9">
                  <c:v>0.0681765735565757</c:v>
                </c:pt>
                <c:pt idx="10">
                  <c:v>0.0864078573065882</c:v>
                </c:pt>
                <c:pt idx="11">
                  <c:v>0.106838188865451</c:v>
                </c:pt>
                <c:pt idx="12">
                  <c:v>0.129477385512674</c:v>
                </c:pt>
                <c:pt idx="13">
                  <c:v>0.154332703229742</c:v>
                </c:pt>
                <c:pt idx="14">
                  <c:v>0.181411383103548</c:v>
                </c:pt>
                <c:pt idx="15">
                  <c:v>0.210720651063163</c:v>
                </c:pt>
                <c:pt idx="16">
                  <c:v>0.24226771761588</c:v>
                </c:pt>
                <c:pt idx="17">
                  <c:v>0.276059777582553</c:v>
                </c:pt>
                <c:pt idx="18">
                  <c:v>0.312104009832246</c:v>
                </c:pt>
                <c:pt idx="19">
                  <c:v>0.350407577016219</c:v>
                </c:pt>
                <c:pt idx="20">
                  <c:v>0.390977625301283</c:v>
                </c:pt>
                <c:pt idx="21">
                  <c:v>0.433820260885645</c:v>
                </c:pt>
                <c:pt idx="22">
                  <c:v>0.478939523925093</c:v>
                </c:pt>
                <c:pt idx="23">
                  <c:v>0.526338407764063</c:v>
                </c:pt>
                <c:pt idx="24">
                  <c:v>0.576019880813362</c:v>
                </c:pt>
                <c:pt idx="25">
                  <c:v>0.627986886397614</c:v>
                </c:pt>
                <c:pt idx="26">
                  <c:v>0.682242342603648</c:v>
                </c:pt>
                <c:pt idx="27">
                  <c:v>0.738789142129849</c:v>
                </c:pt>
                <c:pt idx="28">
                  <c:v>0.797714091283294</c:v>
                </c:pt>
                <c:pt idx="29">
                  <c:v>0.859107358255577</c:v>
                </c:pt>
                <c:pt idx="30">
                  <c:v>0.922978483852036</c:v>
                </c:pt>
                <c:pt idx="31">
                  <c:v>0.98933682986653</c:v>
                </c:pt>
                <c:pt idx="32">
                  <c:v>1.05819153259397</c:v>
                </c:pt>
                <c:pt idx="33">
                  <c:v>1.12955151550531</c:v>
                </c:pt>
                <c:pt idx="34">
                  <c:v>1.20342550070062</c:v>
                </c:pt>
                <c:pt idx="35">
                  <c:v>1.27982201929056</c:v>
                </c:pt>
                <c:pt idx="36">
                  <c:v>1.35874942083454</c:v>
                </c:pt>
                <c:pt idx="37">
                  <c:v>1.44021588194467</c:v>
                </c:pt>
                <c:pt idx="38">
                  <c:v>1.52422941414984</c:v>
                </c:pt>
                <c:pt idx="39">
                  <c:v>1.61079787110082</c:v>
                </c:pt>
                <c:pt idx="40">
                  <c:v>1.69992895518691</c:v>
                </c:pt>
                <c:pt idx="41">
                  <c:v>1.79162940280806</c:v>
                </c:pt>
                <c:pt idx="42">
                  <c:v>1.88590416272022</c:v>
                </c:pt>
                <c:pt idx="43">
                  <c:v>1.98275721360428</c:v>
                </c:pt>
                <c:pt idx="44">
                  <c:v>2.08219238801924</c:v>
                </c:pt>
                <c:pt idx="45">
                  <c:v>2.1842133774686</c:v>
                </c:pt>
                <c:pt idx="46">
                  <c:v>2.28882373711154</c:v>
                </c:pt>
                <c:pt idx="47">
                  <c:v>2.39602689015126</c:v>
                </c:pt>
                <c:pt idx="48">
                  <c:v>2.50582613192993</c:v>
                </c:pt>
                <c:pt idx="49">
                  <c:v>2.61822463375571</c:v>
                </c:pt>
                <c:pt idx="50">
                  <c:v>2.73322544648536</c:v>
                </c:pt>
                <c:pt idx="51">
                  <c:v>2.85083150388283</c:v>
                </c:pt>
                <c:pt idx="52">
                  <c:v>2.97104562577249</c:v>
                </c:pt>
                <c:pt idx="53">
                  <c:v>3.09387052100375</c:v>
                </c:pt>
                <c:pt idx="54">
                  <c:v>3.21930879024202</c:v>
                </c:pt>
                <c:pt idx="55">
                  <c:v>3.3473629285997</c:v>
                </c:pt>
                <c:pt idx="56">
                  <c:v>3.47803532811939</c:v>
                </c:pt>
                <c:pt idx="57">
                  <c:v>3.61132828012061</c:v>
                </c:pt>
                <c:pt idx="58">
                  <c:v>3.74724397742008</c:v>
                </c:pt>
                <c:pt idx="59">
                  <c:v>3.88578451643479</c:v>
                </c:pt>
                <c:pt idx="60">
                  <c:v>4.02695189917639</c:v>
                </c:pt>
                <c:pt idx="61">
                  <c:v>4.17074803514441</c:v>
                </c:pt>
                <c:pt idx="62">
                  <c:v>4.31717474312555</c:v>
                </c:pt>
                <c:pt idx="63">
                  <c:v>4.46623375290529</c:v>
                </c:pt>
                <c:pt idx="64">
                  <c:v>4.61792670689786</c:v>
                </c:pt>
                <c:pt idx="65">
                  <c:v>4.77225516170005</c:v>
                </c:pt>
                <c:pt idx="66">
                  <c:v>4.92922058957369</c:v>
                </c:pt>
                <c:pt idx="67">
                  <c:v>5.08882437986159</c:v>
                </c:pt>
                <c:pt idx="68">
                  <c:v>5.25106784034109</c:v>
                </c:pt>
                <c:pt idx="69">
                  <c:v>5.41595219851925</c:v>
                </c:pt>
                <c:pt idx="70">
                  <c:v>5.58347860287317</c:v>
                </c:pt>
                <c:pt idx="71">
                  <c:v>5.75364812403898</c:v>
                </c:pt>
                <c:pt idx="72">
                  <c:v>5.92646175595255</c:v>
                </c:pt>
                <c:pt idx="73">
                  <c:v>6.10192041694473</c:v>
                </c:pt>
                <c:pt idx="74">
                  <c:v>6.28002495079404</c:v>
                </c:pt>
                <c:pt idx="75">
                  <c:v>6.46077612773908</c:v>
                </c:pt>
                <c:pt idx="76">
                  <c:v>6.64417464545314</c:v>
                </c:pt>
                <c:pt idx="77">
                  <c:v>6.83022112998319</c:v>
                </c:pt>
                <c:pt idx="78">
                  <c:v>7.01891613665516</c:v>
                </c:pt>
                <c:pt idx="79">
                  <c:v>7.2102601509476</c:v>
                </c:pt>
                <c:pt idx="80">
                  <c:v>7.40425358933527</c:v>
                </c:pt>
                <c:pt idx="81">
                  <c:v>7.60089592107714</c:v>
                </c:pt>
                <c:pt idx="82">
                  <c:v>7.80018478602092</c:v>
                </c:pt>
                <c:pt idx="83">
                  <c:v>8.00211686945928</c:v>
                </c:pt>
                <c:pt idx="84">
                  <c:v>8.20668878106523</c:v>
                </c:pt>
                <c:pt idx="85">
                  <c:v>8.41389705589945</c:v>
                </c:pt>
                <c:pt idx="86">
                  <c:v>8.62373815539075</c:v>
                </c:pt>
                <c:pt idx="87">
                  <c:v>8.83620846829117</c:v>
                </c:pt>
                <c:pt idx="88">
                  <c:v>9.05130431160712</c:v>
                </c:pt>
                <c:pt idx="89">
                  <c:v>9.26902193150768</c:v>
                </c:pt>
                <c:pt idx="90">
                  <c:v>9.48935750421138</c:v>
                </c:pt>
                <c:pt idx="91">
                  <c:v>9.71230674489727</c:v>
                </c:pt>
                <c:pt idx="92">
                  <c:v>9.93786451502275</c:v>
                </c:pt>
                <c:pt idx="93">
                  <c:v>10.1660252131983</c:v>
                </c:pt>
                <c:pt idx="94">
                  <c:v>10.3967831676797</c:v>
                </c:pt>
                <c:pt idx="95">
                  <c:v>10.6301326372849</c:v>
                </c:pt>
                <c:pt idx="96">
                  <c:v>10.8660678122921</c:v>
                </c:pt>
                <c:pt idx="97">
                  <c:v>11.1045828153218</c:v>
                </c:pt>
                <c:pt idx="98">
                  <c:v>11.3456717022026</c:v>
                </c:pt>
                <c:pt idx="99">
                  <c:v>11.5893284628218</c:v>
                </c:pt>
                <c:pt idx="100">
                  <c:v>11.8355470219611</c:v>
                </c:pt>
                <c:pt idx="101">
                  <c:v>12.0843211769064</c:v>
                </c:pt>
                <c:pt idx="102">
                  <c:v>12.3356445348181</c:v>
                </c:pt>
                <c:pt idx="103">
                  <c:v>12.589510576474</c:v>
                </c:pt>
                <c:pt idx="104">
                  <c:v>12.8459127202356</c:v>
                </c:pt>
                <c:pt idx="105">
                  <c:v>13.1048443228395</c:v>
                </c:pt>
                <c:pt idx="106">
                  <c:v>13.3662986801765</c:v>
                </c:pt>
                <c:pt idx="107">
                  <c:v>13.6302690280603</c:v>
                </c:pt>
                <c:pt idx="108">
                  <c:v>13.8967485429859</c:v>
                </c:pt>
                <c:pt idx="109">
                  <c:v>14.165730342878</c:v>
                </c:pt>
                <c:pt idx="110">
                  <c:v>14.4372074878299</c:v>
                </c:pt>
                <c:pt idx="111">
                  <c:v>14.7111737141279</c:v>
                </c:pt>
                <c:pt idx="112">
                  <c:v>14.9876241706157</c:v>
                </c:pt>
                <c:pt idx="113">
                  <c:v>15.2665546887501</c:v>
                </c:pt>
                <c:pt idx="114">
                  <c:v>15.5479610502025</c:v>
                </c:pt>
                <c:pt idx="115">
                  <c:v>15.8318389873639</c:v>
                </c:pt>
                <c:pt idx="116">
                  <c:v>16.1181841838429</c:v>
                </c:pt>
                <c:pt idx="117">
                  <c:v>16.4069922749594</c:v>
                </c:pt>
                <c:pt idx="118">
                  <c:v>16.6982588482332</c:v>
                </c:pt>
                <c:pt idx="119">
                  <c:v>16.9919794438672</c:v>
                </c:pt>
                <c:pt idx="120">
                  <c:v>17.2881495552267</c:v>
                </c:pt>
                <c:pt idx="121">
                  <c:v>17.5867634045956</c:v>
                </c:pt>
                <c:pt idx="122">
                  <c:v>17.8878127153996</c:v>
                </c:pt>
                <c:pt idx="123">
                  <c:v>18.1912879336256</c:v>
                </c:pt>
                <c:pt idx="124">
                  <c:v>18.4971794529213</c:v>
                </c:pt>
                <c:pt idx="125">
                  <c:v>18.805477615365</c:v>
                </c:pt>
                <c:pt idx="126">
                  <c:v>19.1161727122271</c:v>
                </c:pt>
                <c:pt idx="127">
                  <c:v>19.4292549847261</c:v>
                </c:pt>
                <c:pt idx="128">
                  <c:v>19.7447146247774</c:v>
                </c:pt>
                <c:pt idx="129">
                  <c:v>20.0625417757364</c:v>
                </c:pt>
                <c:pt idx="130">
                  <c:v>20.3827265331347</c:v>
                </c:pt>
                <c:pt idx="131">
                  <c:v>20.7052586227036</c:v>
                </c:pt>
                <c:pt idx="132">
                  <c:v>21.0301270775729</c:v>
                </c:pt>
                <c:pt idx="133">
                  <c:v>21.3573205608891</c:v>
                </c:pt>
                <c:pt idx="134">
                  <c:v>21.6868276892858</c:v>
                </c:pt>
                <c:pt idx="135">
                  <c:v>22.0186370336749</c:v>
                </c:pt>
                <c:pt idx="136">
                  <c:v>22.35273712003</c:v>
                </c:pt>
                <c:pt idx="137">
                  <c:v>22.6891164301641</c:v>
                </c:pt>
                <c:pt idx="138">
                  <c:v>23.0277634025017</c:v>
                </c:pt>
                <c:pt idx="139">
                  <c:v>23.3686664328444</c:v>
                </c:pt>
                <c:pt idx="140">
                  <c:v>23.7118138751304</c:v>
                </c:pt>
                <c:pt idx="141">
                  <c:v>24.057190160324</c:v>
                </c:pt>
                <c:pt idx="142">
                  <c:v>24.4047719068006</c:v>
                </c:pt>
                <c:pt idx="143">
                  <c:v>24.7545317954677</c:v>
                </c:pt>
                <c:pt idx="144">
                  <c:v>25.1064424539388</c:v>
                </c:pt>
                <c:pt idx="145">
                  <c:v>25.4604764583802</c:v>
                </c:pt>
                <c:pt idx="146">
                  <c:v>25.8166063353356</c:v>
                </c:pt>
                <c:pt idx="147">
                  <c:v>26.1748045635305</c:v>
                </c:pt>
                <c:pt idx="148">
                  <c:v>26.5350435756551</c:v>
                </c:pt>
                <c:pt idx="149">
                  <c:v>26.897295760127</c:v>
                </c:pt>
                <c:pt idx="150">
                  <c:v>27.2615334628326</c:v>
                </c:pt>
                <c:pt idx="151">
                  <c:v>27.6277289888487</c:v>
                </c:pt>
                <c:pt idx="152">
                  <c:v>27.995854604143</c:v>
                </c:pt>
                <c:pt idx="153">
                  <c:v>28.3658825372539</c:v>
                </c:pt>
                <c:pt idx="154">
                  <c:v>28.7377849809511</c:v>
                </c:pt>
                <c:pt idx="155">
                  <c:v>29.1115340938744</c:v>
                </c:pt>
                <c:pt idx="156">
                  <c:v>29.4870834635344</c:v>
                </c:pt>
                <c:pt idx="157">
                  <c:v>29.864349542883</c:v>
                </c:pt>
                <c:pt idx="158">
                  <c:v>30.2432301787011</c:v>
                </c:pt>
                <c:pt idx="159">
                  <c:v>30.6236231710426</c:v>
                </c:pt>
                <c:pt idx="160">
                  <c:v>31.0054262840037</c:v>
                </c:pt>
                <c:pt idx="161">
                  <c:v>31.388513625293</c:v>
                </c:pt>
                <c:pt idx="162">
                  <c:v>31.7727120096094</c:v>
                </c:pt>
                <c:pt idx="163">
                  <c:v>32.1578268703005</c:v>
                </c:pt>
                <c:pt idx="164">
                  <c:v>32.5436681981945</c:v>
                </c:pt>
                <c:pt idx="165">
                  <c:v>32.9300709341462</c:v>
                </c:pt>
                <c:pt idx="166">
                  <c:v>33.3169153570489</c:v>
                </c:pt>
                <c:pt idx="167">
                  <c:v>33.7040872368924</c:v>
                </c:pt>
                <c:pt idx="168">
                  <c:v>34.0914504449235</c:v>
                </c:pt>
                <c:pt idx="169">
                  <c:v>34.4788286096299</c:v>
                </c:pt>
                <c:pt idx="170">
                  <c:v>34.8659992824926</c:v>
                </c:pt>
                <c:pt idx="171">
                  <c:v>35.2528067468829</c:v>
                </c:pt>
                <c:pt idx="172">
                  <c:v>35.6392123409729</c:v>
                </c:pt>
                <c:pt idx="173">
                  <c:v>36.0252171744968</c:v>
                </c:pt>
                <c:pt idx="174">
                  <c:v>36.4108223528742</c:v>
                </c:pt>
                <c:pt idx="175">
                  <c:v>36.7960289772321</c:v>
                </c:pt>
                <c:pt idx="176">
                  <c:v>37.1808381444281</c:v>
                </c:pt>
                <c:pt idx="177">
                  <c:v>37.565250947073</c:v>
                </c:pt>
                <c:pt idx="178">
                  <c:v>37.9492684735529</c:v>
                </c:pt>
                <c:pt idx="179">
                  <c:v>38.3328918080519</c:v>
                </c:pt>
                <c:pt idx="180">
                  <c:v>38.7161220305737</c:v>
                </c:pt>
                <c:pt idx="181">
                  <c:v>39.0989602169643</c:v>
                </c:pt>
                <c:pt idx="182">
                  <c:v>39.4814074389331</c:v>
                </c:pt>
                <c:pt idx="183">
                  <c:v>39.863464764075</c:v>
                </c:pt>
                <c:pt idx="184">
                  <c:v>40.245133255892</c:v>
                </c:pt>
                <c:pt idx="185">
                  <c:v>40.6264139738144</c:v>
                </c:pt>
                <c:pt idx="186">
                  <c:v>41.0073079732223</c:v>
                </c:pt>
                <c:pt idx="187">
                  <c:v>41.3878163054663</c:v>
                </c:pt>
                <c:pt idx="188">
                  <c:v>41.7679400178892</c:v>
                </c:pt>
                <c:pt idx="189">
                  <c:v>42.1476801538461</c:v>
                </c:pt>
                <c:pt idx="190">
                  <c:v>42.5270377527258</c:v>
                </c:pt>
                <c:pt idx="191">
                  <c:v>42.9060138499707</c:v>
                </c:pt>
                <c:pt idx="192">
                  <c:v>43.284609477098</c:v>
                </c:pt>
                <c:pt idx="193">
                  <c:v>43.6628256617193</c:v>
                </c:pt>
                <c:pt idx="194">
                  <c:v>44.0406634275615</c:v>
                </c:pt>
                <c:pt idx="195">
                  <c:v>44.418123794486</c:v>
                </c:pt>
                <c:pt idx="196">
                  <c:v>44.7952077785097</c:v>
                </c:pt>
                <c:pt idx="197">
                  <c:v>45.1719163918237</c:v>
                </c:pt>
                <c:pt idx="198">
                  <c:v>45.5482506428138</c:v>
                </c:pt>
                <c:pt idx="199">
                  <c:v>45.9242115360796</c:v>
                </c:pt>
                <c:pt idx="200">
                  <c:v>46.2998000724542</c:v>
                </c:pt>
                <c:pt idx="201">
                  <c:v>50.0352830392682</c:v>
                </c:pt>
                <c:pt idx="202">
                  <c:v>53.7341720407277</c:v>
                </c:pt>
                <c:pt idx="203">
                  <c:v>57.3974335095521</c:v>
                </c:pt>
                <c:pt idx="204">
                  <c:v>61.0259986255886</c:v>
                </c:pt>
                <c:pt idx="205">
                  <c:v>64.6207650586916</c:v>
                </c:pt>
                <c:pt idx="206">
                  <c:v>68.1825986047871</c:v>
                </c:pt>
                <c:pt idx="207">
                  <c:v>71.7123347229263</c:v>
                </c:pt>
                <c:pt idx="208">
                  <c:v>75.2107799804765</c:v>
                </c:pt>
                <c:pt idx="209">
                  <c:v>78.678713412995</c:v>
                </c:pt>
                <c:pt idx="210">
                  <c:v>82.1168878047977</c:v>
                </c:pt>
                <c:pt idx="211">
                  <c:v>85.5260308957372</c:v>
                </c:pt>
                <c:pt idx="212">
                  <c:v>88.906846519267</c:v>
                </c:pt>
                <c:pt idx="213">
                  <c:v>92.2600156764589</c:v>
                </c:pt>
                <c:pt idx="214">
                  <c:v>95.5861975502763</c:v>
                </c:pt>
                <c:pt idx="215">
                  <c:v>98.8860304640715</c:v>
                </c:pt>
                <c:pt idx="216">
                  <c:v>102.160132787967</c:v>
                </c:pt>
                <c:pt idx="217">
                  <c:v>105.409103796503</c:v>
                </c:pt>
                <c:pt idx="218">
                  <c:v>108.633524480684</c:v>
                </c:pt>
                <c:pt idx="219">
                  <c:v>111.833958317319</c:v>
                </c:pt>
                <c:pt idx="220">
                  <c:v>115.010951998323</c:v>
                </c:pt>
                <c:pt idx="221">
                  <c:v>118.165036122499</c:v>
                </c:pt>
                <c:pt idx="222">
                  <c:v>121.296725852071</c:v>
                </c:pt>
                <c:pt idx="223">
                  <c:v>124.406521536136</c:v>
                </c:pt>
                <c:pt idx="224">
                  <c:v>127.494909303019</c:v>
                </c:pt>
                <c:pt idx="225">
                  <c:v>130.562361623378</c:v>
                </c:pt>
                <c:pt idx="226">
                  <c:v>133.609337845792</c:v>
                </c:pt>
                <c:pt idx="227">
                  <c:v>136.636284706429</c:v>
                </c:pt>
                <c:pt idx="228">
                  <c:v>139.643636814303</c:v>
                </c:pt>
                <c:pt idx="229">
                  <c:v>142.631817113497</c:v>
                </c:pt>
                <c:pt idx="230">
                  <c:v>145.601237323677</c:v>
                </c:pt>
                <c:pt idx="231">
                  <c:v>148.552298360097</c:v>
                </c:pt>
                <c:pt idx="232">
                  <c:v>151.485390734246</c:v>
                </c:pt>
                <c:pt idx="233">
                  <c:v>154.400894936187</c:v>
                </c:pt>
                <c:pt idx="234">
                  <c:v>157.299181799595</c:v>
                </c:pt>
                <c:pt idx="235">
                  <c:v>160.180612850427</c:v>
                </c:pt>
                <c:pt idx="236">
                  <c:v>163.045540640082</c:v>
                </c:pt>
                <c:pt idx="237">
                  <c:v>165.894309063891</c:v>
                </c:pt>
                <c:pt idx="238">
                  <c:v>168.727253665692</c:v>
                </c:pt>
                <c:pt idx="239">
                  <c:v>171.544701929206</c:v>
                </c:pt>
                <c:pt idx="240">
                  <c:v>174.346973556911</c:v>
                </c:pt>
                <c:pt idx="241">
                  <c:v>177.13438073703</c:v>
                </c:pt>
                <c:pt idx="242">
                  <c:v>179.90722839923</c:v>
                </c:pt>
                <c:pt idx="243">
                  <c:v>182.665814459617</c:v>
                </c:pt>
                <c:pt idx="244">
                  <c:v>185.410430055527</c:v>
                </c:pt>
                <c:pt idx="245">
                  <c:v>188.141359770623</c:v>
                </c:pt>
                <c:pt idx="246">
                  <c:v>190.858881850772</c:v>
                </c:pt>
                <c:pt idx="247">
                  <c:v>193.563268411133</c:v>
                </c:pt>
                <c:pt idx="248">
                  <c:v>196.254785634869</c:v>
                </c:pt>
                <c:pt idx="249">
                  <c:v>198.933693963888</c:v>
                </c:pt>
                <c:pt idx="250">
                  <c:v>201.600248281967</c:v>
                </c:pt>
                <c:pt idx="251">
                  <c:v>204.254698090614</c:v>
                </c:pt>
                <c:pt idx="252">
                  <c:v>206.897287677996</c:v>
                </c:pt>
                <c:pt idx="253">
                  <c:v>209.52825628124</c:v>
                </c:pt>
                <c:pt idx="254">
                  <c:v>212.14783824239</c:v>
                </c:pt>
                <c:pt idx="255">
                  <c:v>214.756263158319</c:v>
                </c:pt>
                <c:pt idx="256">
                  <c:v>217.353756024822</c:v>
                </c:pt>
                <c:pt idx="257">
                  <c:v>219.940537375162</c:v>
                </c:pt>
                <c:pt idx="258">
                  <c:v>222.516823413282</c:v>
                </c:pt>
                <c:pt idx="259">
                  <c:v>225.082826141911</c:v>
                </c:pt>
                <c:pt idx="260">
                  <c:v>227.638753485754</c:v>
                </c:pt>
                <c:pt idx="261">
                  <c:v>230.184809409976</c:v>
                </c:pt>
                <c:pt idx="262">
                  <c:v>232.721194034142</c:v>
                </c:pt>
                <c:pt idx="263">
                  <c:v>235.248103741798</c:v>
                </c:pt>
                <c:pt idx="264">
                  <c:v>237.765731285838</c:v>
                </c:pt>
                <c:pt idx="265">
                  <c:v>240.274265889821</c:v>
                </c:pt>
                <c:pt idx="266">
                  <c:v>242.773893345357</c:v>
                </c:pt>
                <c:pt idx="267">
                  <c:v>245.264796105717</c:v>
                </c:pt>
                <c:pt idx="268">
                  <c:v>247.747153375761</c:v>
                </c:pt>
                <c:pt idx="269">
                  <c:v>250.221141198316</c:v>
                </c:pt>
                <c:pt idx="270">
                  <c:v>252.686932537095</c:v>
                </c:pt>
                <c:pt idx="271">
                  <c:v>255.144697356256</c:v>
                </c:pt>
                <c:pt idx="272">
                  <c:v>257.59460269669</c:v>
                </c:pt>
                <c:pt idx="273">
                  <c:v>260.036812749105</c:v>
                </c:pt>
                <c:pt idx="274">
                  <c:v>262.471488923991</c:v>
                </c:pt>
                <c:pt idx="275">
                  <c:v>264.898789918512</c:v>
                </c:pt>
                <c:pt idx="276">
                  <c:v>267.318871780393</c:v>
                </c:pt>
                <c:pt idx="277">
                  <c:v>269.73188796883</c:v>
                </c:pt>
                <c:pt idx="278">
                  <c:v>272.137989412477</c:v>
                </c:pt>
                <c:pt idx="279">
                  <c:v>274.537324564526</c:v>
                </c:pt>
                <c:pt idx="280">
                  <c:v>276.930039454904</c:v>
                </c:pt>
                <c:pt idx="281">
                  <c:v>279.316277739591</c:v>
                </c:pt>
                <c:pt idx="282">
                  <c:v>281.696180747073</c:v>
                </c:pt>
                <c:pt idx="283">
                  <c:v>284.069887521906</c:v>
                </c:pt>
                <c:pt idx="284">
                  <c:v>286.437534865384</c:v>
                </c:pt>
                <c:pt idx="285">
                  <c:v>288.799257373266</c:v>
                </c:pt>
                <c:pt idx="286">
                  <c:v>291.155187470548</c:v>
                </c:pt>
                <c:pt idx="287">
                  <c:v>293.505455443191</c:v>
                </c:pt>
                <c:pt idx="288">
                  <c:v>295.850189466778</c:v>
                </c:pt>
                <c:pt idx="289">
                  <c:v>298.189515631994</c:v>
                </c:pt>
                <c:pt idx="290">
                  <c:v>300.523557966851</c:v>
                </c:pt>
                <c:pt idx="291">
                  <c:v>302.852438455554</c:v>
                </c:pt>
                <c:pt idx="292">
                  <c:v>305.176277053874</c:v>
                </c:pt>
                <c:pt idx="293">
                  <c:v>307.495191700906</c:v>
                </c:pt>
                <c:pt idx="294">
                  <c:v>309.809298327055</c:v>
                </c:pt>
                <c:pt idx="295">
                  <c:v>312.118710858063</c:v>
                </c:pt>
                <c:pt idx="296">
                  <c:v>314.423541214914</c:v>
                </c:pt>
                <c:pt idx="297">
                  <c:v>316.723899309389</c:v>
                </c:pt>
                <c:pt idx="298">
                  <c:v>319.019893035044</c:v>
                </c:pt>
                <c:pt idx="299">
                  <c:v>321.311628253378</c:v>
                </c:pt>
                <c:pt idx="300">
                  <c:v>323.599208774914</c:v>
                </c:pt>
                <c:pt idx="301">
                  <c:v>325.882736334918</c:v>
                </c:pt>
                <c:pt idx="302">
                  <c:v>328.162310563446</c:v>
                </c:pt>
                <c:pt idx="303">
                  <c:v>330.438028949422</c:v>
                </c:pt>
                <c:pt idx="304">
                  <c:v>332.709986798411</c:v>
                </c:pt>
                <c:pt idx="305">
                  <c:v>334.978277183771</c:v>
                </c:pt>
                <c:pt idx="306">
                  <c:v>337.242990890849</c:v>
                </c:pt>
                <c:pt idx="307">
                  <c:v>339.504216353916</c:v>
                </c:pt>
                <c:pt idx="308">
                  <c:v>341.762039585548</c:v>
                </c:pt>
                <c:pt idx="309">
                  <c:v>344.016544098192</c:v>
                </c:pt>
                <c:pt idx="310">
                  <c:v>346.267810817741</c:v>
                </c:pt>
                <c:pt idx="311">
                  <c:v>348.515917988965</c:v>
                </c:pt>
                <c:pt idx="312">
                  <c:v>350.760941072819</c:v>
                </c:pt>
                <c:pt idx="313">
                  <c:v>353.002952635706</c:v>
                </c:pt>
                <c:pt idx="314">
                  <c:v>355.242022231006</c:v>
                </c:pt>
                <c:pt idx="315">
                  <c:v>357.478216273334</c:v>
                </c:pt>
                <c:pt idx="316">
                  <c:v>359.711597906264</c:v>
                </c:pt>
                <c:pt idx="317">
                  <c:v>361.942226864506</c:v>
                </c:pt>
                <c:pt idx="318">
                  <c:v>364.170159331862</c:v>
                </c:pt>
                <c:pt idx="319">
                  <c:v>366.395447796596</c:v>
                </c:pt>
                <c:pt idx="320">
                  <c:v>368.618140906229</c:v>
                </c:pt>
                <c:pt idx="321">
                  <c:v>370.838283324107</c:v>
                </c:pt>
                <c:pt idx="322">
                  <c:v>373.055915590429</c:v>
                </c:pt>
                <c:pt idx="323">
                  <c:v>375.271073990683</c:v>
                </c:pt>
                <c:pt idx="324">
                  <c:v>377.483790434656</c:v>
                </c:pt>
                <c:pt idx="325">
                  <c:v>379.69409234925</c:v>
                </c:pt>
                <c:pt idx="326">
                  <c:v>381.902002588329</c:v>
                </c:pt>
                <c:pt idx="327">
                  <c:v>384.107539362574</c:v>
                </c:pt>
                <c:pt idx="328">
                  <c:v>386.310716192007</c:v>
                </c:pt>
                <c:pt idx="329">
                  <c:v>388.511541883305</c:v>
                </c:pt>
                <c:pt idx="330">
                  <c:v>390.710020533387</c:v>
                </c:pt>
                <c:pt idx="331">
                  <c:v>392.906151560009</c:v>
                </c:pt>
                <c:pt idx="332">
                  <c:v>395.099929759289</c:v>
                </c:pt>
                <c:pt idx="333">
                  <c:v>397.291345389315</c:v>
                </c:pt>
                <c:pt idx="334">
                  <c:v>399.480384278233</c:v>
                </c:pt>
                <c:pt idx="335">
                  <c:v>401.667027954569</c:v>
                </c:pt>
                <c:pt idx="336">
                  <c:v>403.851253797061</c:v>
                </c:pt>
                <c:pt idx="337">
                  <c:v>406.033035200916</c:v>
                </c:pt>
                <c:pt idx="338">
                  <c:v>408.212341757245</c:v>
                </c:pt>
                <c:pt idx="339">
                  <c:v>410.389139442397</c:v>
                </c:pt>
                <c:pt idx="340">
                  <c:v>412.563390814028</c:v>
                </c:pt>
                <c:pt idx="341">
                  <c:v>414.735055210945</c:v>
                </c:pt>
                <c:pt idx="342">
                  <c:v>416.904088954099</c:v>
                </c:pt>
                <c:pt idx="343">
                  <c:v>419.070445546385</c:v>
                </c:pt>
                <c:pt idx="344">
                  <c:v>421.234075869317</c:v>
                </c:pt>
                <c:pt idx="345">
                  <c:v>423.394928374988</c:v>
                </c:pt>
                <c:pt idx="346">
                  <c:v>425.552949272077</c:v>
                </c:pt>
                <c:pt idx="347">
                  <c:v>427.708082704961</c:v>
                </c:pt>
                <c:pt idx="348">
                  <c:v>429.860270925293</c:v>
                </c:pt>
                <c:pt idx="349">
                  <c:v>432.009454455645</c:v>
                </c:pt>
                <c:pt idx="350">
                  <c:v>434.155572244981</c:v>
                </c:pt>
                <c:pt idx="351">
                  <c:v>436.298561815947</c:v>
                </c:pt>
                <c:pt idx="352">
                  <c:v>438.438359404042</c:v>
                </c:pt>
                <c:pt idx="353">
                  <c:v>440.57490008886</c:v>
                </c:pt>
                <c:pt idx="354">
                  <c:v>442.708117917661</c:v>
                </c:pt>
                <c:pt idx="355">
                  <c:v>444.837946021596</c:v>
                </c:pt>
                <c:pt idx="356">
                  <c:v>446.964316724901</c:v>
                </c:pt>
                <c:pt idx="357">
                  <c:v>449.087161647462</c:v>
                </c:pt>
                <c:pt idx="358">
                  <c:v>451.206411801097</c:v>
                </c:pt>
                <c:pt idx="359">
                  <c:v>453.321997679945</c:v>
                </c:pt>
                <c:pt idx="360">
                  <c:v>455.433849345324</c:v>
                </c:pt>
                <c:pt idx="361">
                  <c:v>457.541896505419</c:v>
                </c:pt>
                <c:pt idx="362">
                  <c:v>459.646068590137</c:v>
                </c:pt>
                <c:pt idx="363">
                  <c:v>461.746294821456</c:v>
                </c:pt>
                <c:pt idx="364">
                  <c:v>463.84250427958</c:v>
                </c:pt>
                <c:pt idx="365">
                  <c:v>465.934625965183</c:v>
                </c:pt>
                <c:pt idx="366">
                  <c:v>468.022588858008</c:v>
                </c:pt>
                <c:pt idx="367">
                  <c:v>470.106321972084</c:v>
                </c:pt>
                <c:pt idx="368">
                  <c:v>472.185754407781</c:v>
                </c:pt>
                <c:pt idx="369">
                  <c:v>474.260815400926</c:v>
                </c:pt>
                <c:pt idx="370">
                  <c:v>476.331434369182</c:v>
                </c:pt>
                <c:pt idx="371">
                  <c:v>478.397540955857</c:v>
                </c:pt>
                <c:pt idx="372">
                  <c:v>480.459065071339</c:v>
                </c:pt>
                <c:pt idx="373">
                  <c:v>482.515936932286</c:v>
                </c:pt>
                <c:pt idx="374">
                  <c:v>484.568087098735</c:v>
                </c:pt>
                <c:pt idx="375">
                  <c:v>486.615446509248</c:v>
                </c:pt>
                <c:pt idx="376">
                  <c:v>488.657946514226</c:v>
                </c:pt>
                <c:pt idx="377">
                  <c:v>490.695518907488</c:v>
                </c:pt>
                <c:pt idx="378">
                  <c:v>492.728095956241</c:v>
                </c:pt>
                <c:pt idx="379">
                  <c:v>494.755610429507</c:v>
                </c:pt>
                <c:pt idx="380">
                  <c:v>496.777995625116</c:v>
                </c:pt>
                <c:pt idx="381">
                  <c:v>498.795185395331</c:v>
                </c:pt>
                <c:pt idx="382">
                  <c:v>500.807114171183</c:v>
                </c:pt>
                <c:pt idx="383">
                  <c:v>502.813716985586</c:v>
                </c:pt>
                <c:pt idx="384">
                  <c:v>504.814929495283</c:v>
                </c:pt>
                <c:pt idx="385">
                  <c:v>506.810688001701</c:v>
                </c:pt>
                <c:pt idx="386">
                  <c:v>508.800929470741</c:v>
                </c:pt>
                <c:pt idx="387">
                  <c:v>510.785591551573</c:v>
                </c:pt>
                <c:pt idx="388">
                  <c:v>512.764612594478</c:v>
                </c:pt>
                <c:pt idx="389">
                  <c:v>514.737931667759</c:v>
                </c:pt>
                <c:pt idx="390">
                  <c:v>516.705488573798</c:v>
                </c:pt>
                <c:pt idx="391">
                  <c:v>518.66722386425</c:v>
                </c:pt>
                <c:pt idx="392">
                  <c:v>520.623078854445</c:v>
                </c:pt>
                <c:pt idx="393">
                  <c:v>522.57299563701</c:v>
                </c:pt>
                <c:pt idx="394">
                  <c:v>524.51691709474</c:v>
                </c:pt>
                <c:pt idx="395">
                  <c:v>526.454786912755</c:v>
                </c:pt>
                <c:pt idx="396">
                  <c:v>528.38654958996</c:v>
                </c:pt>
                <c:pt idx="397">
                  <c:v>530.312150449835</c:v>
                </c:pt>
                <c:pt idx="398">
                  <c:v>532.231535650578</c:v>
                </c:pt>
                <c:pt idx="399">
                  <c:v>534.144652194619</c:v>
                </c:pt>
                <c:pt idx="400">
                  <c:v>536.051447937529</c:v>
                </c:pt>
                <c:pt idx="401">
                  <c:v>537.951871596339</c:v>
                </c:pt>
                <c:pt idx="402">
                  <c:v>539.845872757293</c:v>
                </c:pt>
                <c:pt idx="403">
                  <c:v>541.733401883038</c:v>
                </c:pt>
                <c:pt idx="404">
                  <c:v>543.614410319286</c:v>
                </c:pt>
                <c:pt idx="405">
                  <c:v>545.48885030095</c:v>
                </c:pt>
                <c:pt idx="406">
                  <c:v>547.356674957766</c:v>
                </c:pt>
                <c:pt idx="407">
                  <c:v>549.217838319436</c:v>
                </c:pt>
                <c:pt idx="408">
                  <c:v>551.072295320272</c:v>
                </c:pt>
                <c:pt idx="409">
                  <c:v>552.920001803385</c:v>
                </c:pt>
                <c:pt idx="410">
                  <c:v>554.760914524414</c:v>
                </c:pt>
                <c:pt idx="411">
                  <c:v>556.594991154811</c:v>
                </c:pt>
                <c:pt idx="412">
                  <c:v>558.422190284693</c:v>
                </c:pt>
                <c:pt idx="413">
                  <c:v>560.242471425276</c:v>
                </c:pt>
                <c:pt idx="414">
                  <c:v>562.055795010891</c:v>
                </c:pt>
                <c:pt idx="415">
                  <c:v>563.862122400612</c:v>
                </c:pt>
                <c:pt idx="416">
                  <c:v>565.661415879476</c:v>
                </c:pt>
                <c:pt idx="417">
                  <c:v>567.453638659345</c:v>
                </c:pt>
                <c:pt idx="418">
                  <c:v>569.238754879374</c:v>
                </c:pt>
                <c:pt idx="419">
                  <c:v>571.016729606135</c:v>
                </c:pt>
                <c:pt idx="420">
                  <c:v>572.787528833383</c:v>
                </c:pt>
                <c:pt idx="421">
                  <c:v>574.551119481473</c:v>
                </c:pt>
                <c:pt idx="422">
                  <c:v>576.307469396449</c:v>
                </c:pt>
                <c:pt idx="423">
                  <c:v>578.056547348809</c:v>
                </c:pt>
                <c:pt idx="424">
                  <c:v>579.798323031942</c:v>
                </c:pt>
                <c:pt idx="425">
                  <c:v>581.532767060268</c:v>
                </c:pt>
                <c:pt idx="426">
                  <c:v>583.259850967066</c:v>
                </c:pt>
                <c:pt idx="427">
                  <c:v>584.979547202017</c:v>
                </c:pt>
                <c:pt idx="428">
                  <c:v>586.691829128458</c:v>
                </c:pt>
                <c:pt idx="429">
                  <c:v>588.396671020355</c:v>
                </c:pt>
                <c:pt idx="430">
                  <c:v>590.094048059015</c:v>
                </c:pt>
                <c:pt idx="431">
                  <c:v>591.783936329525</c:v>
                </c:pt>
                <c:pt idx="432">
                  <c:v>593.466312816948</c:v>
                </c:pt>
                <c:pt idx="433">
                  <c:v>595.141155402257</c:v>
                </c:pt>
                <c:pt idx="434">
                  <c:v>596.808442858042</c:v>
                </c:pt>
                <c:pt idx="435">
                  <c:v>598.468154843978</c:v>
                </c:pt>
                <c:pt idx="436">
                  <c:v>600.120271902064</c:v>
                </c:pt>
                <c:pt idx="437">
                  <c:v>601.764775451648</c:v>
                </c:pt>
                <c:pt idx="438">
                  <c:v>603.40164778424</c:v>
                </c:pt>
                <c:pt idx="439">
                  <c:v>605.030872058114</c:v>
                </c:pt>
                <c:pt idx="440">
                  <c:v>606.652432292717</c:v>
                </c:pt>
                <c:pt idx="441">
                  <c:v>608.266313362881</c:v>
                </c:pt>
                <c:pt idx="442">
                  <c:v>609.872500992857</c:v>
                </c:pt>
                <c:pt idx="443">
                  <c:v>611.470981750162</c:v>
                </c:pt>
                <c:pt idx="444">
                  <c:v>613.06174303926</c:v>
                </c:pt>
                <c:pt idx="445">
                  <c:v>614.64477309507</c:v>
                </c:pt>
                <c:pt idx="446">
                  <c:v>616.22006097632</c:v>
                </c:pt>
                <c:pt idx="447">
                  <c:v>617.787596558748</c:v>
                </c:pt>
                <c:pt idx="448">
                  <c:v>619.347370528147</c:v>
                </c:pt>
                <c:pt idx="449">
                  <c:v>620.899374373278</c:v>
                </c:pt>
                <c:pt idx="450">
                  <c:v>622.443600378644</c:v>
                </c:pt>
                <c:pt idx="451">
                  <c:v>623.98004161713</c:v>
                </c:pt>
                <c:pt idx="452">
                  <c:v>625.508691942527</c:v>
                </c:pt>
                <c:pt idx="453">
                  <c:v>627.029545981928</c:v>
                </c:pt>
                <c:pt idx="454">
                  <c:v>628.542599128025</c:v>
                </c:pt>
                <c:pt idx="455">
                  <c:v>630.04784753128</c:v>
                </c:pt>
                <c:pt idx="456">
                  <c:v>631.545288092013</c:v>
                </c:pt>
                <c:pt idx="457">
                  <c:v>633.034918452384</c:v>
                </c:pt>
                <c:pt idx="458">
                  <c:v>634.516736988282</c:v>
                </c:pt>
                <c:pt idx="459">
                  <c:v>635.990742801137</c:v>
                </c:pt>
                <c:pt idx="460">
                  <c:v>637.456935709642</c:v>
                </c:pt>
                <c:pt idx="461">
                  <c:v>638.915316241408</c:v>
                </c:pt>
                <c:pt idx="462">
                  <c:v>640.365885624537</c:v>
                </c:pt>
                <c:pt idx="463">
                  <c:v>641.808645779145</c:v>
                </c:pt>
                <c:pt idx="464">
                  <c:v>643.243599308809</c:v>
                </c:pt>
                <c:pt idx="465">
                  <c:v>644.670749491966</c:v>
                </c:pt>
                <c:pt idx="466">
                  <c:v>646.090100273259</c:v>
                </c:pt>
                <c:pt idx="467">
                  <c:v>647.501656254833</c:v>
                </c:pt>
                <c:pt idx="468">
                  <c:v>648.905422687594</c:v>
                </c:pt>
                <c:pt idx="469">
                  <c:v>650.301405462422</c:v>
                </c:pt>
                <c:pt idx="470">
                  <c:v>651.68961110136</c:v>
                </c:pt>
                <c:pt idx="471">
                  <c:v>653.07004674876</c:v>
                </c:pt>
                <c:pt idx="472">
                  <c:v>654.442720162418</c:v>
                </c:pt>
                <c:pt idx="473">
                  <c:v>655.807639704674</c:v>
                </c:pt>
                <c:pt idx="474">
                  <c:v>657.164814333505</c:v>
                </c:pt>
                <c:pt idx="475">
                  <c:v>658.514253593593</c:v>
                </c:pt>
                <c:pt idx="476">
                  <c:v>659.855967607396</c:v>
                </c:pt>
                <c:pt idx="477">
                  <c:v>661.1899670662</c:v>
                </c:pt>
                <c:pt idx="478">
                  <c:v>662.516263221174</c:v>
                </c:pt>
                <c:pt idx="479">
                  <c:v>663.834867874429</c:v>
                </c:pt>
                <c:pt idx="480">
                  <c:v>665.145793370071</c:v>
                </c:pt>
                <c:pt idx="481">
                  <c:v>666.449052585269</c:v>
                </c:pt>
                <c:pt idx="482">
                  <c:v>667.744658921334</c:v>
                </c:pt>
                <c:pt idx="483">
                  <c:v>669.032626294805</c:v>
                </c:pt>
                <c:pt idx="484">
                  <c:v>670.312969128558</c:v>
                </c:pt>
                <c:pt idx="485">
                  <c:v>671.585702342932</c:v>
                </c:pt>
                <c:pt idx="486">
                  <c:v>672.850841346877</c:v>
                </c:pt>
                <c:pt idx="487">
                  <c:v>674.108402029129</c:v>
                </c:pt>
                <c:pt idx="488">
                  <c:v>675.358400749412</c:v>
                </c:pt>
                <c:pt idx="489">
                  <c:v>676.600854329671</c:v>
                </c:pt>
                <c:pt idx="490">
                  <c:v>677.835780045339</c:v>
                </c:pt>
                <c:pt idx="491">
                  <c:v>679.063195616639</c:v>
                </c:pt>
                <c:pt idx="492">
                  <c:v>680.283119199921</c:v>
                </c:pt>
                <c:pt idx="493">
                  <c:v>681.49556937905</c:v>
                </c:pt>
                <c:pt idx="494">
                  <c:v>682.700565156822</c:v>
                </c:pt>
                <c:pt idx="495">
                  <c:v>683.898125946437</c:v>
                </c:pt>
                <c:pt idx="496">
                  <c:v>685.088271563015</c:v>
                </c:pt>
                <c:pt idx="497">
                  <c:v>686.271022215159</c:v>
                </c:pt>
                <c:pt idx="498">
                  <c:v>687.446398496569</c:v>
                </c:pt>
                <c:pt idx="499">
                  <c:v>688.614421377716</c:v>
                </c:pt>
                <c:pt idx="500">
                  <c:v>689.775112197561</c:v>
                </c:pt>
                <c:pt idx="501">
                  <c:v>690.928492655337</c:v>
                </c:pt>
                <c:pt idx="502">
                  <c:v>690.928492655337</c:v>
                </c:pt>
                <c:pt idx="503">
                  <c:v>690.928492655337</c:v>
                </c:pt>
                <c:pt idx="504">
                  <c:v>690.928492655337</c:v>
                </c:pt>
                <c:pt idx="505">
                  <c:v>690.928492655337</c:v>
                </c:pt>
                <c:pt idx="506">
                  <c:v>690.928492655337</c:v>
                </c:pt>
                <c:pt idx="507">
                  <c:v>690.928492655337</c:v>
                </c:pt>
                <c:pt idx="508">
                  <c:v>690.928492655337</c:v>
                </c:pt>
                <c:pt idx="509">
                  <c:v>690.928492655337</c:v>
                </c:pt>
                <c:pt idx="510">
                  <c:v>690.928492655337</c:v>
                </c:pt>
                <c:pt idx="511">
                  <c:v>690.928492655337</c:v>
                </c:pt>
                <c:pt idx="512">
                  <c:v>690.928492655337</c:v>
                </c:pt>
                <c:pt idx="513">
                  <c:v>690.928492655337</c:v>
                </c:pt>
                <c:pt idx="514">
                  <c:v>690.928492655337</c:v>
                </c:pt>
                <c:pt idx="515">
                  <c:v>690.928492655337</c:v>
                </c:pt>
                <c:pt idx="516">
                  <c:v>690.928492655337</c:v>
                </c:pt>
                <c:pt idx="517">
                  <c:v>690.928492655337</c:v>
                </c:pt>
                <c:pt idx="518">
                  <c:v>690.928492655337</c:v>
                </c:pt>
                <c:pt idx="519">
                  <c:v>690.928492655337</c:v>
                </c:pt>
                <c:pt idx="520">
                  <c:v>690.928492655337</c:v>
                </c:pt>
                <c:pt idx="521">
                  <c:v>690.928492655337</c:v>
                </c:pt>
                <c:pt idx="522">
                  <c:v>690.928492655337</c:v>
                </c:pt>
                <c:pt idx="523">
                  <c:v>690.928492655337</c:v>
                </c:pt>
                <c:pt idx="524">
                  <c:v>690.928492655337</c:v>
                </c:pt>
                <c:pt idx="525">
                  <c:v>690.928492655337</c:v>
                </c:pt>
                <c:pt idx="526">
                  <c:v>690.928492655337</c:v>
                </c:pt>
                <c:pt idx="527">
                  <c:v>690.928492655337</c:v>
                </c:pt>
                <c:pt idx="528">
                  <c:v>690.928492655337</c:v>
                </c:pt>
                <c:pt idx="529">
                  <c:v>690.928492655337</c:v>
                </c:pt>
                <c:pt idx="530">
                  <c:v>690.928492655337</c:v>
                </c:pt>
                <c:pt idx="531">
                  <c:v>690.928492655337</c:v>
                </c:pt>
                <c:pt idx="532">
                  <c:v>690.928492655337</c:v>
                </c:pt>
                <c:pt idx="533">
                  <c:v>690.928492655337</c:v>
                </c:pt>
                <c:pt idx="534">
                  <c:v>690.928492655337</c:v>
                </c:pt>
                <c:pt idx="535">
                  <c:v>690.928492655337</c:v>
                </c:pt>
                <c:pt idx="536">
                  <c:v>690.928492655337</c:v>
                </c:pt>
                <c:pt idx="537">
                  <c:v>690.928492655337</c:v>
                </c:pt>
                <c:pt idx="538">
                  <c:v>690.928492655337</c:v>
                </c:pt>
                <c:pt idx="539">
                  <c:v>690.928492655337</c:v>
                </c:pt>
                <c:pt idx="540">
                  <c:v>690.928492655337</c:v>
                </c:pt>
                <c:pt idx="541">
                  <c:v>690.928492655337</c:v>
                </c:pt>
                <c:pt idx="542">
                  <c:v>690.928492655337</c:v>
                </c:pt>
                <c:pt idx="543">
                  <c:v>690.928492655337</c:v>
                </c:pt>
                <c:pt idx="544">
                  <c:v>690.928492655337</c:v>
                </c:pt>
                <c:pt idx="545">
                  <c:v>690.928492655337</c:v>
                </c:pt>
                <c:pt idx="546">
                  <c:v>690.928492655337</c:v>
                </c:pt>
                <c:pt idx="547">
                  <c:v>690.928492655337</c:v>
                </c:pt>
                <c:pt idx="548">
                  <c:v>690.928492655337</c:v>
                </c:pt>
                <c:pt idx="549">
                  <c:v>690.928492655337</c:v>
                </c:pt>
                <c:pt idx="550">
                  <c:v>690.928492655337</c:v>
                </c:pt>
                <c:pt idx="551">
                  <c:v>690.928492655337</c:v>
                </c:pt>
                <c:pt idx="552">
                  <c:v>690.928492655337</c:v>
                </c:pt>
                <c:pt idx="553">
                  <c:v>690.928492655337</c:v>
                </c:pt>
                <c:pt idx="554">
                  <c:v>690.928492655337</c:v>
                </c:pt>
                <c:pt idx="555">
                  <c:v>690.928492655337</c:v>
                </c:pt>
                <c:pt idx="556">
                  <c:v>690.928492655337</c:v>
                </c:pt>
                <c:pt idx="557">
                  <c:v>690.928492655337</c:v>
                </c:pt>
                <c:pt idx="558">
                  <c:v>690.928492655337</c:v>
                </c:pt>
                <c:pt idx="559">
                  <c:v>690.928492655337</c:v>
                </c:pt>
                <c:pt idx="560">
                  <c:v>690.928492655337</c:v>
                </c:pt>
                <c:pt idx="561">
                  <c:v>690.928492655337</c:v>
                </c:pt>
                <c:pt idx="562">
                  <c:v>690.928492655337</c:v>
                </c:pt>
                <c:pt idx="563">
                  <c:v>690.928492655337</c:v>
                </c:pt>
                <c:pt idx="564">
                  <c:v>690.928492655337</c:v>
                </c:pt>
                <c:pt idx="565">
                  <c:v>690.928492655337</c:v>
                </c:pt>
                <c:pt idx="566">
                  <c:v>690.928492655337</c:v>
                </c:pt>
                <c:pt idx="567">
                  <c:v>690.928492655337</c:v>
                </c:pt>
                <c:pt idx="568">
                  <c:v>690.928492655337</c:v>
                </c:pt>
                <c:pt idx="569">
                  <c:v>690.928492655337</c:v>
                </c:pt>
                <c:pt idx="570">
                  <c:v>690.928492655337</c:v>
                </c:pt>
                <c:pt idx="571">
                  <c:v>690.928492655337</c:v>
                </c:pt>
                <c:pt idx="572">
                  <c:v>690.928492655337</c:v>
                </c:pt>
                <c:pt idx="573">
                  <c:v>690.928492655337</c:v>
                </c:pt>
                <c:pt idx="574">
                  <c:v>690.928492655337</c:v>
                </c:pt>
                <c:pt idx="575">
                  <c:v>690.928492655337</c:v>
                </c:pt>
                <c:pt idx="576">
                  <c:v>690.928492655337</c:v>
                </c:pt>
                <c:pt idx="577">
                  <c:v>690.928492655337</c:v>
                </c:pt>
                <c:pt idx="578">
                  <c:v>690.928492655337</c:v>
                </c:pt>
                <c:pt idx="579">
                  <c:v>690.928492655337</c:v>
                </c:pt>
                <c:pt idx="580">
                  <c:v>690.928492655337</c:v>
                </c:pt>
                <c:pt idx="581">
                  <c:v>690.928492655337</c:v>
                </c:pt>
                <c:pt idx="582">
                  <c:v>690.928492655337</c:v>
                </c:pt>
                <c:pt idx="583">
                  <c:v>690.928492655337</c:v>
                </c:pt>
                <c:pt idx="584">
                  <c:v>690.928492655337</c:v>
                </c:pt>
                <c:pt idx="585">
                  <c:v>690.928492655337</c:v>
                </c:pt>
                <c:pt idx="586">
                  <c:v>690.928492655337</c:v>
                </c:pt>
                <c:pt idx="587">
                  <c:v>690.928492655337</c:v>
                </c:pt>
                <c:pt idx="588">
                  <c:v>690.928492655337</c:v>
                </c:pt>
                <c:pt idx="589">
                  <c:v>690.928492655337</c:v>
                </c:pt>
                <c:pt idx="590">
                  <c:v>690.928492655337</c:v>
                </c:pt>
                <c:pt idx="591">
                  <c:v>690.928492655337</c:v>
                </c:pt>
                <c:pt idx="592">
                  <c:v>690.928492655337</c:v>
                </c:pt>
                <c:pt idx="593">
                  <c:v>690.928492655337</c:v>
                </c:pt>
                <c:pt idx="594">
                  <c:v>690.928492655337</c:v>
                </c:pt>
                <c:pt idx="595">
                  <c:v>690.928492655337</c:v>
                </c:pt>
                <c:pt idx="596">
                  <c:v>690.928492655337</c:v>
                </c:pt>
                <c:pt idx="597">
                  <c:v>690.928492655337</c:v>
                </c:pt>
                <c:pt idx="598">
                  <c:v>690.928492655337</c:v>
                </c:pt>
                <c:pt idx="599">
                  <c:v>690.928492655337</c:v>
                </c:pt>
                <c:pt idx="600">
                  <c:v>690.928492655337</c:v>
                </c:pt>
                <c:pt idx="601">
                  <c:v>690.928492655337</c:v>
                </c:pt>
                <c:pt idx="602">
                  <c:v>690.928492655337</c:v>
                </c:pt>
                <c:pt idx="603">
                  <c:v>690.928492655337</c:v>
                </c:pt>
                <c:pt idx="604">
                  <c:v>690.928492655337</c:v>
                </c:pt>
                <c:pt idx="605">
                  <c:v>690.928492655337</c:v>
                </c:pt>
                <c:pt idx="606">
                  <c:v>690.928492655337</c:v>
                </c:pt>
                <c:pt idx="607">
                  <c:v>690.928492655337</c:v>
                </c:pt>
                <c:pt idx="608">
                  <c:v>690.928492655337</c:v>
                </c:pt>
                <c:pt idx="609">
                  <c:v>690.928492655337</c:v>
                </c:pt>
                <c:pt idx="610">
                  <c:v>690.928492655337</c:v>
                </c:pt>
                <c:pt idx="611">
                  <c:v>690.928492655337</c:v>
                </c:pt>
                <c:pt idx="612">
                  <c:v>690.928492655337</c:v>
                </c:pt>
                <c:pt idx="613">
                  <c:v>690.928492655337</c:v>
                </c:pt>
                <c:pt idx="614">
                  <c:v>690.928492655337</c:v>
                </c:pt>
                <c:pt idx="615">
                  <c:v>690.928492655337</c:v>
                </c:pt>
                <c:pt idx="616">
                  <c:v>690.928492655337</c:v>
                </c:pt>
                <c:pt idx="617">
                  <c:v>690.928492655337</c:v>
                </c:pt>
                <c:pt idx="618">
                  <c:v>690.928492655337</c:v>
                </c:pt>
                <c:pt idx="619">
                  <c:v>690.928492655337</c:v>
                </c:pt>
                <c:pt idx="620">
                  <c:v>690.928492655337</c:v>
                </c:pt>
                <c:pt idx="621">
                  <c:v>690.928492655337</c:v>
                </c:pt>
                <c:pt idx="622">
                  <c:v>690.928492655337</c:v>
                </c:pt>
                <c:pt idx="623">
                  <c:v>690.928492655337</c:v>
                </c:pt>
                <c:pt idx="624">
                  <c:v>690.928492655337</c:v>
                </c:pt>
                <c:pt idx="625">
                  <c:v>690.928492655337</c:v>
                </c:pt>
                <c:pt idx="626">
                  <c:v>690.928492655337</c:v>
                </c:pt>
                <c:pt idx="627">
                  <c:v>690.928492655337</c:v>
                </c:pt>
                <c:pt idx="628">
                  <c:v>690.928492655337</c:v>
                </c:pt>
                <c:pt idx="629">
                  <c:v>690.928492655337</c:v>
                </c:pt>
                <c:pt idx="630">
                  <c:v>690.928492655337</c:v>
                </c:pt>
                <c:pt idx="631">
                  <c:v>690.928492655337</c:v>
                </c:pt>
                <c:pt idx="632">
                  <c:v>690.928492655337</c:v>
                </c:pt>
                <c:pt idx="633">
                  <c:v>690.928492655337</c:v>
                </c:pt>
                <c:pt idx="634">
                  <c:v>690.928492655337</c:v>
                </c:pt>
                <c:pt idx="635">
                  <c:v>690.928492655337</c:v>
                </c:pt>
                <c:pt idx="636">
                  <c:v>690.928492655337</c:v>
                </c:pt>
                <c:pt idx="637">
                  <c:v>690.928492655337</c:v>
                </c:pt>
                <c:pt idx="638">
                  <c:v>690.928492655337</c:v>
                </c:pt>
                <c:pt idx="639">
                  <c:v>690.928492655337</c:v>
                </c:pt>
                <c:pt idx="640">
                  <c:v>690.928492655337</c:v>
                </c:pt>
                <c:pt idx="641">
                  <c:v>690.928492655337</c:v>
                </c:pt>
                <c:pt idx="642">
                  <c:v>690.928492655337</c:v>
                </c:pt>
                <c:pt idx="643">
                  <c:v>690.928492655337</c:v>
                </c:pt>
                <c:pt idx="644">
                  <c:v>690.928492655337</c:v>
                </c:pt>
                <c:pt idx="645">
                  <c:v>690.928492655337</c:v>
                </c:pt>
                <c:pt idx="646">
                  <c:v>690.928492655337</c:v>
                </c:pt>
                <c:pt idx="647">
                  <c:v>690.928492655337</c:v>
                </c:pt>
                <c:pt idx="648">
                  <c:v>690.928492655337</c:v>
                </c:pt>
                <c:pt idx="649">
                  <c:v>690.928492655337</c:v>
                </c:pt>
                <c:pt idx="650">
                  <c:v>690.928492655337</c:v>
                </c:pt>
                <c:pt idx="651">
                  <c:v>690.928492655337</c:v>
                </c:pt>
                <c:pt idx="652">
                  <c:v>690.928492655337</c:v>
                </c:pt>
                <c:pt idx="653">
                  <c:v>690.928492655337</c:v>
                </c:pt>
                <c:pt idx="654">
                  <c:v>690.928492655337</c:v>
                </c:pt>
                <c:pt idx="655">
                  <c:v>690.928492655337</c:v>
                </c:pt>
                <c:pt idx="656">
                  <c:v>690.928492655337</c:v>
                </c:pt>
                <c:pt idx="657">
                  <c:v>690.928492655337</c:v>
                </c:pt>
                <c:pt idx="658">
                  <c:v>690.928492655337</c:v>
                </c:pt>
                <c:pt idx="659">
                  <c:v>690.928492655337</c:v>
                </c:pt>
                <c:pt idx="660">
                  <c:v>690.928492655337</c:v>
                </c:pt>
                <c:pt idx="661">
                  <c:v>690.928492655337</c:v>
                </c:pt>
                <c:pt idx="662">
                  <c:v>690.928492655337</c:v>
                </c:pt>
                <c:pt idx="663">
                  <c:v>690.928492655337</c:v>
                </c:pt>
                <c:pt idx="664">
                  <c:v>690.928492655337</c:v>
                </c:pt>
                <c:pt idx="665">
                  <c:v>690.928492655337</c:v>
                </c:pt>
                <c:pt idx="666">
                  <c:v>690.928492655337</c:v>
                </c:pt>
                <c:pt idx="667">
                  <c:v>690.928492655337</c:v>
                </c:pt>
                <c:pt idx="668">
                  <c:v>690.928492655337</c:v>
                </c:pt>
                <c:pt idx="669">
                  <c:v>690.928492655337</c:v>
                </c:pt>
                <c:pt idx="670">
                  <c:v>690.928492655337</c:v>
                </c:pt>
                <c:pt idx="671">
                  <c:v>690.928492655337</c:v>
                </c:pt>
                <c:pt idx="672">
                  <c:v>690.928492655337</c:v>
                </c:pt>
                <c:pt idx="673">
                  <c:v>690.928492655337</c:v>
                </c:pt>
                <c:pt idx="674">
                  <c:v>690.928492655337</c:v>
                </c:pt>
                <c:pt idx="675">
                  <c:v>690.928492655337</c:v>
                </c:pt>
                <c:pt idx="676">
                  <c:v>690.928492655337</c:v>
                </c:pt>
                <c:pt idx="677">
                  <c:v>690.928492655337</c:v>
                </c:pt>
                <c:pt idx="678">
                  <c:v>690.928492655337</c:v>
                </c:pt>
                <c:pt idx="679">
                  <c:v>690.928492655337</c:v>
                </c:pt>
                <c:pt idx="680">
                  <c:v>690.928492655337</c:v>
                </c:pt>
                <c:pt idx="681">
                  <c:v>690.928492655337</c:v>
                </c:pt>
                <c:pt idx="682">
                  <c:v>690.928492655337</c:v>
                </c:pt>
                <c:pt idx="683">
                  <c:v>690.928492655337</c:v>
                </c:pt>
                <c:pt idx="684">
                  <c:v>690.928492655337</c:v>
                </c:pt>
                <c:pt idx="685">
                  <c:v>690.928492655337</c:v>
                </c:pt>
                <c:pt idx="686">
                  <c:v>690.928492655337</c:v>
                </c:pt>
                <c:pt idx="687">
                  <c:v>690.928492655337</c:v>
                </c:pt>
                <c:pt idx="688">
                  <c:v>690.928492655337</c:v>
                </c:pt>
                <c:pt idx="689">
                  <c:v>690.928492655337</c:v>
                </c:pt>
                <c:pt idx="690">
                  <c:v>690.928492655337</c:v>
                </c:pt>
                <c:pt idx="691">
                  <c:v>690.928492655337</c:v>
                </c:pt>
                <c:pt idx="692">
                  <c:v>690.928492655337</c:v>
                </c:pt>
                <c:pt idx="693">
                  <c:v>690.928492655337</c:v>
                </c:pt>
                <c:pt idx="694">
                  <c:v>690.928492655337</c:v>
                </c:pt>
                <c:pt idx="695">
                  <c:v>690.928492655337</c:v>
                </c:pt>
                <c:pt idx="696">
                  <c:v>690.928492655337</c:v>
                </c:pt>
                <c:pt idx="697">
                  <c:v>690.928492655337</c:v>
                </c:pt>
                <c:pt idx="698">
                  <c:v>690.928492655337</c:v>
                </c:pt>
                <c:pt idx="699">
                  <c:v>690.928492655337</c:v>
                </c:pt>
                <c:pt idx="700">
                  <c:v>690.928492655337</c:v>
                </c:pt>
                <c:pt idx="701">
                  <c:v>690.928492655337</c:v>
                </c:pt>
                <c:pt idx="702">
                  <c:v>690.928492655337</c:v>
                </c:pt>
                <c:pt idx="703">
                  <c:v>690.928492655337</c:v>
                </c:pt>
                <c:pt idx="704">
                  <c:v>690.928492655337</c:v>
                </c:pt>
                <c:pt idx="705">
                  <c:v>690.928492655337</c:v>
                </c:pt>
                <c:pt idx="706">
                  <c:v>690.928492655337</c:v>
                </c:pt>
                <c:pt idx="707">
                  <c:v>690.928492655337</c:v>
                </c:pt>
                <c:pt idx="708">
                  <c:v>690.928492655337</c:v>
                </c:pt>
                <c:pt idx="709">
                  <c:v>690.928492655337</c:v>
                </c:pt>
                <c:pt idx="710">
                  <c:v>690.928492655337</c:v>
                </c:pt>
                <c:pt idx="711">
                  <c:v>690.928492655337</c:v>
                </c:pt>
                <c:pt idx="712">
                  <c:v>690.928492655337</c:v>
                </c:pt>
                <c:pt idx="713">
                  <c:v>690.928492655337</c:v>
                </c:pt>
                <c:pt idx="714">
                  <c:v>690.928492655337</c:v>
                </c:pt>
                <c:pt idx="715">
                  <c:v>690.928492655337</c:v>
                </c:pt>
                <c:pt idx="716">
                  <c:v>690.928492655337</c:v>
                </c:pt>
                <c:pt idx="717">
                  <c:v>690.928492655337</c:v>
                </c:pt>
                <c:pt idx="718">
                  <c:v>690.928492655337</c:v>
                </c:pt>
                <c:pt idx="719">
                  <c:v>690.928492655337</c:v>
                </c:pt>
                <c:pt idx="720">
                  <c:v>690.928492655337</c:v>
                </c:pt>
                <c:pt idx="721">
                  <c:v>690.928492655337</c:v>
                </c:pt>
                <c:pt idx="722">
                  <c:v>690.928492655337</c:v>
                </c:pt>
                <c:pt idx="723">
                  <c:v>690.928492655337</c:v>
                </c:pt>
                <c:pt idx="724">
                  <c:v>690.928492655337</c:v>
                </c:pt>
                <c:pt idx="725">
                  <c:v>690.928492655337</c:v>
                </c:pt>
                <c:pt idx="726">
                  <c:v>690.928492655337</c:v>
                </c:pt>
                <c:pt idx="727">
                  <c:v>690.928492655337</c:v>
                </c:pt>
                <c:pt idx="728">
                  <c:v>690.928492655337</c:v>
                </c:pt>
                <c:pt idx="729">
                  <c:v>690.928492655337</c:v>
                </c:pt>
                <c:pt idx="730">
                  <c:v>690.928492655337</c:v>
                </c:pt>
                <c:pt idx="731">
                  <c:v>690.928492655337</c:v>
                </c:pt>
                <c:pt idx="732">
                  <c:v>690.928492655337</c:v>
                </c:pt>
                <c:pt idx="733">
                  <c:v>690.928492655337</c:v>
                </c:pt>
                <c:pt idx="734">
                  <c:v>690.928492655337</c:v>
                </c:pt>
                <c:pt idx="735">
                  <c:v>690.928492655337</c:v>
                </c:pt>
                <c:pt idx="736">
                  <c:v>690.928492655337</c:v>
                </c:pt>
                <c:pt idx="737">
                  <c:v>690.928492655337</c:v>
                </c:pt>
                <c:pt idx="738">
                  <c:v>690.928492655337</c:v>
                </c:pt>
                <c:pt idx="739">
                  <c:v>690.928492655337</c:v>
                </c:pt>
                <c:pt idx="740">
                  <c:v>690.928492655337</c:v>
                </c:pt>
                <c:pt idx="741">
                  <c:v>690.928492655337</c:v>
                </c:pt>
                <c:pt idx="742">
                  <c:v>690.928492655337</c:v>
                </c:pt>
                <c:pt idx="743">
                  <c:v>690.928492655337</c:v>
                </c:pt>
                <c:pt idx="744">
                  <c:v>690.928492655337</c:v>
                </c:pt>
                <c:pt idx="745">
                  <c:v>690.928492655337</c:v>
                </c:pt>
                <c:pt idx="746">
                  <c:v>690.928492655337</c:v>
                </c:pt>
                <c:pt idx="747">
                  <c:v>690.928492655337</c:v>
                </c:pt>
                <c:pt idx="748">
                  <c:v>690.928492655337</c:v>
                </c:pt>
                <c:pt idx="749">
                  <c:v>690.928492655337</c:v>
                </c:pt>
                <c:pt idx="750">
                  <c:v>690.928492655337</c:v>
                </c:pt>
                <c:pt idx="751">
                  <c:v>690.928492655337</c:v>
                </c:pt>
                <c:pt idx="752">
                  <c:v>690.928492655337</c:v>
                </c:pt>
                <c:pt idx="753">
                  <c:v>690.928492655337</c:v>
                </c:pt>
                <c:pt idx="754">
                  <c:v>690.928492655337</c:v>
                </c:pt>
                <c:pt idx="755">
                  <c:v>690.928492655337</c:v>
                </c:pt>
                <c:pt idx="756">
                  <c:v>690.928492655337</c:v>
                </c:pt>
                <c:pt idx="757">
                  <c:v>690.928492655337</c:v>
                </c:pt>
                <c:pt idx="758">
                  <c:v>690.928492655337</c:v>
                </c:pt>
                <c:pt idx="759">
                  <c:v>690.928492655337</c:v>
                </c:pt>
                <c:pt idx="760">
                  <c:v>690.928492655337</c:v>
                </c:pt>
                <c:pt idx="761">
                  <c:v>690.928492655337</c:v>
                </c:pt>
                <c:pt idx="762">
                  <c:v>690.928492655337</c:v>
                </c:pt>
                <c:pt idx="763">
                  <c:v>690.928492655337</c:v>
                </c:pt>
                <c:pt idx="764">
                  <c:v>690.928492655337</c:v>
                </c:pt>
                <c:pt idx="765">
                  <c:v>690.928492655337</c:v>
                </c:pt>
                <c:pt idx="766">
                  <c:v>690.928492655337</c:v>
                </c:pt>
                <c:pt idx="767">
                  <c:v>690.928492655337</c:v>
                </c:pt>
                <c:pt idx="768">
                  <c:v>690.928492655337</c:v>
                </c:pt>
                <c:pt idx="769">
                  <c:v>690.928492655337</c:v>
                </c:pt>
                <c:pt idx="770">
                  <c:v>690.928492655337</c:v>
                </c:pt>
                <c:pt idx="771">
                  <c:v>690.928492655337</c:v>
                </c:pt>
                <c:pt idx="772">
                  <c:v>690.928492655337</c:v>
                </c:pt>
                <c:pt idx="773">
                  <c:v>690.928492655337</c:v>
                </c:pt>
                <c:pt idx="774">
                  <c:v>690.928492655337</c:v>
                </c:pt>
                <c:pt idx="775">
                  <c:v>690.928492655337</c:v>
                </c:pt>
                <c:pt idx="776">
                  <c:v>690.928492655337</c:v>
                </c:pt>
                <c:pt idx="777">
                  <c:v>690.928492655337</c:v>
                </c:pt>
                <c:pt idx="778">
                  <c:v>690.928492655337</c:v>
                </c:pt>
                <c:pt idx="779">
                  <c:v>690.928492655337</c:v>
                </c:pt>
                <c:pt idx="780">
                  <c:v>690.928492655337</c:v>
                </c:pt>
                <c:pt idx="781">
                  <c:v>690.928492655337</c:v>
                </c:pt>
                <c:pt idx="782">
                  <c:v>690.928492655337</c:v>
                </c:pt>
                <c:pt idx="783">
                  <c:v>690.928492655337</c:v>
                </c:pt>
                <c:pt idx="784">
                  <c:v>690.928492655337</c:v>
                </c:pt>
                <c:pt idx="785">
                  <c:v>690.928492655337</c:v>
                </c:pt>
                <c:pt idx="786">
                  <c:v>690.928492655337</c:v>
                </c:pt>
                <c:pt idx="787">
                  <c:v>690.928492655337</c:v>
                </c:pt>
                <c:pt idx="788">
                  <c:v>690.928492655337</c:v>
                </c:pt>
                <c:pt idx="789">
                  <c:v>690.928492655337</c:v>
                </c:pt>
                <c:pt idx="790">
                  <c:v>690.928492655337</c:v>
                </c:pt>
                <c:pt idx="791">
                  <c:v>690.928492655337</c:v>
                </c:pt>
                <c:pt idx="792">
                  <c:v>690.928492655337</c:v>
                </c:pt>
                <c:pt idx="793">
                  <c:v>690.928492655337</c:v>
                </c:pt>
                <c:pt idx="794">
                  <c:v>690.928492655337</c:v>
                </c:pt>
                <c:pt idx="795">
                  <c:v>690.928492655337</c:v>
                </c:pt>
                <c:pt idx="796">
                  <c:v>690.928492655337</c:v>
                </c:pt>
                <c:pt idx="797">
                  <c:v>690.928492655337</c:v>
                </c:pt>
                <c:pt idx="798">
                  <c:v>690.928492655337</c:v>
                </c:pt>
                <c:pt idx="799">
                  <c:v>690.928492655337</c:v>
                </c:pt>
                <c:pt idx="800">
                  <c:v>690.928492655337</c:v>
                </c:pt>
                <c:pt idx="801">
                  <c:v>690.928492655337</c:v>
                </c:pt>
                <c:pt idx="802">
                  <c:v>690.928492655337</c:v>
                </c:pt>
                <c:pt idx="803">
                  <c:v>690.928492655337</c:v>
                </c:pt>
                <c:pt idx="804">
                  <c:v>690.928492655337</c:v>
                </c:pt>
                <c:pt idx="805">
                  <c:v>690.928492655337</c:v>
                </c:pt>
                <c:pt idx="806">
                  <c:v>690.928492655337</c:v>
                </c:pt>
                <c:pt idx="807">
                  <c:v>690.928492655337</c:v>
                </c:pt>
                <c:pt idx="808">
                  <c:v>690.928492655337</c:v>
                </c:pt>
                <c:pt idx="809">
                  <c:v>690.928492655337</c:v>
                </c:pt>
                <c:pt idx="810">
                  <c:v>690.928492655337</c:v>
                </c:pt>
                <c:pt idx="811">
                  <c:v>690.928492655337</c:v>
                </c:pt>
                <c:pt idx="812">
                  <c:v>690.928492655337</c:v>
                </c:pt>
                <c:pt idx="813">
                  <c:v>690.928492655337</c:v>
                </c:pt>
                <c:pt idx="814">
                  <c:v>690.928492655337</c:v>
                </c:pt>
                <c:pt idx="815">
                  <c:v>690.928492655337</c:v>
                </c:pt>
                <c:pt idx="816">
                  <c:v>690.928492655337</c:v>
                </c:pt>
                <c:pt idx="817">
                  <c:v>690.928492655337</c:v>
                </c:pt>
                <c:pt idx="818">
                  <c:v>690.928492655337</c:v>
                </c:pt>
                <c:pt idx="819">
                  <c:v>690.928492655337</c:v>
                </c:pt>
                <c:pt idx="820">
                  <c:v>690.928492655337</c:v>
                </c:pt>
                <c:pt idx="821">
                  <c:v>690.928492655337</c:v>
                </c:pt>
                <c:pt idx="822">
                  <c:v>690.928492655337</c:v>
                </c:pt>
                <c:pt idx="823">
                  <c:v>690.928492655337</c:v>
                </c:pt>
                <c:pt idx="824">
                  <c:v>690.928492655337</c:v>
                </c:pt>
                <c:pt idx="825">
                  <c:v>690.928492655337</c:v>
                </c:pt>
                <c:pt idx="826">
                  <c:v>690.928492655337</c:v>
                </c:pt>
                <c:pt idx="827">
                  <c:v>690.928492655337</c:v>
                </c:pt>
                <c:pt idx="828">
                  <c:v>690.928492655337</c:v>
                </c:pt>
                <c:pt idx="829">
                  <c:v>690.928492655337</c:v>
                </c:pt>
                <c:pt idx="830">
                  <c:v>690.928492655337</c:v>
                </c:pt>
                <c:pt idx="831">
                  <c:v>690.928492655337</c:v>
                </c:pt>
                <c:pt idx="832">
                  <c:v>690.928492655337</c:v>
                </c:pt>
                <c:pt idx="833">
                  <c:v>690.928492655337</c:v>
                </c:pt>
                <c:pt idx="834">
                  <c:v>690.928492655337</c:v>
                </c:pt>
                <c:pt idx="835">
                  <c:v>690.928492655337</c:v>
                </c:pt>
                <c:pt idx="836">
                  <c:v>690.928492655337</c:v>
                </c:pt>
                <c:pt idx="837">
                  <c:v>690.928492655337</c:v>
                </c:pt>
                <c:pt idx="838">
                  <c:v>690.928492655337</c:v>
                </c:pt>
                <c:pt idx="839">
                  <c:v>690.928492655337</c:v>
                </c:pt>
                <c:pt idx="840">
                  <c:v>690.928492655337</c:v>
                </c:pt>
                <c:pt idx="841">
                  <c:v>690.928492655337</c:v>
                </c:pt>
                <c:pt idx="842">
                  <c:v>690.928492655337</c:v>
                </c:pt>
                <c:pt idx="843">
                  <c:v>690.928492655337</c:v>
                </c:pt>
                <c:pt idx="844">
                  <c:v>690.928492655337</c:v>
                </c:pt>
                <c:pt idx="845">
                  <c:v>690.928492655337</c:v>
                </c:pt>
                <c:pt idx="846">
                  <c:v>690.928492655337</c:v>
                </c:pt>
                <c:pt idx="847">
                  <c:v>690.928492655337</c:v>
                </c:pt>
                <c:pt idx="848">
                  <c:v>690.928492655337</c:v>
                </c:pt>
                <c:pt idx="849">
                  <c:v>690.928492655337</c:v>
                </c:pt>
                <c:pt idx="850">
                  <c:v>690.928492655337</c:v>
                </c:pt>
                <c:pt idx="851">
                  <c:v>690.928492655337</c:v>
                </c:pt>
                <c:pt idx="852">
                  <c:v>690.928492655337</c:v>
                </c:pt>
                <c:pt idx="853">
                  <c:v>690.928492655337</c:v>
                </c:pt>
                <c:pt idx="854">
                  <c:v>690.928492655337</c:v>
                </c:pt>
                <c:pt idx="855">
                  <c:v>690.928492655337</c:v>
                </c:pt>
                <c:pt idx="856">
                  <c:v>690.928492655337</c:v>
                </c:pt>
                <c:pt idx="857">
                  <c:v>690.928492655337</c:v>
                </c:pt>
                <c:pt idx="858">
                  <c:v>690.928492655337</c:v>
                </c:pt>
                <c:pt idx="859">
                  <c:v>690.928492655337</c:v>
                </c:pt>
                <c:pt idx="860">
                  <c:v>690.928492655337</c:v>
                </c:pt>
                <c:pt idx="861">
                  <c:v>690.928492655337</c:v>
                </c:pt>
                <c:pt idx="862">
                  <c:v>690.928492655337</c:v>
                </c:pt>
                <c:pt idx="863">
                  <c:v>690.928492655337</c:v>
                </c:pt>
                <c:pt idx="864">
                  <c:v>690.928492655337</c:v>
                </c:pt>
                <c:pt idx="865">
                  <c:v>690.928492655337</c:v>
                </c:pt>
                <c:pt idx="866">
                  <c:v>690.928492655337</c:v>
                </c:pt>
                <c:pt idx="867">
                  <c:v>690.928492655337</c:v>
                </c:pt>
                <c:pt idx="868">
                  <c:v>690.928492655337</c:v>
                </c:pt>
                <c:pt idx="869">
                  <c:v>690.928492655337</c:v>
                </c:pt>
                <c:pt idx="870">
                  <c:v>690.928492655337</c:v>
                </c:pt>
                <c:pt idx="871">
                  <c:v>690.928492655337</c:v>
                </c:pt>
                <c:pt idx="872">
                  <c:v>690.928492655337</c:v>
                </c:pt>
                <c:pt idx="873">
                  <c:v>690.928492655337</c:v>
                </c:pt>
                <c:pt idx="874">
                  <c:v>690.928492655337</c:v>
                </c:pt>
                <c:pt idx="875">
                  <c:v>690.928492655337</c:v>
                </c:pt>
                <c:pt idx="876">
                  <c:v>690.928492655337</c:v>
                </c:pt>
                <c:pt idx="877">
                  <c:v>690.928492655337</c:v>
                </c:pt>
                <c:pt idx="878">
                  <c:v>690.928492655337</c:v>
                </c:pt>
                <c:pt idx="879">
                  <c:v>690.928492655337</c:v>
                </c:pt>
                <c:pt idx="880">
                  <c:v>690.928492655337</c:v>
                </c:pt>
                <c:pt idx="881">
                  <c:v>690.928492655337</c:v>
                </c:pt>
                <c:pt idx="882">
                  <c:v>690.928492655337</c:v>
                </c:pt>
                <c:pt idx="883">
                  <c:v>690.928492655337</c:v>
                </c:pt>
                <c:pt idx="884">
                  <c:v>690.928492655337</c:v>
                </c:pt>
                <c:pt idx="885">
                  <c:v>690.928492655337</c:v>
                </c:pt>
                <c:pt idx="886">
                  <c:v>690.928492655337</c:v>
                </c:pt>
                <c:pt idx="887">
                  <c:v>690.928492655337</c:v>
                </c:pt>
                <c:pt idx="888">
                  <c:v>690.928492655337</c:v>
                </c:pt>
                <c:pt idx="889">
                  <c:v>690.928492655337</c:v>
                </c:pt>
                <c:pt idx="890">
                  <c:v>690.928492655337</c:v>
                </c:pt>
                <c:pt idx="891">
                  <c:v>690.928492655337</c:v>
                </c:pt>
                <c:pt idx="892">
                  <c:v>690.928492655337</c:v>
                </c:pt>
                <c:pt idx="893">
                  <c:v>690.928492655337</c:v>
                </c:pt>
                <c:pt idx="894">
                  <c:v>690.928492655337</c:v>
                </c:pt>
                <c:pt idx="895">
                  <c:v>690.928492655337</c:v>
                </c:pt>
                <c:pt idx="896">
                  <c:v>690.928492655337</c:v>
                </c:pt>
                <c:pt idx="897">
                  <c:v>690.928492655337</c:v>
                </c:pt>
                <c:pt idx="898">
                  <c:v>690.928492655337</c:v>
                </c:pt>
                <c:pt idx="899">
                  <c:v>690.928492655337</c:v>
                </c:pt>
                <c:pt idx="900">
                  <c:v>690.928492655337</c:v>
                </c:pt>
                <c:pt idx="901">
                  <c:v>690.928492655337</c:v>
                </c:pt>
                <c:pt idx="902">
                  <c:v>690.928492655337</c:v>
                </c:pt>
                <c:pt idx="903">
                  <c:v>690.928492655337</c:v>
                </c:pt>
                <c:pt idx="904">
                  <c:v>690.928492655337</c:v>
                </c:pt>
                <c:pt idx="905">
                  <c:v>690.928492655337</c:v>
                </c:pt>
                <c:pt idx="906">
                  <c:v>690.928492655337</c:v>
                </c:pt>
                <c:pt idx="907">
                  <c:v>690.928492655337</c:v>
                </c:pt>
                <c:pt idx="908">
                  <c:v>690.928492655337</c:v>
                </c:pt>
                <c:pt idx="909">
                  <c:v>690.928492655337</c:v>
                </c:pt>
                <c:pt idx="910">
                  <c:v>690.928492655337</c:v>
                </c:pt>
                <c:pt idx="911">
                  <c:v>690.928492655337</c:v>
                </c:pt>
                <c:pt idx="912">
                  <c:v>690.928492655337</c:v>
                </c:pt>
                <c:pt idx="913">
                  <c:v>690.928492655337</c:v>
                </c:pt>
                <c:pt idx="914">
                  <c:v>690.928492655337</c:v>
                </c:pt>
                <c:pt idx="915">
                  <c:v>690.928492655337</c:v>
                </c:pt>
                <c:pt idx="916">
                  <c:v>690.928492655337</c:v>
                </c:pt>
                <c:pt idx="917">
                  <c:v>690.928492655337</c:v>
                </c:pt>
                <c:pt idx="918">
                  <c:v>690.928492655337</c:v>
                </c:pt>
                <c:pt idx="919">
                  <c:v>690.928492655337</c:v>
                </c:pt>
                <c:pt idx="920">
                  <c:v>690.928492655337</c:v>
                </c:pt>
                <c:pt idx="921">
                  <c:v>690.928492655337</c:v>
                </c:pt>
                <c:pt idx="922">
                  <c:v>690.928492655337</c:v>
                </c:pt>
                <c:pt idx="923">
                  <c:v>690.928492655337</c:v>
                </c:pt>
                <c:pt idx="924">
                  <c:v>690.928492655337</c:v>
                </c:pt>
                <c:pt idx="925">
                  <c:v>690.928492655337</c:v>
                </c:pt>
                <c:pt idx="926">
                  <c:v>690.928492655337</c:v>
                </c:pt>
                <c:pt idx="927">
                  <c:v>690.928492655337</c:v>
                </c:pt>
                <c:pt idx="928">
                  <c:v>690.928492655337</c:v>
                </c:pt>
                <c:pt idx="929">
                  <c:v>690.928492655337</c:v>
                </c:pt>
                <c:pt idx="930">
                  <c:v>690.928492655337</c:v>
                </c:pt>
                <c:pt idx="931">
                  <c:v>690.928492655337</c:v>
                </c:pt>
                <c:pt idx="932">
                  <c:v>690.928492655337</c:v>
                </c:pt>
                <c:pt idx="933">
                  <c:v>690.928492655337</c:v>
                </c:pt>
                <c:pt idx="934">
                  <c:v>690.928492655337</c:v>
                </c:pt>
                <c:pt idx="935">
                  <c:v>690.928492655337</c:v>
                </c:pt>
                <c:pt idx="936">
                  <c:v>690.928492655337</c:v>
                </c:pt>
                <c:pt idx="937">
                  <c:v>690.928492655337</c:v>
                </c:pt>
                <c:pt idx="938">
                  <c:v>690.928492655337</c:v>
                </c:pt>
                <c:pt idx="939">
                  <c:v>690.928492655337</c:v>
                </c:pt>
                <c:pt idx="940">
                  <c:v>690.928492655337</c:v>
                </c:pt>
                <c:pt idx="941">
                  <c:v>690.928492655337</c:v>
                </c:pt>
                <c:pt idx="942">
                  <c:v>690.928492655337</c:v>
                </c:pt>
                <c:pt idx="943">
                  <c:v>690.928492655337</c:v>
                </c:pt>
                <c:pt idx="944">
                  <c:v>690.928492655337</c:v>
                </c:pt>
                <c:pt idx="945">
                  <c:v>690.928492655337</c:v>
                </c:pt>
                <c:pt idx="946">
                  <c:v>690.928492655337</c:v>
                </c:pt>
                <c:pt idx="947">
                  <c:v>690.928492655337</c:v>
                </c:pt>
                <c:pt idx="948">
                  <c:v>690.928492655337</c:v>
                </c:pt>
                <c:pt idx="949">
                  <c:v>690.928492655337</c:v>
                </c:pt>
                <c:pt idx="950">
                  <c:v>690.928492655337</c:v>
                </c:pt>
                <c:pt idx="951">
                  <c:v>690.928492655337</c:v>
                </c:pt>
                <c:pt idx="952">
                  <c:v>690.928492655337</c:v>
                </c:pt>
                <c:pt idx="953">
                  <c:v>690.928492655337</c:v>
                </c:pt>
                <c:pt idx="954">
                  <c:v>690.928492655337</c:v>
                </c:pt>
                <c:pt idx="955">
                  <c:v>690.928492655337</c:v>
                </c:pt>
                <c:pt idx="956">
                  <c:v>690.928492655337</c:v>
                </c:pt>
                <c:pt idx="957">
                  <c:v>690.928492655337</c:v>
                </c:pt>
                <c:pt idx="958">
                  <c:v>690.928492655337</c:v>
                </c:pt>
                <c:pt idx="959">
                  <c:v>690.928492655337</c:v>
                </c:pt>
                <c:pt idx="960">
                  <c:v>690.928492655337</c:v>
                </c:pt>
                <c:pt idx="961">
                  <c:v>690.928492655337</c:v>
                </c:pt>
                <c:pt idx="962">
                  <c:v>690.928492655337</c:v>
                </c:pt>
                <c:pt idx="963">
                  <c:v>690.928492655337</c:v>
                </c:pt>
                <c:pt idx="964">
                  <c:v>690.928492655337</c:v>
                </c:pt>
                <c:pt idx="965">
                  <c:v>690.928492655337</c:v>
                </c:pt>
                <c:pt idx="966">
                  <c:v>690.928492655337</c:v>
                </c:pt>
                <c:pt idx="967">
                  <c:v>690.928492655337</c:v>
                </c:pt>
                <c:pt idx="968">
                  <c:v>690.928492655337</c:v>
                </c:pt>
                <c:pt idx="969">
                  <c:v>690.928492655337</c:v>
                </c:pt>
                <c:pt idx="970">
                  <c:v>690.928492655337</c:v>
                </c:pt>
                <c:pt idx="971">
                  <c:v>690.928492655337</c:v>
                </c:pt>
                <c:pt idx="972">
                  <c:v>690.928492655337</c:v>
                </c:pt>
                <c:pt idx="973">
                  <c:v>690.928492655337</c:v>
                </c:pt>
                <c:pt idx="974">
                  <c:v>690.928492655337</c:v>
                </c:pt>
                <c:pt idx="975">
                  <c:v>690.928492655337</c:v>
                </c:pt>
                <c:pt idx="976">
                  <c:v>690.928492655337</c:v>
                </c:pt>
                <c:pt idx="977">
                  <c:v>690.928492655337</c:v>
                </c:pt>
                <c:pt idx="978">
                  <c:v>690.928492655337</c:v>
                </c:pt>
                <c:pt idx="979">
                  <c:v>690.928492655337</c:v>
                </c:pt>
                <c:pt idx="980">
                  <c:v>690.928492655337</c:v>
                </c:pt>
                <c:pt idx="981">
                  <c:v>690.928492655337</c:v>
                </c:pt>
                <c:pt idx="982">
                  <c:v>690.928492655337</c:v>
                </c:pt>
                <c:pt idx="983">
                  <c:v>690.928492655337</c:v>
                </c:pt>
                <c:pt idx="984">
                  <c:v>690.928492655337</c:v>
                </c:pt>
                <c:pt idx="985">
                  <c:v>690.928492655337</c:v>
                </c:pt>
                <c:pt idx="986">
                  <c:v>690.928492655337</c:v>
                </c:pt>
                <c:pt idx="987">
                  <c:v>690.928492655337</c:v>
                </c:pt>
                <c:pt idx="988">
                  <c:v>690.928492655337</c:v>
                </c:pt>
                <c:pt idx="989">
                  <c:v>690.928492655337</c:v>
                </c:pt>
                <c:pt idx="990">
                  <c:v>690.928492655337</c:v>
                </c:pt>
                <c:pt idx="991">
                  <c:v>690.928492655337</c:v>
                </c:pt>
                <c:pt idx="992">
                  <c:v>690.928492655337</c:v>
                </c:pt>
                <c:pt idx="993">
                  <c:v>690.928492655337</c:v>
                </c:pt>
                <c:pt idx="994">
                  <c:v>690.928492655337</c:v>
                </c:pt>
                <c:pt idx="995">
                  <c:v>690.928492655337</c:v>
                </c:pt>
                <c:pt idx="996">
                  <c:v>690.928492655337</c:v>
                </c:pt>
                <c:pt idx="997">
                  <c:v>690.928492655337</c:v>
                </c:pt>
                <c:pt idx="998">
                  <c:v>690.928492655337</c:v>
                </c:pt>
                <c:pt idx="999">
                  <c:v>690.928492655337</c:v>
                </c:pt>
                <c:pt idx="1000">
                  <c:v>690.928492655337</c:v>
                </c:pt>
              </c:numCache>
            </c:numRef>
          </c:xVal>
          <c:yVal>
            <c:numRef>
              <c:f>Calculs!$K$4:$K$1004</c:f>
              <c:numCache>
                <c:formatCode>General</c:formatCode>
                <c:ptCount val="1001"/>
                <c:pt idx="0">
                  <c:v>0</c:v>
                </c:pt>
                <c:pt idx="1">
                  <c:v>0.000809369121977596</c:v>
                </c:pt>
                <c:pt idx="2">
                  <c:v>0.00681497705424646</c:v>
                </c:pt>
                <c:pt idx="3">
                  <c:v>0.0237742342654421</c:v>
                </c:pt>
                <c:pt idx="4">
                  <c:v>0.0536390370688621</c:v>
                </c:pt>
                <c:pt idx="5">
                  <c:v>0.0959528173126447</c:v>
                </c:pt>
                <c:pt idx="6">
                  <c:v>0.150397298662818</c:v>
                </c:pt>
                <c:pt idx="7">
                  <c:v>0.216932234156586</c:v>
                </c:pt>
                <c:pt idx="8">
                  <c:v>0.295656592254106</c:v>
                </c:pt>
                <c:pt idx="9">
                  <c:v>0.386669378019447</c:v>
                </c:pt>
                <c:pt idx="10">
                  <c:v>0.490069630937058</c:v>
                </c:pt>
                <c:pt idx="11">
                  <c:v>0.605941961097425</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4.52381044693113</c:v>
                </c:pt>
                <c:pt idx="29">
                  <c:v>4.87051495281694</c:v>
                </c:pt>
                <c:pt idx="30">
                  <c:v>5.23023195522687</c:v>
                </c:pt>
                <c:pt idx="31">
                  <c:v>5.60297611074379</c:v>
                </c:pt>
                <c:pt idx="32">
                  <c:v>5.98876196007513</c:v>
                </c:pt>
                <c:pt idx="33">
                  <c:v>6.38760392523191</c:v>
                </c:pt>
                <c:pt idx="34">
                  <c:v>6.79951630690016</c:v>
                </c:pt>
                <c:pt idx="35">
                  <c:v>7.2245132819825</c:v>
                </c:pt>
                <c:pt idx="36">
                  <c:v>7.66260890129063</c:v>
                </c:pt>
                <c:pt idx="37">
                  <c:v>8.11381708737258</c:v>
                </c:pt>
                <c:pt idx="38">
                  <c:v>8.57815163246043</c:v>
                </c:pt>
                <c:pt idx="39">
                  <c:v>9.05562619652656</c:v>
                </c:pt>
                <c:pt idx="40">
                  <c:v>9.54625430543776</c:v>
                </c:pt>
                <c:pt idx="41">
                  <c:v>10.0500448353437</c:v>
                </c:pt>
                <c:pt idx="42">
                  <c:v>10.5669974874658</c:v>
                </c:pt>
                <c:pt idx="43">
                  <c:v>11.0971072870597</c:v>
                </c:pt>
                <c:pt idx="44">
                  <c:v>11.6403690924156</c:v>
                </c:pt>
                <c:pt idx="45">
                  <c:v>12.1967775939708</c:v>
                </c:pt>
                <c:pt idx="46">
                  <c:v>12.7663273134904</c:v>
                </c:pt>
                <c:pt idx="47">
                  <c:v>13.3490126033098</c:v>
                </c:pt>
                <c:pt idx="48">
                  <c:v>13.944827645637</c:v>
                </c:pt>
                <c:pt idx="49">
                  <c:v>14.5537664519077</c:v>
                </c:pt>
                <c:pt idx="50">
                  <c:v>15.1758228621925</c:v>
                </c:pt>
                <c:pt idx="51">
                  <c:v>15.8109905446507</c:v>
                </c:pt>
                <c:pt idx="52">
                  <c:v>16.4592629950292</c:v>
                </c:pt>
                <c:pt idx="53">
                  <c:v>17.1206335362031</c:v>
                </c:pt>
                <c:pt idx="54">
                  <c:v>17.795095317757</c:v>
                </c:pt>
                <c:pt idx="55">
                  <c:v>18.4826413156022</c:v>
                </c:pt>
                <c:pt idx="56">
                  <c:v>19.1832643316316</c:v>
                </c:pt>
                <c:pt idx="57">
                  <c:v>19.8969569934066</c:v>
                </c:pt>
                <c:pt idx="58">
                  <c:v>20.6237117538779</c:v>
                </c:pt>
                <c:pt idx="59">
                  <c:v>21.3635208911363</c:v>
                </c:pt>
                <c:pt idx="60">
                  <c:v>22.116376508193</c:v>
                </c:pt>
                <c:pt idx="61">
                  <c:v>22.8822705327891</c:v>
                </c:pt>
                <c:pt idx="62">
                  <c:v>23.6611947172314</c:v>
                </c:pt>
                <c:pt idx="63">
                  <c:v>24.4531406382549</c:v>
                </c:pt>
                <c:pt idx="64">
                  <c:v>25.2580996969102</c:v>
                </c:pt>
                <c:pt idx="65">
                  <c:v>26.0760631184758</c:v>
                </c:pt>
                <c:pt idx="66">
                  <c:v>26.9070219523937</c:v>
                </c:pt>
                <c:pt idx="67">
                  <c:v>27.7509670722276</c:v>
                </c:pt>
                <c:pt idx="68">
                  <c:v>28.6078891756439</c:v>
                </c:pt>
                <c:pt idx="69">
                  <c:v>29.4777787844132</c:v>
                </c:pt>
                <c:pt idx="70">
                  <c:v>30.3606262444339</c:v>
                </c:pt>
                <c:pt idx="71">
                  <c:v>31.2564217257753</c:v>
                </c:pt>
                <c:pt idx="72">
                  <c:v>32.1651552227409</c:v>
                </c:pt>
                <c:pt idx="73">
                  <c:v>33.0868165539511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47.3403191008921</c:v>
                </c:pt>
                <c:pt idx="88">
                  <c:v>48.4540382067721</c:v>
                </c:pt>
                <c:pt idx="89">
                  <c:v>49.5803513373839</c:v>
                </c:pt>
                <c:pt idx="90">
                  <c:v>50.7192268975048</c:v>
                </c:pt>
                <c:pt idx="91">
                  <c:v>51.8706310841689</c:v>
                </c:pt>
                <c:pt idx="92">
                  <c:v>53.0345258597699</c:v>
                </c:pt>
                <c:pt idx="93">
                  <c:v>54.2108709752172</c:v>
                </c:pt>
                <c:pt idx="94">
                  <c:v>55.3996259962981</c:v>
                </c:pt>
                <c:pt idx="95">
                  <c:v>56.6007503052889</c:v>
                </c:pt>
                <c:pt idx="96">
                  <c:v>57.8142031025794</c:v>
                </c:pt>
                <c:pt idx="97">
                  <c:v>59.0399434083093</c:v>
                </c:pt>
                <c:pt idx="98">
                  <c:v>60.2779300640165</c:v>
                </c:pt>
                <c:pt idx="99">
                  <c:v>61.5281217342969</c:v>
                </c:pt>
                <c:pt idx="100">
                  <c:v>62.7904769084752</c:v>
                </c:pt>
                <c:pt idx="101">
                  <c:v>64.0649535783243</c:v>
                </c:pt>
                <c:pt idx="102">
                  <c:v>65.3515089153761</c:v>
                </c:pt>
                <c:pt idx="103">
                  <c:v>66.6500995962024</c:v>
                </c:pt>
                <c:pt idx="104">
                  <c:v>67.9606821281556</c:v>
                </c:pt>
                <c:pt idx="105">
                  <c:v>69.2832128511519</c:v>
                </c:pt>
                <c:pt idx="106">
                  <c:v>70.617647939464</c:v>
                </c:pt>
                <c:pt idx="107">
                  <c:v>71.9639434035227</c:v>
                </c:pt>
                <c:pt idx="108">
                  <c:v>73.322055091726</c:v>
                </c:pt>
                <c:pt idx="109">
                  <c:v>74.6919386922565</c:v>
                </c:pt>
                <c:pt idx="110">
                  <c:v>76.0735497349065</c:v>
                </c:pt>
                <c:pt idx="111">
                  <c:v>77.4668473235084</c:v>
                </c:pt>
                <c:pt idx="112">
                  <c:v>78.8717978724917</c:v>
                </c:pt>
                <c:pt idx="113">
                  <c:v>80.2883713812461</c:v>
                </c:pt>
                <c:pt idx="114">
                  <c:v>81.7165377040319</c:v>
                </c:pt>
                <c:pt idx="115">
                  <c:v>83.1562665511598</c:v>
                </c:pt>
                <c:pt idx="116">
                  <c:v>84.6075274901793</c:v>
                </c:pt>
                <c:pt idx="117">
                  <c:v>86.070289947075</c:v>
                </c:pt>
                <c:pt idx="118">
                  <c:v>87.5445232074688</c:v>
                </c:pt>
                <c:pt idx="119">
                  <c:v>89.0301964178315</c:v>
                </c:pt>
                <c:pt idx="120">
                  <c:v>90.5272785866989</c:v>
                </c:pt>
                <c:pt idx="121">
                  <c:v>92.0357323971959</c:v>
                </c:pt>
                <c:pt idx="122">
                  <c:v>93.5555080137354</c:v>
                </c:pt>
                <c:pt idx="123">
                  <c:v>95.0865492687492</c:v>
                </c:pt>
                <c:pt idx="124">
                  <c:v>96.6287998558301</c:v>
                </c:pt>
                <c:pt idx="125">
                  <c:v>98.18220333213</c:v>
                </c:pt>
                <c:pt idx="126">
                  <c:v>99.7467031207575</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115.989223567471</c:v>
                </c:pt>
                <c:pt idx="137">
                  <c:v>117.671874993802</c:v>
                </c:pt>
                <c:pt idx="138">
                  <c:v>119.364888839612</c:v>
                </c:pt>
                <c:pt idx="139">
                  <c:v>121.068200522312</c:v>
                </c:pt>
                <c:pt idx="140">
                  <c:v>122.781745360408</c:v>
                </c:pt>
                <c:pt idx="141">
                  <c:v>124.505439197165</c:v>
                </c:pt>
                <c:pt idx="142">
                  <c:v>126.239159014771</c:v>
                </c:pt>
                <c:pt idx="143">
                  <c:v>127.982762322136</c:v>
                </c:pt>
                <c:pt idx="144">
                  <c:v>129.736106554507</c:v>
                </c:pt>
                <c:pt idx="145">
                  <c:v>131.499049080756</c:v>
                </c:pt>
                <c:pt idx="146">
                  <c:v>133.271447210596</c:v>
                </c:pt>
                <c:pt idx="147">
                  <c:v>135.053158201746</c:v>
                </c:pt>
                <c:pt idx="148">
                  <c:v>136.844039267026</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153.350498289288</c:v>
                </c:pt>
                <c:pt idx="158">
                  <c:v>155.224028762765</c:v>
                </c:pt>
                <c:pt idx="159">
                  <c:v>157.104056772517</c:v>
                </c:pt>
                <c:pt idx="160">
                  <c:v>158.99007313415</c:v>
                </c:pt>
                <c:pt idx="161">
                  <c:v>160.881452376397</c:v>
                </c:pt>
                <c:pt idx="162">
                  <c:v>162.777336189554</c:v>
                </c:pt>
                <c:pt idx="163">
                  <c:v>164.676761615208</c:v>
                </c:pt>
                <c:pt idx="164">
                  <c:v>166.578789170951</c:v>
                </c:pt>
                <c:pt idx="165">
                  <c:v>168.482603311807</c:v>
                </c:pt>
                <c:pt idx="166">
                  <c:v>170.387612715169</c:v>
                </c:pt>
                <c:pt idx="167">
                  <c:v>172.293253758675</c:v>
                </c:pt>
                <c:pt idx="168">
                  <c:v>174.198855599423</c:v>
                </c:pt>
                <c:pt idx="169">
                  <c:v>176.103550152462</c:v>
                </c:pt>
                <c:pt idx="170">
                  <c:v>178.00624363917</c:v>
                </c:pt>
                <c:pt idx="171">
                  <c:v>179.90617124101</c:v>
                </c:pt>
                <c:pt idx="172">
                  <c:v>181.803143928908</c:v>
                </c:pt>
                <c:pt idx="173">
                  <c:v>183.697168171124</c:v>
                </c:pt>
                <c:pt idx="174">
                  <c:v>185.588250410162</c:v>
                </c:pt>
                <c:pt idx="175">
                  <c:v>187.476397062908</c:v>
                </c:pt>
                <c:pt idx="176">
                  <c:v>189.361614520763</c:v>
                </c:pt>
                <c:pt idx="177">
                  <c:v>191.243909149777</c:v>
                </c:pt>
                <c:pt idx="178">
                  <c:v>193.123287290786</c:v>
                </c:pt>
                <c:pt idx="179">
                  <c:v>194.999755259537</c:v>
                </c:pt>
                <c:pt idx="180">
                  <c:v>196.873319346825</c:v>
                </c:pt>
                <c:pt idx="181">
                  <c:v>198.743985818621</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220.968216959713</c:v>
                </c:pt>
                <c:pt idx="194">
                  <c:v>222.801773570674</c:v>
                </c:pt>
                <c:pt idx="195">
                  <c:v>224.632517754234</c:v>
                </c:pt>
                <c:pt idx="196">
                  <c:v>226.460455419081</c:v>
                </c:pt>
                <c:pt idx="197">
                  <c:v>228.285592451052</c:v>
                </c:pt>
                <c:pt idx="198">
                  <c:v>230.107934713249</c:v>
                </c:pt>
                <c:pt idx="199">
                  <c:v>231.927488046157</c:v>
                </c:pt>
                <c:pt idx="200">
                  <c:v>233.744258267757</c:v>
                </c:pt>
                <c:pt idx="201">
                  <c:v>251.759338269024</c:v>
                </c:pt>
                <c:pt idx="202">
                  <c:v>269.499832784952</c:v>
                </c:pt>
                <c:pt idx="203">
                  <c:v>286.97134765305</c:v>
                </c:pt>
                <c:pt idx="204">
                  <c:v>304.179278247715</c:v>
                </c:pt>
                <c:pt idx="205">
                  <c:v>321.128819794228</c:v>
                </c:pt>
                <c:pt idx="206">
                  <c:v>337.824977049869</c:v>
                </c:pt>
                <c:pt idx="207">
                  <c:v>354.272573398403</c:v>
                </c:pt>
                <c:pt idx="208">
                  <c:v>370.476259400238</c:v>
                </c:pt>
                <c:pt idx="209">
                  <c:v>386.440520837068</c:v>
                </c:pt>
                <c:pt idx="210">
                  <c:v>402.169686286569</c:v>
                </c:pt>
                <c:pt idx="211">
                  <c:v>417.667934259837</c:v>
                </c:pt>
                <c:pt idx="212">
                  <c:v>432.939299931636</c:v>
                </c:pt>
                <c:pt idx="213">
                  <c:v>447.987681491085</c:v>
                </c:pt>
                <c:pt idx="214">
                  <c:v>462.816846138289</c:v>
                </c:pt>
                <c:pt idx="215">
                  <c:v>477.430435750407</c:v>
                </c:pt>
                <c:pt idx="216">
                  <c:v>491.831972238845</c:v>
                </c:pt>
                <c:pt idx="217">
                  <c:v>506.024862617608</c:v>
                </c:pt>
                <c:pt idx="218">
                  <c:v>520.012403801359</c:v>
                </c:pt>
                <c:pt idx="219">
                  <c:v>533.797787150326</c:v>
                </c:pt>
                <c:pt idx="220">
                  <c:v>547.384102777952</c:v>
                </c:pt>
                <c:pt idx="221">
                  <c:v>560.774343636018</c:v>
                </c:pt>
                <c:pt idx="222">
                  <c:v>573.971409390916</c:v>
                </c:pt>
                <c:pt idx="223">
                  <c:v>586.978110103761</c:v>
                </c:pt>
                <c:pt idx="224">
                  <c:v>599.797169726151</c:v>
                </c:pt>
                <c:pt idx="225">
                  <c:v>612.431229422539</c:v>
                </c:pt>
                <c:pt idx="226">
                  <c:v>624.882850729448</c:v>
                </c:pt>
                <c:pt idx="227">
                  <c:v>637.154518561036</c:v>
                </c:pt>
                <c:pt idx="228">
                  <c:v>649.248644069885</c:v>
                </c:pt>
                <c:pt idx="229">
                  <c:v>661.167567371297</c:v>
                </c:pt>
                <c:pt idx="230">
                  <c:v>672.913560138816</c:v>
                </c:pt>
                <c:pt idx="231">
                  <c:v>684.488828078198</c:v>
                </c:pt>
                <c:pt idx="232">
                  <c:v>695.895513286582</c:v>
                </c:pt>
                <c:pt idx="233">
                  <c:v>707.135696503156</c:v>
                </c:pt>
                <c:pt idx="234">
                  <c:v>718.211399257249</c:v>
                </c:pt>
                <c:pt idx="235">
                  <c:v>729.124585919368</c:v>
                </c:pt>
                <c:pt idx="236">
                  <c:v>739.877165660366</c:v>
                </c:pt>
                <c:pt idx="237">
                  <c:v>750.470994323609</c:v>
                </c:pt>
                <c:pt idx="238">
                  <c:v>760.907876214706</c:v>
                </c:pt>
                <c:pt idx="239">
                  <c:v>771.189565813081</c:v>
                </c:pt>
                <c:pt idx="240">
                  <c:v>781.317769409413</c:v>
                </c:pt>
                <c:pt idx="241">
                  <c:v>791.294146672729</c:v>
                </c:pt>
                <c:pt idx="242">
                  <c:v>801.120312150711</c:v>
                </c:pt>
                <c:pt idx="243">
                  <c:v>810.797836706551</c:v>
                </c:pt>
                <c:pt idx="244">
                  <c:v>820.328248895524</c:v>
                </c:pt>
                <c:pt idx="245">
                  <c:v>829.713036284235</c:v>
                </c:pt>
                <c:pt idx="246">
                  <c:v>838.953646715341</c:v>
                </c:pt>
                <c:pt idx="247">
                  <c:v>848.051489520393</c:v>
                </c:pt>
                <c:pt idx="248">
                  <c:v>857.007936683274</c:v>
                </c:pt>
                <c:pt idx="249">
                  <c:v>865.824323956595</c:v>
                </c:pt>
                <c:pt idx="250">
                  <c:v>874.501951933264</c:v>
                </c:pt>
                <c:pt idx="251">
                  <c:v>883.042087075321</c:v>
                </c:pt>
                <c:pt idx="252">
                  <c:v>891.445962702023</c:v>
                </c:pt>
                <c:pt idx="253">
                  <c:v>899.714779939057</c:v>
                </c:pt>
                <c:pt idx="254">
                  <c:v>907.849708630642</c:v>
                </c:pt>
                <c:pt idx="255">
                  <c:v>915.851888216219</c:v>
                </c:pt>
                <c:pt idx="256">
                  <c:v>923.722428573292</c:v>
                </c:pt>
                <c:pt idx="257">
                  <c:v>931.462410827955</c:v>
                </c:pt>
                <c:pt idx="258">
                  <c:v>939.072888134509</c:v>
                </c:pt>
                <c:pt idx="259">
                  <c:v>946.554886425535</c:v>
                </c:pt>
                <c:pt idx="260">
                  <c:v>953.909405133704</c:v>
                </c:pt>
                <c:pt idx="261">
                  <c:v>961.137417886551</c:v>
                </c:pt>
                <c:pt idx="262">
                  <c:v>968.239873175354</c:v>
                </c:pt>
                <c:pt idx="263">
                  <c:v>975.217694999242</c:v>
                </c:pt>
                <c:pt idx="264">
                  <c:v>982.071783485561</c:v>
                </c:pt>
                <c:pt idx="265">
                  <c:v>988.803015487493</c:v>
                </c:pt>
                <c:pt idx="266">
                  <c:v>995.412245159895</c:v>
                </c:pt>
                <c:pt idx="267">
                  <c:v>1001.90030451423</c:v>
                </c:pt>
                <c:pt idx="268">
                  <c:v>1008.26800395349</c:v>
                </c:pt>
                <c:pt idx="269">
                  <c:v>1014.51613278786</c:v>
                </c:pt>
                <c:pt idx="270">
                  <c:v>1020.64545973203</c:v>
                </c:pt>
                <c:pt idx="271">
                  <c:v>1026.65673338474</c:v>
                </c:pt>
                <c:pt idx="272">
                  <c:v>1032.55068269141</c:v>
                </c:pt>
                <c:pt idx="273">
                  <c:v>1038.32801739047</c:v>
                </c:pt>
                <c:pt idx="274">
                  <c:v>1043.98942844403</c:v>
                </c:pt>
                <c:pt idx="275">
                  <c:v>1049.53558845364</c:v>
                </c:pt>
                <c:pt idx="276">
                  <c:v>1054.96715206147</c:v>
                </c:pt>
                <c:pt idx="277">
                  <c:v>1060.28475633787</c:v>
                </c:pt>
                <c:pt idx="278">
                  <c:v>1065.48902115551</c:v>
                </c:pt>
                <c:pt idx="279">
                  <c:v>1070.58054955085</c:v>
                </c:pt>
                <c:pt idx="280">
                  <c:v>1075.55992807338</c:v>
                </c:pt>
                <c:pt idx="281">
                  <c:v>1080.42772712318</c:v>
                </c:pt>
                <c:pt idx="282">
                  <c:v>1085.18450127717</c:v>
                </c:pt>
                <c:pt idx="283">
                  <c:v>1089.83078960477</c:v>
                </c:pt>
                <c:pt idx="284">
                  <c:v>1094.36711597305</c:v>
                </c:pt>
                <c:pt idx="285">
                  <c:v>1098.79398934229</c:v>
                </c:pt>
                <c:pt idx="286">
                  <c:v>1103.11190405194</c:v>
                </c:pt>
                <c:pt idx="287">
                  <c:v>1107.32134009781</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1140.3971564499</c:v>
                </c:pt>
                <c:pt idx="297">
                  <c:v>1143.54523245974</c:v>
                </c:pt>
                <c:pt idx="298">
                  <c:v>1146.58923471149</c:v>
                </c:pt>
                <c:pt idx="299">
                  <c:v>1149.52949004743</c:v>
                </c:pt>
                <c:pt idx="300">
                  <c:v>1152.36631396239</c:v>
                </c:pt>
                <c:pt idx="301">
                  <c:v>1155.1000108056</c:v>
                </c:pt>
                <c:pt idx="302">
                  <c:v>1157.73087398174</c:v>
                </c:pt>
                <c:pt idx="303">
                  <c:v>1160.2591861519</c:v>
                </c:pt>
                <c:pt idx="304">
                  <c:v>1162.68521943538</c:v>
                </c:pt>
                <c:pt idx="305">
                  <c:v>1165.00923561341</c:v>
                </c:pt>
                <c:pt idx="306">
                  <c:v>1167.23148633575</c:v>
                </c:pt>
                <c:pt idx="307">
                  <c:v>1169.35221333152</c:v>
                </c:pt>
                <c:pt idx="308">
                  <c:v>1171.37164862532</c:v>
                </c:pt>
                <c:pt idx="309">
                  <c:v>1173.29001476041</c:v>
                </c:pt>
                <c:pt idx="310">
                  <c:v>1175.1075250301</c:v>
                </c:pt>
                <c:pt idx="311">
                  <c:v>1176.82438371933</c:v>
                </c:pt>
                <c:pt idx="312">
                  <c:v>1178.44078635796</c:v>
                </c:pt>
                <c:pt idx="313">
                  <c:v>1179.95691998779</c:v>
                </c:pt>
                <c:pt idx="314">
                  <c:v>1181.3729634453</c:v>
                </c:pt>
                <c:pt idx="315">
                  <c:v>1182.68908766194</c:v>
                </c:pt>
                <c:pt idx="316">
                  <c:v>1183.90545598429</c:v>
                </c:pt>
                <c:pt idx="317">
                  <c:v>1185.02222451576</c:v>
                </c:pt>
                <c:pt idx="318">
                  <c:v>1186.03954248212</c:v>
                </c:pt>
                <c:pt idx="319">
                  <c:v>1186.95755262217</c:v>
                </c:pt>
                <c:pt idx="320">
                  <c:v>1187.77639160531</c:v>
                </c:pt>
                <c:pt idx="321">
                  <c:v>1188.4961904768</c:v>
                </c:pt>
                <c:pt idx="322">
                  <c:v>1189.1170751314</c:v>
                </c:pt>
                <c:pt idx="323">
                  <c:v>1189.63916681507</c:v>
                </c:pt>
                <c:pt idx="324">
                  <c:v>1190.06258265402</c:v>
                </c:pt>
                <c:pt idx="325">
                  <c:v>1190.38743620944</c:v>
                </c:pt>
                <c:pt idx="326">
                  <c:v>1190.61383805511</c:v>
                </c:pt>
                <c:pt idx="327">
                  <c:v>1190.7418963748</c:v>
                </c:pt>
                <c:pt idx="328">
                  <c:v>1190.77171757483</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1182.26879748705</c:v>
                </c:pt>
                <c:pt idx="342">
                  <c:v>1180.93491877981</c:v>
                </c:pt>
                <c:pt idx="343">
                  <c:v>1179.50458700375</c:v>
                </c:pt>
                <c:pt idx="344">
                  <c:v>1177.97795584974</c:v>
                </c:pt>
                <c:pt idx="345">
                  <c:v>1176.35518532768</c:v>
                </c:pt>
                <c:pt idx="346">
                  <c:v>1174.6364419696</c:v>
                </c:pt>
                <c:pt idx="347">
                  <c:v>1172.82189900575</c:v>
                </c:pt>
                <c:pt idx="348">
                  <c:v>1170.91173651566</c:v>
                </c:pt>
                <c:pt idx="349">
                  <c:v>1168.90614155618</c:v>
                </c:pt>
                <c:pt idx="350">
                  <c:v>1166.8053082684</c:v>
                </c:pt>
                <c:pt idx="351">
                  <c:v>1164.60943796536</c:v>
                </c:pt>
                <c:pt idx="352">
                  <c:v>1162.31873920221</c:v>
                </c:pt>
                <c:pt idx="353">
                  <c:v>1159.93342783038</c:v>
                </c:pt>
                <c:pt idx="354">
                  <c:v>1157.4537270373</c:v>
                </c:pt>
                <c:pt idx="355">
                  <c:v>1154.87986737299</c:v>
                </c:pt>
                <c:pt idx="356">
                  <c:v>1152.2120867646</c:v>
                </c:pt>
                <c:pt idx="357">
                  <c:v>1149.45063052023</c:v>
                </c:pt>
                <c:pt idx="358">
                  <c:v>1146.59575132278</c:v>
                </c:pt>
                <c:pt idx="359">
                  <c:v>1143.6477092149</c:v>
                </c:pt>
                <c:pt idx="360">
                  <c:v>1140.60677157566</c:v>
                </c:pt>
                <c:pt idx="361">
                  <c:v>1137.47321308986</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1084.04899249818</c:v>
                </c:pt>
                <c:pt idx="376">
                  <c:v>1079.56389079921</c:v>
                </c:pt>
                <c:pt idx="377">
                  <c:v>1074.99151054388</c:v>
                </c:pt>
                <c:pt idx="378">
                  <c:v>1070.33224096776</c:v>
                </c:pt>
                <c:pt idx="379">
                  <c:v>1065.58647727694</c:v>
                </c:pt>
                <c:pt idx="380">
                  <c:v>1060.75462054727</c:v>
                </c:pt>
                <c:pt idx="381">
                  <c:v>1055.83707762198</c:v>
                </c:pt>
                <c:pt idx="382">
                  <c:v>1050.83426100772</c:v>
                </c:pt>
                <c:pt idx="383">
                  <c:v>1045.74658876908</c:v>
                </c:pt>
                <c:pt idx="384">
                  <c:v>1040.57448442188</c:v>
                </c:pt>
                <c:pt idx="385">
                  <c:v>1035.31837682509</c:v>
                </c:pt>
                <c:pt idx="386">
                  <c:v>1029.97870007167</c:v>
                </c:pt>
                <c:pt idx="387">
                  <c:v>1024.5558933783</c:v>
                </c:pt>
                <c:pt idx="388">
                  <c:v>1019.05040097411</c:v>
                </c:pt>
                <c:pt idx="389">
                  <c:v>1013.4626719886</c:v>
                </c:pt>
                <c:pt idx="390">
                  <c:v>1007.79316033861</c:v>
                </c:pt>
                <c:pt idx="391">
                  <c:v>1002.04232461467</c:v>
                </c:pt>
                <c:pt idx="392">
                  <c:v>996.210627966583</c:v>
                </c:pt>
                <c:pt idx="393">
                  <c:v>990.29853798852</c:v>
                </c:pt>
                <c:pt idx="394">
                  <c:v>984.306526603507</c:v>
                </c:pt>
                <c:pt idx="395">
                  <c:v>978.235069947512</c:v>
                </c:pt>
                <c:pt idx="396">
                  <c:v>972.084648253135</c:v>
                </c:pt>
                <c:pt idx="397">
                  <c:v>965.855745732987</c:v>
                </c:pt>
                <c:pt idx="398">
                  <c:v>959.548850462818</c:v>
                </c:pt>
                <c:pt idx="399">
                  <c:v>953.164454264457</c:v>
                </c:pt>
                <c:pt idx="400">
                  <c:v>946.703052588626</c:v>
                </c:pt>
                <c:pt idx="401">
                  <c:v>940.165144397693</c:v>
                </c:pt>
                <c:pt idx="402">
                  <c:v>933.551232048414</c:v>
                </c:pt>
                <c:pt idx="403">
                  <c:v>926.861821174727</c:v>
                </c:pt>
                <c:pt idx="404">
                  <c:v>920.097420570659</c:v>
                </c:pt>
                <c:pt idx="405">
                  <c:v>913.258542073387</c:v>
                </c:pt>
                <c:pt idx="406">
                  <c:v>906.345700446519</c:v>
                </c:pt>
                <c:pt idx="407">
                  <c:v>899.359413263647</c:v>
                </c:pt>
                <c:pt idx="408">
                  <c:v>892.300200792209</c:v>
                </c:pt>
                <c:pt idx="409">
                  <c:v>885.168585877736</c:v>
                </c:pt>
                <c:pt idx="410">
                  <c:v>877.965093828501</c:v>
                </c:pt>
                <c:pt idx="411">
                  <c:v>870.690252300642</c:v>
                </c:pt>
                <c:pt idx="412">
                  <c:v>863.344591183802</c:v>
                </c:pt>
                <c:pt idx="413">
                  <c:v>855.928642487311</c:v>
                </c:pt>
                <c:pt idx="414">
                  <c:v>848.442940226982</c:v>
                </c:pt>
                <c:pt idx="415">
                  <c:v>840.888020312549</c:v>
                </c:pt>
                <c:pt idx="416">
                  <c:v>833.264420435784</c:v>
                </c:pt>
                <c:pt idx="417">
                  <c:v>825.572679959345</c:v>
                </c:pt>
                <c:pt idx="418">
                  <c:v>817.813339806387</c:v>
                </c:pt>
                <c:pt idx="419">
                  <c:v>809.986942350978</c:v>
                </c:pt>
                <c:pt idx="420">
                  <c:v>802.094031309351</c:v>
                </c:pt>
                <c:pt idx="421">
                  <c:v>794.135151632036</c:v>
                </c:pt>
                <c:pt idx="422">
                  <c:v>786.110849396899</c:v>
                </c:pt>
                <c:pt idx="423">
                  <c:v>778.021671703125</c:v>
                </c:pt>
                <c:pt idx="424">
                  <c:v>769.868166566178</c:v>
                </c:pt>
                <c:pt idx="425">
                  <c:v>761.650882813765</c:v>
                </c:pt>
                <c:pt idx="426">
                  <c:v>753.370369982843</c:v>
                </c:pt>
                <c:pt idx="427">
                  <c:v>745.027178217683</c:v>
                </c:pt>
                <c:pt idx="428">
                  <c:v>736.621858169034</c:v>
                </c:pt>
                <c:pt idx="429">
                  <c:v>728.154960894401</c:v>
                </c:pt>
                <c:pt idx="430">
                  <c:v>719.627037759474</c:v>
                </c:pt>
                <c:pt idx="431">
                  <c:v>711.038640340723</c:v>
                </c:pt>
                <c:pt idx="432">
                  <c:v>702.390320329184</c:v>
                </c:pt>
                <c:pt idx="433">
                  <c:v>693.682629435462</c:v>
                </c:pt>
                <c:pt idx="434">
                  <c:v>684.916119295969</c:v>
                </c:pt>
                <c:pt idx="435">
                  <c:v>676.091341380416</c:v>
                </c:pt>
                <c:pt idx="436">
                  <c:v>667.208846900577</c:v>
                </c:pt>
                <c:pt idx="437">
                  <c:v>658.269186720353</c:v>
                </c:pt>
                <c:pt idx="438">
                  <c:v>649.272911267134</c:v>
                </c:pt>
                <c:pt idx="439">
                  <c:v>640.220570444489</c:v>
                </c:pt>
                <c:pt idx="440">
                  <c:v>631.112713546196</c:v>
                </c:pt>
                <c:pt idx="441">
                  <c:v>621.949889171623</c:v>
                </c:pt>
                <c:pt idx="442">
                  <c:v>612.73264514247</c:v>
                </c:pt>
                <c:pt idx="443">
                  <c:v>603.461528420892</c:v>
                </c:pt>
                <c:pt idx="444">
                  <c:v>594.137085029004</c:v>
                </c:pt>
                <c:pt idx="445">
                  <c:v>584.759859969784</c:v>
                </c:pt>
                <c:pt idx="446">
                  <c:v>575.330397149381</c:v>
                </c:pt>
                <c:pt idx="447">
                  <c:v>565.849239300835</c:v>
                </c:pt>
                <c:pt idx="448">
                  <c:v>556.31692790921</c:v>
                </c:pt>
                <c:pt idx="449">
                  <c:v>546.734003138163</c:v>
                </c:pt>
                <c:pt idx="450">
                  <c:v>537.101003757933</c:v>
                </c:pt>
                <c:pt idx="451">
                  <c:v>527.418467074768</c:v>
                </c:pt>
                <c:pt idx="452">
                  <c:v>517.686928861784</c:v>
                </c:pt>
                <c:pt idx="453">
                  <c:v>507.906923291271</c:v>
                </c:pt>
                <c:pt idx="454">
                  <c:v>498.078982868434</c:v>
                </c:pt>
                <c:pt idx="455">
                  <c:v>488.203638366576</c:v>
                </c:pt>
                <c:pt idx="456">
                  <c:v>478.281418763721</c:v>
                </c:pt>
                <c:pt idx="457">
                  <c:v>468.312851180684</c:v>
                </c:pt>
                <c:pt idx="458">
                  <c:v>458.298460820569</c:v>
                </c:pt>
                <c:pt idx="459">
                  <c:v>448.238770909716</c:v>
                </c:pt>
                <c:pt idx="460">
                  <c:v>438.134302640069</c:v>
                </c:pt>
                <c:pt idx="461">
                  <c:v>427.985575112982</c:v>
                </c:pt>
                <c:pt idx="462">
                  <c:v>417.79310528445</c:v>
                </c:pt>
                <c:pt idx="463">
                  <c:v>407.557407911754</c:v>
                </c:pt>
                <c:pt idx="464">
                  <c:v>397.278995501528</c:v>
                </c:pt>
                <c:pt idx="465">
                  <c:v>386.95837825923</c:v>
                </c:pt>
                <c:pt idx="466">
                  <c:v>376.596064040011</c:v>
                </c:pt>
                <c:pt idx="467">
                  <c:v>366.192558300989</c:v>
                </c:pt>
                <c:pt idx="468">
                  <c:v>355.748364054895</c:v>
                </c:pt>
                <c:pt idx="469">
                  <c:v>345.263981825105</c:v>
                </c:pt>
                <c:pt idx="470">
                  <c:v>334.739909602037</c:v>
                </c:pt>
                <c:pt idx="471">
                  <c:v>324.176642800906</c:v>
                </c:pt>
                <c:pt idx="472">
                  <c:v>313.574674220831</c:v>
                </c:pt>
                <c:pt idx="473">
                  <c:v>302.934494005271</c:v>
                </c:pt>
                <c:pt idx="474">
                  <c:v>292.256589603796</c:v>
                </c:pt>
                <c:pt idx="475">
                  <c:v>281.541445735168</c:v>
                </c:pt>
                <c:pt idx="476">
                  <c:v>270.789544351731</c:v>
                </c:pt>
                <c:pt idx="477">
                  <c:v>260.001364605083</c:v>
                </c:pt>
                <c:pt idx="478">
                  <c:v>249.177382813035</c:v>
                </c:pt>
                <c:pt idx="479">
                  <c:v>238.31807242783</c:v>
                </c:pt>
                <c:pt idx="480">
                  <c:v>227.423904005614</c:v>
                </c:pt>
                <c:pt idx="481">
                  <c:v>216.49534517715</c:v>
                </c:pt>
                <c:pt idx="482">
                  <c:v>205.53286061975</c:v>
                </c:pt>
                <c:pt idx="483">
                  <c:v>194.536912030422</c:v>
                </c:pt>
                <c:pt idx="484">
                  <c:v>183.507958100208</c:v>
                </c:pt>
                <c:pt idx="485">
                  <c:v>172.446454489711</c:v>
                </c:pt>
                <c:pt idx="486">
                  <c:v>161.352853805774</c:v>
                </c:pt>
                <c:pt idx="487">
                  <c:v>150.227605579323</c:v>
                </c:pt>
                <c:pt idx="488">
                  <c:v>139.071156244339</c:v>
                </c:pt>
                <c:pt idx="489">
                  <c:v>127.883949117947</c:v>
                </c:pt>
                <c:pt idx="490">
                  <c:v>116.666424381613</c:v>
                </c:pt>
                <c:pt idx="491">
                  <c:v>105.41901906343</c:v>
                </c:pt>
                <c:pt idx="492">
                  <c:v>94.1421670214652</c:v>
                </c:pt>
                <c:pt idx="493">
                  <c:v>82.8362989281763</c:v>
                </c:pt>
                <c:pt idx="494">
                  <c:v>71.5018422558558</c:v>
                </c:pt>
                <c:pt idx="495">
                  <c:v>60.1392212631031</c:v>
                </c:pt>
                <c:pt idx="496">
                  <c:v>48.7488569822998</c:v>
                </c:pt>
                <c:pt idx="497">
                  <c:v>37.3311672080754</c:v>
                </c:pt>
                <c:pt idx="498">
                  <c:v>25.8865664867444</c:v>
                </c:pt>
                <c:pt idx="499">
                  <c:v>14.4154661066991</c:v>
                </c:pt>
                <c:pt idx="500">
                  <c:v>2.91827408974138</c:v>
                </c:pt>
                <c:pt idx="501">
                  <c:v>-8.60460481666437</c:v>
                </c:pt>
                <c:pt idx="502">
                  <c:v>-8.61614045078113</c:v>
                </c:pt>
                <c:pt idx="503">
                  <c:v>-8.62767610998321</c:v>
                </c:pt>
                <c:pt idx="504">
                  <c:v>-8.63921179427021</c:v>
                </c:pt>
                <c:pt idx="505">
                  <c:v>-8.65074750364173</c:v>
                </c:pt>
                <c:pt idx="506">
                  <c:v>-8.66228323809738</c:v>
                </c:pt>
                <c:pt idx="507">
                  <c:v>-8.67381899763675</c:v>
                </c:pt>
                <c:pt idx="508">
                  <c:v>-8.68535478225947</c:v>
                </c:pt>
                <c:pt idx="509">
                  <c:v>-8.69689059196512</c:v>
                </c:pt>
                <c:pt idx="510">
                  <c:v>-8.70842642675331</c:v>
                </c:pt>
                <c:pt idx="511">
                  <c:v>-8.71996228662365</c:v>
                </c:pt>
                <c:pt idx="512">
                  <c:v>-8.73149817157575</c:v>
                </c:pt>
                <c:pt idx="513">
                  <c:v>-8.7430340816092</c:v>
                </c:pt>
                <c:pt idx="514">
                  <c:v>-8.75457001672361</c:v>
                </c:pt>
                <c:pt idx="515">
                  <c:v>-8.76610597691859</c:v>
                </c:pt>
                <c:pt idx="516">
                  <c:v>-8.77764196219374</c:v>
                </c:pt>
                <c:pt idx="517">
                  <c:v>-8.78917797254866</c:v>
                </c:pt>
                <c:pt idx="518">
                  <c:v>-8.80071400798296</c:v>
                </c:pt>
                <c:pt idx="519">
                  <c:v>-8.81225006849624</c:v>
                </c:pt>
                <c:pt idx="520">
                  <c:v>-8.82378615408811</c:v>
                </c:pt>
                <c:pt idx="521">
                  <c:v>-8.83532226475818</c:v>
                </c:pt>
                <c:pt idx="522">
                  <c:v>-8.84685840050604</c:v>
                </c:pt>
                <c:pt idx="523">
                  <c:v>-8.85839456133129</c:v>
                </c:pt>
                <c:pt idx="524">
                  <c:v>-8.86993074723356</c:v>
                </c:pt>
                <c:pt idx="525">
                  <c:v>-8.88146695821243</c:v>
                </c:pt>
                <c:pt idx="526">
                  <c:v>-8.89300319426752</c:v>
                </c:pt>
                <c:pt idx="527">
                  <c:v>-8.90453945539842</c:v>
                </c:pt>
                <c:pt idx="528">
                  <c:v>-8.91607574160475</c:v>
                </c:pt>
                <c:pt idx="529">
                  <c:v>-8.9276120528861</c:v>
                </c:pt>
                <c:pt idx="530">
                  <c:v>-8.93914838924208</c:v>
                </c:pt>
                <c:pt idx="531">
                  <c:v>-8.9506847506723</c:v>
                </c:pt>
                <c:pt idx="532">
                  <c:v>-8.96222113717636</c:v>
                </c:pt>
                <c:pt idx="533">
                  <c:v>-8.97375754875387</c:v>
                </c:pt>
                <c:pt idx="534">
                  <c:v>-8.98529398540442</c:v>
                </c:pt>
                <c:pt idx="535">
                  <c:v>-8.99683044712763</c:v>
                </c:pt>
                <c:pt idx="536">
                  <c:v>-9.00836693392309</c:v>
                </c:pt>
                <c:pt idx="537">
                  <c:v>-9.01990344579042</c:v>
                </c:pt>
                <c:pt idx="538">
                  <c:v>-9.03143998272921</c:v>
                </c:pt>
                <c:pt idx="539">
                  <c:v>-9.04297654473908</c:v>
                </c:pt>
                <c:pt idx="540">
                  <c:v>-9.05451313181962</c:v>
                </c:pt>
                <c:pt idx="541">
                  <c:v>-9.06604974397043</c:v>
                </c:pt>
                <c:pt idx="542">
                  <c:v>-9.07758638119114</c:v>
                </c:pt>
                <c:pt idx="543">
                  <c:v>-9.08912304348133</c:v>
                </c:pt>
                <c:pt idx="544">
                  <c:v>-9.10065973084062</c:v>
                </c:pt>
                <c:pt idx="545">
                  <c:v>-9.1121964432686</c:v>
                </c:pt>
                <c:pt idx="546">
                  <c:v>-9.12373318076488</c:v>
                </c:pt>
                <c:pt idx="547">
                  <c:v>-9.13526994332908</c:v>
                </c:pt>
                <c:pt idx="548">
                  <c:v>-9.14680673096078</c:v>
                </c:pt>
                <c:pt idx="549">
                  <c:v>-9.1583435436596</c:v>
                </c:pt>
                <c:pt idx="550">
                  <c:v>-9.16988038142514</c:v>
                </c:pt>
                <c:pt idx="551">
                  <c:v>-9.181417244257</c:v>
                </c:pt>
                <c:pt idx="552">
                  <c:v>-9.19295413215479</c:v>
                </c:pt>
                <c:pt idx="553">
                  <c:v>-9.20449104511812</c:v>
                </c:pt>
                <c:pt idx="554">
                  <c:v>-9.21602798314658</c:v>
                </c:pt>
                <c:pt idx="555">
                  <c:v>-9.22756494623979</c:v>
                </c:pt>
                <c:pt idx="556">
                  <c:v>-9.23910193439734</c:v>
                </c:pt>
                <c:pt idx="557">
                  <c:v>-9.25063894761885</c:v>
                </c:pt>
                <c:pt idx="558">
                  <c:v>-9.26217598590391</c:v>
                </c:pt>
                <c:pt idx="559">
                  <c:v>-9.27371304925213</c:v>
                </c:pt>
                <c:pt idx="560">
                  <c:v>-9.28525013766312</c:v>
                </c:pt>
                <c:pt idx="561">
                  <c:v>-9.29678725113647</c:v>
                </c:pt>
                <c:pt idx="562">
                  <c:v>-9.3083243896718</c:v>
                </c:pt>
                <c:pt idx="563">
                  <c:v>-9.31986155326871</c:v>
                </c:pt>
                <c:pt idx="564">
                  <c:v>-9.3313987419268</c:v>
                </c:pt>
                <c:pt idx="565">
                  <c:v>-9.34293595564568</c:v>
                </c:pt>
                <c:pt idx="566">
                  <c:v>-9.35447319442495</c:v>
                </c:pt>
                <c:pt idx="567">
                  <c:v>-9.36601045826422</c:v>
                </c:pt>
                <c:pt idx="568">
                  <c:v>-9.37754774716309</c:v>
                </c:pt>
                <c:pt idx="569">
                  <c:v>-9.38908506112117</c:v>
                </c:pt>
                <c:pt idx="570">
                  <c:v>-9.40062240013805</c:v>
                </c:pt>
                <c:pt idx="571">
                  <c:v>-9.41215976421335</c:v>
                </c:pt>
                <c:pt idx="572">
                  <c:v>-9.42369715334667</c:v>
                </c:pt>
                <c:pt idx="573">
                  <c:v>-9.43523456753761</c:v>
                </c:pt>
                <c:pt idx="574">
                  <c:v>-9.44677200678578</c:v>
                </c:pt>
                <c:pt idx="575">
                  <c:v>-9.45830947109079</c:v>
                </c:pt>
                <c:pt idx="576">
                  <c:v>-9.46984696045223</c:v>
                </c:pt>
                <c:pt idx="577">
                  <c:v>-9.48138447486971</c:v>
                </c:pt>
                <c:pt idx="578">
                  <c:v>-9.49292201434285</c:v>
                </c:pt>
                <c:pt idx="579">
                  <c:v>-9.50445957887123</c:v>
                </c:pt>
                <c:pt idx="580">
                  <c:v>-9.51599716845447</c:v>
                </c:pt>
                <c:pt idx="581">
                  <c:v>-9.52753478309216</c:v>
                </c:pt>
                <c:pt idx="582">
                  <c:v>-9.53907242278393</c:v>
                </c:pt>
                <c:pt idx="583">
                  <c:v>-9.55061008752936</c:v>
                </c:pt>
                <c:pt idx="584">
                  <c:v>-9.56214777732807</c:v>
                </c:pt>
                <c:pt idx="585">
                  <c:v>-9.57368549217965</c:v>
                </c:pt>
                <c:pt idx="586">
                  <c:v>-9.58522323208372</c:v>
                </c:pt>
                <c:pt idx="587">
                  <c:v>-9.59676099703988</c:v>
                </c:pt>
                <c:pt idx="588">
                  <c:v>-9.60829878704773</c:v>
                </c:pt>
                <c:pt idx="589">
                  <c:v>-9.61983660210688</c:v>
                </c:pt>
                <c:pt idx="590">
                  <c:v>-9.63137444221692</c:v>
                </c:pt>
                <c:pt idx="591">
                  <c:v>-9.64291230737748</c:v>
                </c:pt>
                <c:pt idx="592">
                  <c:v>-9.65445019758814</c:v>
                </c:pt>
                <c:pt idx="593">
                  <c:v>-9.66598811284853</c:v>
                </c:pt>
                <c:pt idx="594">
                  <c:v>-9.67752605315823</c:v>
                </c:pt>
                <c:pt idx="595">
                  <c:v>-9.68906401851685</c:v>
                </c:pt>
                <c:pt idx="596">
                  <c:v>-9.70060200892401</c:v>
                </c:pt>
                <c:pt idx="597">
                  <c:v>-9.7121400243793</c:v>
                </c:pt>
                <c:pt idx="598">
                  <c:v>-9.72367806488233</c:v>
                </c:pt>
                <c:pt idx="599">
                  <c:v>-9.7352161304327</c:v>
                </c:pt>
                <c:pt idx="600">
                  <c:v>-9.74675422103002</c:v>
                </c:pt>
                <c:pt idx="601">
                  <c:v>-9.75829233667389</c:v>
                </c:pt>
                <c:pt idx="602">
                  <c:v>-9.76983047736392</c:v>
                </c:pt>
                <c:pt idx="603">
                  <c:v>-9.78136864309971</c:v>
                </c:pt>
                <c:pt idx="604">
                  <c:v>-9.79290683388087</c:v>
                </c:pt>
                <c:pt idx="605">
                  <c:v>-9.804445049707</c:v>
                </c:pt>
                <c:pt idx="606">
                  <c:v>-9.8159832905777</c:v>
                </c:pt>
                <c:pt idx="607">
                  <c:v>-9.82752155649259</c:v>
                </c:pt>
                <c:pt idx="608">
                  <c:v>-9.83905984745126</c:v>
                </c:pt>
                <c:pt idx="609">
                  <c:v>-9.85059816345332</c:v>
                </c:pt>
                <c:pt idx="610">
                  <c:v>-9.86213650449837</c:v>
                </c:pt>
                <c:pt idx="611">
                  <c:v>-9.87367487058603</c:v>
                </c:pt>
                <c:pt idx="612">
                  <c:v>-9.88521326171589</c:v>
                </c:pt>
                <c:pt idx="613">
                  <c:v>-9.89675167788755</c:v>
                </c:pt>
                <c:pt idx="614">
                  <c:v>-9.90829011910063</c:v>
                </c:pt>
                <c:pt idx="615">
                  <c:v>-9.91982858535473</c:v>
                </c:pt>
                <c:pt idx="616">
                  <c:v>-9.93136707664945</c:v>
                </c:pt>
                <c:pt idx="617">
                  <c:v>-9.9429055929844</c:v>
                </c:pt>
                <c:pt idx="618">
                  <c:v>-9.95444413435918</c:v>
                </c:pt>
                <c:pt idx="619">
                  <c:v>-9.96598270077339</c:v>
                </c:pt>
                <c:pt idx="620">
                  <c:v>-9.97752129222665</c:v>
                </c:pt>
                <c:pt idx="621">
                  <c:v>-9.98905990871855</c:v>
                </c:pt>
                <c:pt idx="622">
                  <c:v>-10.0005985502487</c:v>
                </c:pt>
                <c:pt idx="623">
                  <c:v>-10.0121372168167</c:v>
                </c:pt>
                <c:pt idx="624">
                  <c:v>-10.0236759084222</c:v>
                </c:pt>
                <c:pt idx="625">
                  <c:v>-10.0352146250647</c:v>
                </c:pt>
                <c:pt idx="626">
                  <c:v>-10.0467533667439</c:v>
                </c:pt>
                <c:pt idx="627">
                  <c:v>-10.0582921334594</c:v>
                </c:pt>
                <c:pt idx="628">
                  <c:v>-10.0698309252108</c:v>
                </c:pt>
                <c:pt idx="629">
                  <c:v>-10.0813697419976</c:v>
                </c:pt>
                <c:pt idx="630">
                  <c:v>-10.0929085838195</c:v>
                </c:pt>
                <c:pt idx="631">
                  <c:v>-10.1044474506762</c:v>
                </c:pt>
                <c:pt idx="632">
                  <c:v>-10.1159863425671</c:v>
                </c:pt>
                <c:pt idx="633">
                  <c:v>-10.1275252594919</c:v>
                </c:pt>
                <c:pt idx="634">
                  <c:v>-10.1390642014502</c:v>
                </c:pt>
                <c:pt idx="635">
                  <c:v>-10.1506031684417</c:v>
                </c:pt>
                <c:pt idx="636">
                  <c:v>-10.1621421604658</c:v>
                </c:pt>
                <c:pt idx="637">
                  <c:v>-10.1736811775223</c:v>
                </c:pt>
                <c:pt idx="638">
                  <c:v>-10.1852202196107</c:v>
                </c:pt>
                <c:pt idx="639">
                  <c:v>-10.1967592867307</c:v>
                </c:pt>
                <c:pt idx="640">
                  <c:v>-10.2082983788818</c:v>
                </c:pt>
                <c:pt idx="641">
                  <c:v>-10.2198374960636</c:v>
                </c:pt>
                <c:pt idx="642">
                  <c:v>-10.2313766382757</c:v>
                </c:pt>
                <c:pt idx="643">
                  <c:v>-10.2429158055179</c:v>
                </c:pt>
                <c:pt idx="644">
                  <c:v>-10.2544549977895</c:v>
                </c:pt>
                <c:pt idx="645">
                  <c:v>-10.2659942150904</c:v>
                </c:pt>
                <c:pt idx="646">
                  <c:v>-10.27753345742</c:v>
                </c:pt>
                <c:pt idx="647">
                  <c:v>-10.2890727247779</c:v>
                </c:pt>
                <c:pt idx="648">
                  <c:v>-10.3006120171639</c:v>
                </c:pt>
                <c:pt idx="649">
                  <c:v>-10.3121513345774</c:v>
                </c:pt>
                <c:pt idx="650">
                  <c:v>-10.3236906770181</c:v>
                </c:pt>
                <c:pt idx="651">
                  <c:v>-10.3352300444856</c:v>
                </c:pt>
                <c:pt idx="652">
                  <c:v>-10.3467694369795</c:v>
                </c:pt>
                <c:pt idx="653">
                  <c:v>-10.3583088544993</c:v>
                </c:pt>
                <c:pt idx="654">
                  <c:v>-10.3698482970448</c:v>
                </c:pt>
                <c:pt idx="655">
                  <c:v>-10.3813877646155</c:v>
                </c:pt>
                <c:pt idx="656">
                  <c:v>-10.392927257211</c:v>
                </c:pt>
                <c:pt idx="657">
                  <c:v>-10.4044667748309</c:v>
                </c:pt>
                <c:pt idx="658">
                  <c:v>-10.4160063174749</c:v>
                </c:pt>
                <c:pt idx="659">
                  <c:v>-10.4275458851425</c:v>
                </c:pt>
                <c:pt idx="660">
                  <c:v>-10.4390854778333</c:v>
                </c:pt>
                <c:pt idx="661">
                  <c:v>-10.4506250955469</c:v>
                </c:pt>
                <c:pt idx="662">
                  <c:v>-10.462164738283</c:v>
                </c:pt>
                <c:pt idx="663">
                  <c:v>-10.4737044060411</c:v>
                </c:pt>
                <c:pt idx="664">
                  <c:v>-10.4852440988209</c:v>
                </c:pt>
                <c:pt idx="665">
                  <c:v>-10.496783816622</c:v>
                </c:pt>
                <c:pt idx="666">
                  <c:v>-10.5083235594439</c:v>
                </c:pt>
                <c:pt idx="667">
                  <c:v>-10.5198633272862</c:v>
                </c:pt>
                <c:pt idx="668">
                  <c:v>-10.5314031201487</c:v>
                </c:pt>
                <c:pt idx="669">
                  <c:v>-10.5429429380308</c:v>
                </c:pt>
                <c:pt idx="670">
                  <c:v>-10.5544827809322</c:v>
                </c:pt>
                <c:pt idx="671">
                  <c:v>-10.5660226488524</c:v>
                </c:pt>
                <c:pt idx="672">
                  <c:v>-10.5775625417912</c:v>
                </c:pt>
                <c:pt idx="673">
                  <c:v>-10.5891024597481</c:v>
                </c:pt>
                <c:pt idx="674">
                  <c:v>-10.6006424027226</c:v>
                </c:pt>
                <c:pt idx="675">
                  <c:v>-10.6121823707145</c:v>
                </c:pt>
                <c:pt idx="676">
                  <c:v>-10.6237223637233</c:v>
                </c:pt>
                <c:pt idx="677">
                  <c:v>-10.6352623817486</c:v>
                </c:pt>
                <c:pt idx="678">
                  <c:v>-10.64680242479</c:v>
                </c:pt>
                <c:pt idx="679">
                  <c:v>-10.6583424928471</c:v>
                </c:pt>
                <c:pt idx="680">
                  <c:v>-10.6698825859196</c:v>
                </c:pt>
                <c:pt idx="681">
                  <c:v>-10.681422704007</c:v>
                </c:pt>
                <c:pt idx="682">
                  <c:v>-10.692962847109</c:v>
                </c:pt>
                <c:pt idx="683">
                  <c:v>-10.7045030152251</c:v>
                </c:pt>
                <c:pt idx="684">
                  <c:v>-10.7160432083549</c:v>
                </c:pt>
                <c:pt idx="685">
                  <c:v>-10.7275834264981</c:v>
                </c:pt>
                <c:pt idx="686">
                  <c:v>-10.7391236696542</c:v>
                </c:pt>
                <c:pt idx="687">
                  <c:v>-10.7506639378229</c:v>
                </c:pt>
                <c:pt idx="688">
                  <c:v>-10.7622042310038</c:v>
                </c:pt>
                <c:pt idx="689">
                  <c:v>-10.7737445491965</c:v>
                </c:pt>
                <c:pt idx="690">
                  <c:v>-10.7852848924005</c:v>
                </c:pt>
                <c:pt idx="691">
                  <c:v>-10.7968252606155</c:v>
                </c:pt>
                <c:pt idx="692">
                  <c:v>-10.8083656538411</c:v>
                </c:pt>
                <c:pt idx="693">
                  <c:v>-10.8199060720769</c:v>
                </c:pt>
                <c:pt idx="694">
                  <c:v>-10.8314465153225</c:v>
                </c:pt>
                <c:pt idx="695">
                  <c:v>-10.8429869835775</c:v>
                </c:pt>
                <c:pt idx="696">
                  <c:v>-10.8545274768415</c:v>
                </c:pt>
                <c:pt idx="697">
                  <c:v>-10.8660679951142</c:v>
                </c:pt>
                <c:pt idx="698">
                  <c:v>-10.877608538395</c:v>
                </c:pt>
                <c:pt idx="699">
                  <c:v>-10.8891491066837</c:v>
                </c:pt>
                <c:pt idx="700">
                  <c:v>-10.9006896999798</c:v>
                </c:pt>
                <c:pt idx="701">
                  <c:v>-10.9122303182829</c:v>
                </c:pt>
                <c:pt idx="702">
                  <c:v>-10.9237709615927</c:v>
                </c:pt>
                <c:pt idx="703">
                  <c:v>-10.9353116299087</c:v>
                </c:pt>
                <c:pt idx="704">
                  <c:v>-10.9468523232305</c:v>
                </c:pt>
                <c:pt idx="705">
                  <c:v>-10.9583930415578</c:v>
                </c:pt>
                <c:pt idx="706">
                  <c:v>-10.9699337848902</c:v>
                </c:pt>
                <c:pt idx="707">
                  <c:v>-10.9814745532272</c:v>
                </c:pt>
                <c:pt idx="708">
                  <c:v>-10.9930153465685</c:v>
                </c:pt>
                <c:pt idx="709">
                  <c:v>-11.0045561649137</c:v>
                </c:pt>
                <c:pt idx="710">
                  <c:v>-11.0160970082623</c:v>
                </c:pt>
                <c:pt idx="711">
                  <c:v>-11.0276378766141</c:v>
                </c:pt>
                <c:pt idx="712">
                  <c:v>-11.0391787699685</c:v>
                </c:pt>
                <c:pt idx="713">
                  <c:v>-11.0507196883252</c:v>
                </c:pt>
                <c:pt idx="714">
                  <c:v>-11.0622606316838</c:v>
                </c:pt>
                <c:pt idx="715">
                  <c:v>-11.0738016000439</c:v>
                </c:pt>
                <c:pt idx="716">
                  <c:v>-11.0853425934051</c:v>
                </c:pt>
                <c:pt idx="717">
                  <c:v>-11.0968836117671</c:v>
                </c:pt>
                <c:pt idx="718">
                  <c:v>-11.1084246551293</c:v>
                </c:pt>
                <c:pt idx="719">
                  <c:v>-11.1199657234915</c:v>
                </c:pt>
                <c:pt idx="720">
                  <c:v>-11.1315068168532</c:v>
                </c:pt>
                <c:pt idx="721">
                  <c:v>-11.143047935214</c:v>
                </c:pt>
                <c:pt idx="722">
                  <c:v>-11.1545890785736</c:v>
                </c:pt>
                <c:pt idx="723">
                  <c:v>-11.1661302469315</c:v>
                </c:pt>
                <c:pt idx="724">
                  <c:v>-11.1776714402874</c:v>
                </c:pt>
                <c:pt idx="725">
                  <c:v>-11.1892126586408</c:v>
                </c:pt>
                <c:pt idx="726">
                  <c:v>-11.2007539019914</c:v>
                </c:pt>
                <c:pt idx="727">
                  <c:v>-11.2122951703387</c:v>
                </c:pt>
                <c:pt idx="728">
                  <c:v>-11.2238364636824</c:v>
                </c:pt>
                <c:pt idx="729">
                  <c:v>-11.2353777820221</c:v>
                </c:pt>
                <c:pt idx="730">
                  <c:v>-11.2469191253574</c:v>
                </c:pt>
                <c:pt idx="731">
                  <c:v>-11.2584604936878</c:v>
                </c:pt>
                <c:pt idx="732">
                  <c:v>-11.2700018870131</c:v>
                </c:pt>
                <c:pt idx="733">
                  <c:v>-11.2815433053327</c:v>
                </c:pt>
                <c:pt idx="734">
                  <c:v>-11.2930847486463</c:v>
                </c:pt>
                <c:pt idx="735">
                  <c:v>-11.3046262169536</c:v>
                </c:pt>
                <c:pt idx="736">
                  <c:v>-11.316167710254</c:v>
                </c:pt>
                <c:pt idx="737">
                  <c:v>-11.3277092285472</c:v>
                </c:pt>
                <c:pt idx="738">
                  <c:v>-11.3392507718329</c:v>
                </c:pt>
                <c:pt idx="739">
                  <c:v>-11.3507923401106</c:v>
                </c:pt>
                <c:pt idx="740">
                  <c:v>-11.3623339333799</c:v>
                </c:pt>
                <c:pt idx="741">
                  <c:v>-11.3738755516405</c:v>
                </c:pt>
                <c:pt idx="742">
                  <c:v>-11.3854171948919</c:v>
                </c:pt>
                <c:pt idx="743">
                  <c:v>-11.3969588631337</c:v>
                </c:pt>
                <c:pt idx="744">
                  <c:v>-11.4085005563656</c:v>
                </c:pt>
                <c:pt idx="745">
                  <c:v>-11.4200422745872</c:v>
                </c:pt>
                <c:pt idx="746">
                  <c:v>-11.431584017798</c:v>
                </c:pt>
                <c:pt idx="747">
                  <c:v>-11.4431257859977</c:v>
                </c:pt>
                <c:pt idx="748">
                  <c:v>-11.4546675791858</c:v>
                </c:pt>
                <c:pt idx="749">
                  <c:v>-11.466209397362</c:v>
                </c:pt>
                <c:pt idx="750">
                  <c:v>-11.4777512405259</c:v>
                </c:pt>
                <c:pt idx="751">
                  <c:v>-11.4892931086771</c:v>
                </c:pt>
                <c:pt idx="752">
                  <c:v>-11.5008350018152</c:v>
                </c:pt>
                <c:pt idx="753">
                  <c:v>-11.5123769199398</c:v>
                </c:pt>
                <c:pt idx="754">
                  <c:v>-11.5239188630504</c:v>
                </c:pt>
                <c:pt idx="755">
                  <c:v>-11.5354608311468</c:v>
                </c:pt>
                <c:pt idx="756">
                  <c:v>-11.5470028242285</c:v>
                </c:pt>
                <c:pt idx="757">
                  <c:v>-11.5585448422951</c:v>
                </c:pt>
                <c:pt idx="758">
                  <c:v>-11.5700868853462</c:v>
                </c:pt>
                <c:pt idx="759">
                  <c:v>-11.5816289533815</c:v>
                </c:pt>
                <c:pt idx="760">
                  <c:v>-11.5931710464005</c:v>
                </c:pt>
                <c:pt idx="761">
                  <c:v>-11.6047131644028</c:v>
                </c:pt>
                <c:pt idx="762">
                  <c:v>-11.6162553073881</c:v>
                </c:pt>
                <c:pt idx="763">
                  <c:v>-11.6277974753559</c:v>
                </c:pt>
                <c:pt idx="764">
                  <c:v>-11.6393396683059</c:v>
                </c:pt>
                <c:pt idx="765">
                  <c:v>-11.6508818862376</c:v>
                </c:pt>
                <c:pt idx="766">
                  <c:v>-11.6624241291507</c:v>
                </c:pt>
                <c:pt idx="767">
                  <c:v>-11.6739663970447</c:v>
                </c:pt>
                <c:pt idx="768">
                  <c:v>-11.6855086899194</c:v>
                </c:pt>
                <c:pt idx="769">
                  <c:v>-11.6970510077742</c:v>
                </c:pt>
                <c:pt idx="770">
                  <c:v>-11.7085933506088</c:v>
                </c:pt>
                <c:pt idx="771">
                  <c:v>-11.7201357184227</c:v>
                </c:pt>
                <c:pt idx="772">
                  <c:v>-11.7316781112157</c:v>
                </c:pt>
                <c:pt idx="773">
                  <c:v>-11.7432205289873</c:v>
                </c:pt>
                <c:pt idx="774">
                  <c:v>-11.7547629717371</c:v>
                </c:pt>
                <c:pt idx="775">
                  <c:v>-11.7663054394646</c:v>
                </c:pt>
                <c:pt idx="776">
                  <c:v>-11.7778479321696</c:v>
                </c:pt>
                <c:pt idx="777">
                  <c:v>-11.7893904498517</c:v>
                </c:pt>
                <c:pt idx="778">
                  <c:v>-11.8009329925103</c:v>
                </c:pt>
                <c:pt idx="779">
                  <c:v>-11.8124755601452</c:v>
                </c:pt>
                <c:pt idx="780">
                  <c:v>-11.8240181527559</c:v>
                </c:pt>
                <c:pt idx="781">
                  <c:v>-11.8355607703421</c:v>
                </c:pt>
                <c:pt idx="782">
                  <c:v>-11.8471034129033</c:v>
                </c:pt>
                <c:pt idx="783">
                  <c:v>-11.8586460804391</c:v>
                </c:pt>
                <c:pt idx="784">
                  <c:v>-11.8701887729492</c:v>
                </c:pt>
                <c:pt idx="785">
                  <c:v>-11.8817314904332</c:v>
                </c:pt>
                <c:pt idx="786">
                  <c:v>-11.8932742328906</c:v>
                </c:pt>
                <c:pt idx="787">
                  <c:v>-11.9048170003211</c:v>
                </c:pt>
                <c:pt idx="788">
                  <c:v>-11.9163597927243</c:v>
                </c:pt>
                <c:pt idx="789">
                  <c:v>-11.9279026100998</c:v>
                </c:pt>
                <c:pt idx="790">
                  <c:v>-11.9394454524472</c:v>
                </c:pt>
                <c:pt idx="791">
                  <c:v>-11.950988319766</c:v>
                </c:pt>
                <c:pt idx="792">
                  <c:v>-11.962531212056</c:v>
                </c:pt>
                <c:pt idx="793">
                  <c:v>-11.9740741293166</c:v>
                </c:pt>
                <c:pt idx="794">
                  <c:v>-11.9856170715476</c:v>
                </c:pt>
                <c:pt idx="795">
                  <c:v>-11.9971600387485</c:v>
                </c:pt>
                <c:pt idx="796">
                  <c:v>-12.0087030309189</c:v>
                </c:pt>
                <c:pt idx="797">
                  <c:v>-12.0202460480584</c:v>
                </c:pt>
                <c:pt idx="798">
                  <c:v>-12.0317890901666</c:v>
                </c:pt>
                <c:pt idx="799">
                  <c:v>-12.0433321572432</c:v>
                </c:pt>
                <c:pt idx="800">
                  <c:v>-12.0548752492877</c:v>
                </c:pt>
                <c:pt idx="801">
                  <c:v>-12.0664183662998</c:v>
                </c:pt>
                <c:pt idx="802">
                  <c:v>-12.0779615082791</c:v>
                </c:pt>
                <c:pt idx="803">
                  <c:v>-12.089504675225</c:v>
                </c:pt>
                <c:pt idx="804">
                  <c:v>-12.1010478671374</c:v>
                </c:pt>
                <c:pt idx="805">
                  <c:v>-12.1125910840157</c:v>
                </c:pt>
                <c:pt idx="806">
                  <c:v>-12.1241343258596</c:v>
                </c:pt>
                <c:pt idx="807">
                  <c:v>-12.1356775926687</c:v>
                </c:pt>
                <c:pt idx="808">
                  <c:v>-12.1472208844425</c:v>
                </c:pt>
                <c:pt idx="809">
                  <c:v>-12.1587642011807</c:v>
                </c:pt>
                <c:pt idx="810">
                  <c:v>-12.170307542883</c:v>
                </c:pt>
                <c:pt idx="811">
                  <c:v>-12.1818509095488</c:v>
                </c:pt>
                <c:pt idx="812">
                  <c:v>-12.1933943011778</c:v>
                </c:pt>
                <c:pt idx="813">
                  <c:v>-12.2049377177697</c:v>
                </c:pt>
                <c:pt idx="814">
                  <c:v>-12.2164811593239</c:v>
                </c:pt>
                <c:pt idx="815">
                  <c:v>-12.2280246258402</c:v>
                </c:pt>
                <c:pt idx="816">
                  <c:v>-12.2395681173181</c:v>
                </c:pt>
                <c:pt idx="817">
                  <c:v>-12.2511116337573</c:v>
                </c:pt>
                <c:pt idx="818">
                  <c:v>-12.2626551751572</c:v>
                </c:pt>
                <c:pt idx="819">
                  <c:v>-12.2741987415177</c:v>
                </c:pt>
                <c:pt idx="820">
                  <c:v>-12.2857423328381</c:v>
                </c:pt>
                <c:pt idx="821">
                  <c:v>-12.2972859491182</c:v>
                </c:pt>
                <c:pt idx="822">
                  <c:v>-12.3088295903576</c:v>
                </c:pt>
                <c:pt idx="823">
                  <c:v>-12.3203732565558</c:v>
                </c:pt>
                <c:pt idx="824">
                  <c:v>-12.3319169477126</c:v>
                </c:pt>
                <c:pt idx="825">
                  <c:v>-12.3434606638273</c:v>
                </c:pt>
                <c:pt idx="826">
                  <c:v>-12.3550044048998</c:v>
                </c:pt>
                <c:pt idx="827">
                  <c:v>-12.3665481709295</c:v>
                </c:pt>
                <c:pt idx="828">
                  <c:v>-12.3780919619162</c:v>
                </c:pt>
                <c:pt idx="829">
                  <c:v>-12.3896357778593</c:v>
                </c:pt>
                <c:pt idx="830">
                  <c:v>-12.4011796187585</c:v>
                </c:pt>
                <c:pt idx="831">
                  <c:v>-12.4127234846135</c:v>
                </c:pt>
                <c:pt idx="832">
                  <c:v>-12.4242673754237</c:v>
                </c:pt>
                <c:pt idx="833">
                  <c:v>-12.4358112911889</c:v>
                </c:pt>
                <c:pt idx="834">
                  <c:v>-12.4473552319086</c:v>
                </c:pt>
                <c:pt idx="835">
                  <c:v>-12.4588991975824</c:v>
                </c:pt>
                <c:pt idx="836">
                  <c:v>-12.47044318821</c:v>
                </c:pt>
                <c:pt idx="837">
                  <c:v>-12.4819872037909</c:v>
                </c:pt>
                <c:pt idx="838">
                  <c:v>-12.4935312443247</c:v>
                </c:pt>
                <c:pt idx="839">
                  <c:v>-12.5050753098111</c:v>
                </c:pt>
                <c:pt idx="840">
                  <c:v>-12.5166194002496</c:v>
                </c:pt>
                <c:pt idx="841">
                  <c:v>-12.5281635156399</c:v>
                </c:pt>
                <c:pt idx="842">
                  <c:v>-12.5397076559816</c:v>
                </c:pt>
                <c:pt idx="843">
                  <c:v>-12.5512518212742</c:v>
                </c:pt>
                <c:pt idx="844">
                  <c:v>-12.5627960115174</c:v>
                </c:pt>
                <c:pt idx="845">
                  <c:v>-12.5743402267108</c:v>
                </c:pt>
                <c:pt idx="846">
                  <c:v>-12.585884466854</c:v>
                </c:pt>
                <c:pt idx="847">
                  <c:v>-12.5974287319466</c:v>
                </c:pt>
                <c:pt idx="848">
                  <c:v>-12.6089730219882</c:v>
                </c:pt>
                <c:pt idx="849">
                  <c:v>-12.6205173369784</c:v>
                </c:pt>
                <c:pt idx="850">
                  <c:v>-12.6320616769167</c:v>
                </c:pt>
                <c:pt idx="851">
                  <c:v>-12.643606041803</c:v>
                </c:pt>
                <c:pt idx="852">
                  <c:v>-12.6551504316366</c:v>
                </c:pt>
                <c:pt idx="853">
                  <c:v>-12.6666948464172</c:v>
                </c:pt>
                <c:pt idx="854">
                  <c:v>-12.6782392861445</c:v>
                </c:pt>
                <c:pt idx="855">
                  <c:v>-12.689783750818</c:v>
                </c:pt>
                <c:pt idx="856">
                  <c:v>-12.7013282404374</c:v>
                </c:pt>
                <c:pt idx="857">
                  <c:v>-12.7128727550022</c:v>
                </c:pt>
                <c:pt idx="858">
                  <c:v>-12.7244172945121</c:v>
                </c:pt>
                <c:pt idx="859">
                  <c:v>-12.7359618589666</c:v>
                </c:pt>
                <c:pt idx="860">
                  <c:v>-12.7475064483654</c:v>
                </c:pt>
                <c:pt idx="861">
                  <c:v>-12.759051062708</c:v>
                </c:pt>
                <c:pt idx="862">
                  <c:v>-12.7705957019942</c:v>
                </c:pt>
                <c:pt idx="863">
                  <c:v>-12.7821403662234</c:v>
                </c:pt>
                <c:pt idx="864">
                  <c:v>-12.7936850553953</c:v>
                </c:pt>
                <c:pt idx="865">
                  <c:v>-12.8052297695095</c:v>
                </c:pt>
                <c:pt idx="866">
                  <c:v>-12.8167745085655</c:v>
                </c:pt>
                <c:pt idx="867">
                  <c:v>-12.8283192725631</c:v>
                </c:pt>
                <c:pt idx="868">
                  <c:v>-12.8398640615018</c:v>
                </c:pt>
                <c:pt idx="869">
                  <c:v>-12.8514088753812</c:v>
                </c:pt>
                <c:pt idx="870">
                  <c:v>-12.862953714201</c:v>
                </c:pt>
                <c:pt idx="871">
                  <c:v>-12.8744985779606</c:v>
                </c:pt>
                <c:pt idx="872">
                  <c:v>-12.8860434666598</c:v>
                </c:pt>
                <c:pt idx="873">
                  <c:v>-12.8975883802981</c:v>
                </c:pt>
                <c:pt idx="874">
                  <c:v>-12.9091333188752</c:v>
                </c:pt>
                <c:pt idx="875">
                  <c:v>-12.9206782823906</c:v>
                </c:pt>
                <c:pt idx="876">
                  <c:v>-12.932223270844</c:v>
                </c:pt>
                <c:pt idx="877">
                  <c:v>-12.9437682842349</c:v>
                </c:pt>
                <c:pt idx="878">
                  <c:v>-12.955313322563</c:v>
                </c:pt>
                <c:pt idx="879">
                  <c:v>-12.9668583858278</c:v>
                </c:pt>
                <c:pt idx="880">
                  <c:v>-12.978403474029</c:v>
                </c:pt>
                <c:pt idx="881">
                  <c:v>-12.9899485871663</c:v>
                </c:pt>
                <c:pt idx="882">
                  <c:v>-13.001493725239</c:v>
                </c:pt>
                <c:pt idx="883">
                  <c:v>-13.013038888247</c:v>
                </c:pt>
                <c:pt idx="884">
                  <c:v>-13.0245840761898</c:v>
                </c:pt>
                <c:pt idx="885">
                  <c:v>-13.036129289067</c:v>
                </c:pt>
                <c:pt idx="886">
                  <c:v>-13.0476745268782</c:v>
                </c:pt>
                <c:pt idx="887">
                  <c:v>-13.059219789623</c:v>
                </c:pt>
                <c:pt idx="888">
                  <c:v>-13.070765077301</c:v>
                </c:pt>
                <c:pt idx="889">
                  <c:v>-13.0823103899119</c:v>
                </c:pt>
                <c:pt idx="890">
                  <c:v>-13.0938557274551</c:v>
                </c:pt>
                <c:pt idx="891">
                  <c:v>-13.1054010899305</c:v>
                </c:pt>
                <c:pt idx="892">
                  <c:v>-13.1169464773374</c:v>
                </c:pt>
                <c:pt idx="893">
                  <c:v>-13.1284918896756</c:v>
                </c:pt>
                <c:pt idx="894">
                  <c:v>-13.1400373269447</c:v>
                </c:pt>
                <c:pt idx="895">
                  <c:v>-13.1515827891442</c:v>
                </c:pt>
                <c:pt idx="896">
                  <c:v>-13.1631282762738</c:v>
                </c:pt>
                <c:pt idx="897">
                  <c:v>-13.174673788333</c:v>
                </c:pt>
                <c:pt idx="898">
                  <c:v>-13.1862193253215</c:v>
                </c:pt>
                <c:pt idx="899">
                  <c:v>-13.1977648872389</c:v>
                </c:pt>
                <c:pt idx="900">
                  <c:v>-13.2093104740848</c:v>
                </c:pt>
                <c:pt idx="901">
                  <c:v>-13.2208560858588</c:v>
                </c:pt>
                <c:pt idx="902">
                  <c:v>-13.2324017225605</c:v>
                </c:pt>
                <c:pt idx="903">
                  <c:v>-13.2439473841895</c:v>
                </c:pt>
                <c:pt idx="904">
                  <c:v>-13.2554930707453</c:v>
                </c:pt>
                <c:pt idx="905">
                  <c:v>-13.2670387822277</c:v>
                </c:pt>
                <c:pt idx="906">
                  <c:v>-13.2785845186363</c:v>
                </c:pt>
                <c:pt idx="907">
                  <c:v>-13.2901302799705</c:v>
                </c:pt>
                <c:pt idx="908">
                  <c:v>-13.3016760662301</c:v>
                </c:pt>
                <c:pt idx="909">
                  <c:v>-13.3132218774146</c:v>
                </c:pt>
                <c:pt idx="910">
                  <c:v>-13.3247677135237</c:v>
                </c:pt>
                <c:pt idx="911">
                  <c:v>-13.3363135745569</c:v>
                </c:pt>
                <c:pt idx="912">
                  <c:v>-13.3478594605138</c:v>
                </c:pt>
                <c:pt idx="913">
                  <c:v>-13.3594053713942</c:v>
                </c:pt>
                <c:pt idx="914">
                  <c:v>-13.3709513071975</c:v>
                </c:pt>
                <c:pt idx="915">
                  <c:v>-13.3824972679233</c:v>
                </c:pt>
                <c:pt idx="916">
                  <c:v>-13.3940432535714</c:v>
                </c:pt>
                <c:pt idx="917">
                  <c:v>-13.4055892641412</c:v>
                </c:pt>
                <c:pt idx="918">
                  <c:v>-13.4171352996324</c:v>
                </c:pt>
                <c:pt idx="919">
                  <c:v>-13.4286813600446</c:v>
                </c:pt>
                <c:pt idx="920">
                  <c:v>-13.4402274453774</c:v>
                </c:pt>
                <c:pt idx="921">
                  <c:v>-13.4517735556304</c:v>
                </c:pt>
                <c:pt idx="922">
                  <c:v>-13.4633196908032</c:v>
                </c:pt>
                <c:pt idx="923">
                  <c:v>-13.4748658508954</c:v>
                </c:pt>
                <c:pt idx="924">
                  <c:v>-13.4864120359067</c:v>
                </c:pt>
                <c:pt idx="925">
                  <c:v>-13.4979582458365</c:v>
                </c:pt>
                <c:pt idx="926">
                  <c:v>-13.5095044806847</c:v>
                </c:pt>
                <c:pt idx="927">
                  <c:v>-13.5210507404506</c:v>
                </c:pt>
                <c:pt idx="928">
                  <c:v>-13.532597025134</c:v>
                </c:pt>
                <c:pt idx="929">
                  <c:v>-13.5441433347344</c:v>
                </c:pt>
                <c:pt idx="930">
                  <c:v>-13.5556896692515</c:v>
                </c:pt>
                <c:pt idx="931">
                  <c:v>-13.5672360286849</c:v>
                </c:pt>
                <c:pt idx="932">
                  <c:v>-13.5787824130341</c:v>
                </c:pt>
                <c:pt idx="933">
                  <c:v>-13.5903288222988</c:v>
                </c:pt>
                <c:pt idx="934">
                  <c:v>-13.6018752564786</c:v>
                </c:pt>
                <c:pt idx="935">
                  <c:v>-13.6134217155731</c:v>
                </c:pt>
                <c:pt idx="936">
                  <c:v>-13.6249681995819</c:v>
                </c:pt>
                <c:pt idx="937">
                  <c:v>-13.6365147085045</c:v>
                </c:pt>
                <c:pt idx="938">
                  <c:v>-13.6480612423407</c:v>
                </c:pt>
                <c:pt idx="939">
                  <c:v>-13.6596078010899</c:v>
                </c:pt>
                <c:pt idx="940">
                  <c:v>-13.6711543847519</c:v>
                </c:pt>
                <c:pt idx="941">
                  <c:v>-13.6827009933262</c:v>
                </c:pt>
                <c:pt idx="942">
                  <c:v>-13.6942476268124</c:v>
                </c:pt>
                <c:pt idx="943">
                  <c:v>-13.7057942852102</c:v>
                </c:pt>
                <c:pt idx="944">
                  <c:v>-13.7173409685191</c:v>
                </c:pt>
                <c:pt idx="945">
                  <c:v>-13.7288876767387</c:v>
                </c:pt>
                <c:pt idx="946">
                  <c:v>-13.7404344098687</c:v>
                </c:pt>
                <c:pt idx="947">
                  <c:v>-13.7519811679086</c:v>
                </c:pt>
                <c:pt idx="948">
                  <c:v>-13.7635279508581</c:v>
                </c:pt>
                <c:pt idx="949">
                  <c:v>-13.7750747587168</c:v>
                </c:pt>
                <c:pt idx="950">
                  <c:v>-13.7866215914842</c:v>
                </c:pt>
                <c:pt idx="951">
                  <c:v>-13.79816844916</c:v>
                </c:pt>
                <c:pt idx="952">
                  <c:v>-13.8097153317438</c:v>
                </c:pt>
                <c:pt idx="953">
                  <c:v>-13.8212622392352</c:v>
                </c:pt>
                <c:pt idx="954">
                  <c:v>-13.8328091716338</c:v>
                </c:pt>
                <c:pt idx="955">
                  <c:v>-13.8443561289391</c:v>
                </c:pt>
                <c:pt idx="956">
                  <c:v>-13.8559031111509</c:v>
                </c:pt>
                <c:pt idx="957">
                  <c:v>-13.8674501182687</c:v>
                </c:pt>
                <c:pt idx="958">
                  <c:v>-13.8789971502921</c:v>
                </c:pt>
                <c:pt idx="959">
                  <c:v>-13.8905442072207</c:v>
                </c:pt>
                <c:pt idx="960">
                  <c:v>-13.9020912890542</c:v>
                </c:pt>
                <c:pt idx="961">
                  <c:v>-13.9136383957921</c:v>
                </c:pt>
                <c:pt idx="962">
                  <c:v>-13.925185527434</c:v>
                </c:pt>
                <c:pt idx="963">
                  <c:v>-13.9367326839796</c:v>
                </c:pt>
                <c:pt idx="964">
                  <c:v>-13.9482798654285</c:v>
                </c:pt>
                <c:pt idx="965">
                  <c:v>-13.9598270717801</c:v>
                </c:pt>
                <c:pt idx="966">
                  <c:v>-13.9713743030343</c:v>
                </c:pt>
                <c:pt idx="967">
                  <c:v>-13.9829215591905</c:v>
                </c:pt>
                <c:pt idx="968">
                  <c:v>-13.9944688402484</c:v>
                </c:pt>
                <c:pt idx="969">
                  <c:v>-14.0060161462076</c:v>
                </c:pt>
                <c:pt idx="970">
                  <c:v>-14.0175634770677</c:v>
                </c:pt>
                <c:pt idx="971">
                  <c:v>-14.0291108328283</c:v>
                </c:pt>
                <c:pt idx="972">
                  <c:v>-14.0406582134889</c:v>
                </c:pt>
                <c:pt idx="973">
                  <c:v>-14.0522056190493</c:v>
                </c:pt>
                <c:pt idx="974">
                  <c:v>-14.063753049509</c:v>
                </c:pt>
                <c:pt idx="975">
                  <c:v>-14.0753005048676</c:v>
                </c:pt>
                <c:pt idx="976">
                  <c:v>-14.0868479851247</c:v>
                </c:pt>
                <c:pt idx="977">
                  <c:v>-14.0983954902799</c:v>
                </c:pt>
                <c:pt idx="978">
                  <c:v>-14.1099430203329</c:v>
                </c:pt>
                <c:pt idx="979">
                  <c:v>-14.1214905752832</c:v>
                </c:pt>
                <c:pt idx="980">
                  <c:v>-14.1330381551305</c:v>
                </c:pt>
                <c:pt idx="981">
                  <c:v>-14.1445857598743</c:v>
                </c:pt>
                <c:pt idx="982">
                  <c:v>-14.1561333895143</c:v>
                </c:pt>
                <c:pt idx="983">
                  <c:v>-14.16768104405</c:v>
                </c:pt>
                <c:pt idx="984">
                  <c:v>-14.1792287234811</c:v>
                </c:pt>
                <c:pt idx="985">
                  <c:v>-14.1907764278072</c:v>
                </c:pt>
                <c:pt idx="986">
                  <c:v>-14.2023241570279</c:v>
                </c:pt>
                <c:pt idx="987">
                  <c:v>-14.2138719111427</c:v>
                </c:pt>
                <c:pt idx="988">
                  <c:v>-14.2254196901514</c:v>
                </c:pt>
                <c:pt idx="989">
                  <c:v>-14.2369674940534</c:v>
                </c:pt>
                <c:pt idx="990">
                  <c:v>-14.2485153228485</c:v>
                </c:pt>
                <c:pt idx="991">
                  <c:v>-14.2600631765361</c:v>
                </c:pt>
                <c:pt idx="992">
                  <c:v>-14.271611055116</c:v>
                </c:pt>
                <c:pt idx="993">
                  <c:v>-14.2831589585877</c:v>
                </c:pt>
                <c:pt idx="994">
                  <c:v>-14.2947068869509</c:v>
                </c:pt>
                <c:pt idx="995">
                  <c:v>-14.306254840205</c:v>
                </c:pt>
                <c:pt idx="996">
                  <c:v>-14.3178028183498</c:v>
                </c:pt>
                <c:pt idx="997">
                  <c:v>-14.3293508213849</c:v>
                </c:pt>
                <c:pt idx="998">
                  <c:v>-14.3408988493098</c:v>
                </c:pt>
                <c:pt idx="999">
                  <c:v>-14.3524469021241</c:v>
                </c:pt>
                <c:pt idx="1000">
                  <c:v>-14.3639949798276</c:v>
                </c:pt>
              </c:numCache>
            </c:numRef>
          </c:yVal>
          <c:smooth val="1"/>
        </c:ser>
        <c:ser>
          <c:idx val="3"/>
          <c:order val="3"/>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Trajecto!$B$140:$B$146</c:f>
              <c:numCache>
                <c:formatCode>General</c:formatCode>
                <c:ptCount val="7"/>
                <c:pt idx="0">
                  <c:v>0</c:v>
                </c:pt>
                <c:pt idx="1">
                  <c:v>0</c:v>
                </c:pt>
                <c:pt idx="2">
                  <c:v>0</c:v>
                </c:pt>
                <c:pt idx="3">
                  <c:v>0</c:v>
                </c:pt>
                <c:pt idx="4">
                  <c:v>0</c:v>
                </c:pt>
                <c:pt idx="5">
                  <c:v>0</c:v>
                </c:pt>
                <c:pt idx="6">
                  <c:v>0</c:v>
                </c:pt>
              </c:numCache>
            </c:numRef>
          </c:xVal>
          <c:yVal>
            <c:numRef>
              <c:f>Trajecto!$C$138:$C$144</c:f>
              <c:numCache>
                <c:formatCode>General</c:formatCode>
                <c:ptCount val="7"/>
                <c:pt idx="0">
                  <c:v>0</c:v>
                </c:pt>
                <c:pt idx="1">
                  <c:v>0</c:v>
                </c:pt>
                <c:pt idx="2">
                  <c:v>0</c:v>
                </c:pt>
                <c:pt idx="3">
                  <c:v>0</c:v>
                </c:pt>
                <c:pt idx="4">
                  <c:v>0</c:v>
                </c:pt>
                <c:pt idx="5">
                  <c:v>0</c:v>
                </c:pt>
                <c:pt idx="6">
                  <c:v>0</c:v>
                </c:pt>
              </c:numCache>
            </c:numRef>
          </c:yVal>
          <c:smooth val="1"/>
        </c:ser>
        <c:ser>
          <c:idx val="4"/>
          <c:order val="4"/>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0.000142702521077708</c:v>
                </c:pt>
                <c:pt idx="2">
                  <c:v>0.00120158907755714</c:v>
                </c:pt>
                <c:pt idx="3">
                  <c:v>0.00419179677730875</c:v>
                </c:pt>
                <c:pt idx="4">
                  <c:v>0.00945748075444779</c:v>
                </c:pt>
                <c:pt idx="5">
                  <c:v>0.0169181396636682</c:v>
                </c:pt>
                <c:pt idx="6">
                  <c:v>0.0265176555434008</c:v>
                </c:pt>
                <c:pt idx="7">
                  <c:v>0.0382489321105681</c:v>
                </c:pt>
                <c:pt idx="8">
                  <c:v>0.0521294193143606</c:v>
                </c:pt>
                <c:pt idx="9">
                  <c:v>0.0681765735565757</c:v>
                </c:pt>
                <c:pt idx="10">
                  <c:v>0.0864078573065882</c:v>
                </c:pt>
                <c:pt idx="11">
                  <c:v>0.106838188865451</c:v>
                </c:pt>
                <c:pt idx="12">
                  <c:v>0.129477385512674</c:v>
                </c:pt>
                <c:pt idx="13">
                  <c:v>0.154332703229742</c:v>
                </c:pt>
                <c:pt idx="14">
                  <c:v>0.181411383103548</c:v>
                </c:pt>
                <c:pt idx="15">
                  <c:v>0.210720651063163</c:v>
                </c:pt>
                <c:pt idx="16">
                  <c:v>0.24226771761588</c:v>
                </c:pt>
                <c:pt idx="17">
                  <c:v>0.276059777582553</c:v>
                </c:pt>
                <c:pt idx="18">
                  <c:v>0.312104009832246</c:v>
                </c:pt>
                <c:pt idx="19">
                  <c:v>0.350407577016219</c:v>
                </c:pt>
                <c:pt idx="20">
                  <c:v>0.390977625301283</c:v>
                </c:pt>
                <c:pt idx="21">
                  <c:v>0.433820260885645</c:v>
                </c:pt>
                <c:pt idx="22">
                  <c:v>0.478939523925093</c:v>
                </c:pt>
                <c:pt idx="23">
                  <c:v>0.526338407764063</c:v>
                </c:pt>
                <c:pt idx="24">
                  <c:v>0.576019880813362</c:v>
                </c:pt>
                <c:pt idx="25">
                  <c:v>0.627986886397614</c:v>
                </c:pt>
                <c:pt idx="26">
                  <c:v>0.682242342603648</c:v>
                </c:pt>
                <c:pt idx="27">
                  <c:v>0.738789142129849</c:v>
                </c:pt>
                <c:pt idx="28">
                  <c:v>0.797714091283294</c:v>
                </c:pt>
                <c:pt idx="29">
                  <c:v>0.859107358255577</c:v>
                </c:pt>
                <c:pt idx="30">
                  <c:v>0.922978483852036</c:v>
                </c:pt>
                <c:pt idx="31">
                  <c:v>0.98933682986653</c:v>
                </c:pt>
                <c:pt idx="32">
                  <c:v>1.05819153259397</c:v>
                </c:pt>
                <c:pt idx="33">
                  <c:v>1.12955151550531</c:v>
                </c:pt>
                <c:pt idx="34">
                  <c:v>1.20342550070062</c:v>
                </c:pt>
                <c:pt idx="35">
                  <c:v>1.27982201929056</c:v>
                </c:pt>
                <c:pt idx="36">
                  <c:v>1.35874942083454</c:v>
                </c:pt>
                <c:pt idx="37">
                  <c:v>1.44021588194467</c:v>
                </c:pt>
                <c:pt idx="38">
                  <c:v>1.52422941414984</c:v>
                </c:pt>
                <c:pt idx="39">
                  <c:v>1.61079787110082</c:v>
                </c:pt>
                <c:pt idx="40">
                  <c:v>1.69992895518691</c:v>
                </c:pt>
                <c:pt idx="41">
                  <c:v>1.79162940280806</c:v>
                </c:pt>
                <c:pt idx="42">
                  <c:v>1.88590416272022</c:v>
                </c:pt>
                <c:pt idx="43">
                  <c:v>1.98275721360428</c:v>
                </c:pt>
                <c:pt idx="44">
                  <c:v>2.08219238801924</c:v>
                </c:pt>
                <c:pt idx="45">
                  <c:v>2.1842133774686</c:v>
                </c:pt>
                <c:pt idx="46">
                  <c:v>2.28882373711154</c:v>
                </c:pt>
                <c:pt idx="47">
                  <c:v>2.39602689015126</c:v>
                </c:pt>
                <c:pt idx="48">
                  <c:v>2.50582613192993</c:v>
                </c:pt>
                <c:pt idx="49">
                  <c:v>2.61822463375571</c:v>
                </c:pt>
                <c:pt idx="50">
                  <c:v>2.73322544648536</c:v>
                </c:pt>
                <c:pt idx="51">
                  <c:v>2.85083150388283</c:v>
                </c:pt>
                <c:pt idx="52">
                  <c:v>2.97104562577249</c:v>
                </c:pt>
                <c:pt idx="53">
                  <c:v>3.09387052100375</c:v>
                </c:pt>
                <c:pt idx="54">
                  <c:v>3.21930879024202</c:v>
                </c:pt>
                <c:pt idx="55">
                  <c:v>3.3473629285997</c:v>
                </c:pt>
                <c:pt idx="56">
                  <c:v>3.47803532811939</c:v>
                </c:pt>
                <c:pt idx="57">
                  <c:v>3.61132828012061</c:v>
                </c:pt>
                <c:pt idx="58">
                  <c:v>3.74724397742008</c:v>
                </c:pt>
                <c:pt idx="59">
                  <c:v>3.88578451643479</c:v>
                </c:pt>
                <c:pt idx="60">
                  <c:v>4.02695189917639</c:v>
                </c:pt>
                <c:pt idx="61">
                  <c:v>4.17074803514441</c:v>
                </c:pt>
                <c:pt idx="62">
                  <c:v>4.31717474312555</c:v>
                </c:pt>
                <c:pt idx="63">
                  <c:v>4.46623375290529</c:v>
                </c:pt>
                <c:pt idx="64">
                  <c:v>4.61792670689786</c:v>
                </c:pt>
                <c:pt idx="65">
                  <c:v>4.77225516170005</c:v>
                </c:pt>
                <c:pt idx="66">
                  <c:v>4.92922058957369</c:v>
                </c:pt>
                <c:pt idx="67">
                  <c:v>5.08882437986159</c:v>
                </c:pt>
                <c:pt idx="68">
                  <c:v>5.25106784034109</c:v>
                </c:pt>
                <c:pt idx="69">
                  <c:v>5.41595219851925</c:v>
                </c:pt>
                <c:pt idx="70">
                  <c:v>5.58347860287317</c:v>
                </c:pt>
                <c:pt idx="71">
                  <c:v>5.75364812403898</c:v>
                </c:pt>
                <c:pt idx="72">
                  <c:v>5.92646175595255</c:v>
                </c:pt>
                <c:pt idx="73">
                  <c:v>6.10192041694473</c:v>
                </c:pt>
                <c:pt idx="74">
                  <c:v>6.28002495079404</c:v>
                </c:pt>
                <c:pt idx="75">
                  <c:v>6.46077612773908</c:v>
                </c:pt>
                <c:pt idx="76">
                  <c:v>6.64417464545314</c:v>
                </c:pt>
                <c:pt idx="77">
                  <c:v>6.83022112998319</c:v>
                </c:pt>
                <c:pt idx="78">
                  <c:v>7.01891613665516</c:v>
                </c:pt>
                <c:pt idx="79">
                  <c:v>7.2102601509476</c:v>
                </c:pt>
                <c:pt idx="80">
                  <c:v>7.40425358933527</c:v>
                </c:pt>
                <c:pt idx="81">
                  <c:v>7.60089592107714</c:v>
                </c:pt>
                <c:pt idx="82">
                  <c:v>7.80018478602092</c:v>
                </c:pt>
                <c:pt idx="83">
                  <c:v>8.00211686945928</c:v>
                </c:pt>
                <c:pt idx="84">
                  <c:v>8.20668878106523</c:v>
                </c:pt>
                <c:pt idx="85">
                  <c:v>8.41389705589945</c:v>
                </c:pt>
                <c:pt idx="86">
                  <c:v>8.62373815539075</c:v>
                </c:pt>
                <c:pt idx="87">
                  <c:v>8.83620846829117</c:v>
                </c:pt>
                <c:pt idx="88">
                  <c:v>9.05130431160712</c:v>
                </c:pt>
                <c:pt idx="89">
                  <c:v>9.26902193150768</c:v>
                </c:pt>
                <c:pt idx="90">
                  <c:v>9.48935750421138</c:v>
                </c:pt>
                <c:pt idx="91">
                  <c:v>9.71230674489727</c:v>
                </c:pt>
                <c:pt idx="92">
                  <c:v>9.93786451502275</c:v>
                </c:pt>
                <c:pt idx="93">
                  <c:v>10.1660252131983</c:v>
                </c:pt>
                <c:pt idx="94">
                  <c:v>10.3967831676797</c:v>
                </c:pt>
                <c:pt idx="95">
                  <c:v>10.6301326372849</c:v>
                </c:pt>
                <c:pt idx="96">
                  <c:v>10.8660678122921</c:v>
                </c:pt>
                <c:pt idx="97">
                  <c:v>11.1045828153218</c:v>
                </c:pt>
                <c:pt idx="98">
                  <c:v>11.3456717022026</c:v>
                </c:pt>
                <c:pt idx="99">
                  <c:v>11.5893284628218</c:v>
                </c:pt>
                <c:pt idx="100">
                  <c:v>11.8355470219611</c:v>
                </c:pt>
                <c:pt idx="101">
                  <c:v>12.0843211769064</c:v>
                </c:pt>
                <c:pt idx="102">
                  <c:v>12.3356445348181</c:v>
                </c:pt>
                <c:pt idx="103">
                  <c:v>12.589510576474</c:v>
                </c:pt>
                <c:pt idx="104">
                  <c:v>12.8459127202356</c:v>
                </c:pt>
                <c:pt idx="105">
                  <c:v>13.1048443228395</c:v>
                </c:pt>
                <c:pt idx="106">
                  <c:v>13.3662986801765</c:v>
                </c:pt>
                <c:pt idx="107">
                  <c:v>13.6302690280603</c:v>
                </c:pt>
                <c:pt idx="108">
                  <c:v>13.8967485429859</c:v>
                </c:pt>
                <c:pt idx="109">
                  <c:v>14.165730342878</c:v>
                </c:pt>
                <c:pt idx="110">
                  <c:v>14.4372074878299</c:v>
                </c:pt>
                <c:pt idx="111">
                  <c:v>14.7111737141279</c:v>
                </c:pt>
                <c:pt idx="112">
                  <c:v>14.9876241706157</c:v>
                </c:pt>
                <c:pt idx="113">
                  <c:v>15.2665546887501</c:v>
                </c:pt>
                <c:pt idx="114">
                  <c:v>15.5479610502025</c:v>
                </c:pt>
                <c:pt idx="115">
                  <c:v>15.8318389873639</c:v>
                </c:pt>
                <c:pt idx="116">
                  <c:v>16.1181841838429</c:v>
                </c:pt>
                <c:pt idx="117">
                  <c:v>16.4069922749594</c:v>
                </c:pt>
                <c:pt idx="118">
                  <c:v>16.6982588482332</c:v>
                </c:pt>
                <c:pt idx="119">
                  <c:v>16.9919794438672</c:v>
                </c:pt>
                <c:pt idx="120">
                  <c:v>17.2881495552267</c:v>
                </c:pt>
                <c:pt idx="121">
                  <c:v>17.5867634045956</c:v>
                </c:pt>
                <c:pt idx="122">
                  <c:v>17.8878127153996</c:v>
                </c:pt>
                <c:pt idx="123">
                  <c:v>18.1912879336256</c:v>
                </c:pt>
                <c:pt idx="124">
                  <c:v>18.4971794529213</c:v>
                </c:pt>
                <c:pt idx="125">
                  <c:v>18.805477615365</c:v>
                </c:pt>
                <c:pt idx="126">
                  <c:v>19.1161727122271</c:v>
                </c:pt>
                <c:pt idx="127">
                  <c:v>19.4292549847261</c:v>
                </c:pt>
                <c:pt idx="128">
                  <c:v>19.7447146247774</c:v>
                </c:pt>
                <c:pt idx="129">
                  <c:v>20.0625417757364</c:v>
                </c:pt>
                <c:pt idx="130">
                  <c:v>20.3827265331347</c:v>
                </c:pt>
                <c:pt idx="131">
                  <c:v>20.7052586227036</c:v>
                </c:pt>
                <c:pt idx="132">
                  <c:v>21.0301270775729</c:v>
                </c:pt>
                <c:pt idx="133">
                  <c:v>21.3573205608891</c:v>
                </c:pt>
                <c:pt idx="134">
                  <c:v>21.6868276892858</c:v>
                </c:pt>
                <c:pt idx="135">
                  <c:v>22.0186370336749</c:v>
                </c:pt>
                <c:pt idx="136">
                  <c:v>22.35273712003</c:v>
                </c:pt>
                <c:pt idx="137">
                  <c:v>22.6891164301641</c:v>
                </c:pt>
                <c:pt idx="138">
                  <c:v>23.0277634025017</c:v>
                </c:pt>
                <c:pt idx="139">
                  <c:v>23.3686664328444</c:v>
                </c:pt>
                <c:pt idx="140">
                  <c:v>23.7118138751304</c:v>
                </c:pt>
                <c:pt idx="141">
                  <c:v>24.057190160324</c:v>
                </c:pt>
                <c:pt idx="142">
                  <c:v>24.4047719068006</c:v>
                </c:pt>
                <c:pt idx="143">
                  <c:v>24.7545317954677</c:v>
                </c:pt>
                <c:pt idx="144">
                  <c:v>25.1064424539388</c:v>
                </c:pt>
                <c:pt idx="145">
                  <c:v>25.4604764583802</c:v>
                </c:pt>
                <c:pt idx="146">
                  <c:v>25.8166063353356</c:v>
                </c:pt>
                <c:pt idx="147">
                  <c:v>26.1748045635305</c:v>
                </c:pt>
                <c:pt idx="148">
                  <c:v>26.5350435756551</c:v>
                </c:pt>
                <c:pt idx="149">
                  <c:v>26.897295760127</c:v>
                </c:pt>
                <c:pt idx="150">
                  <c:v>27.2615334628326</c:v>
                </c:pt>
                <c:pt idx="151">
                  <c:v>27.6277289888487</c:v>
                </c:pt>
                <c:pt idx="152">
                  <c:v>27.995854604143</c:v>
                </c:pt>
                <c:pt idx="153">
                  <c:v>28.3658825372539</c:v>
                </c:pt>
                <c:pt idx="154">
                  <c:v>28.7377849809511</c:v>
                </c:pt>
                <c:pt idx="155">
                  <c:v>29.1115340938744</c:v>
                </c:pt>
                <c:pt idx="156">
                  <c:v>29.4870834635344</c:v>
                </c:pt>
                <c:pt idx="157">
                  <c:v>29.864349542883</c:v>
                </c:pt>
                <c:pt idx="158">
                  <c:v>30.2432301787011</c:v>
                </c:pt>
                <c:pt idx="159">
                  <c:v>30.6236231710426</c:v>
                </c:pt>
                <c:pt idx="160">
                  <c:v>31.0054262840037</c:v>
                </c:pt>
                <c:pt idx="161">
                  <c:v>31.388513625293</c:v>
                </c:pt>
                <c:pt idx="162">
                  <c:v>31.7727120096094</c:v>
                </c:pt>
                <c:pt idx="163">
                  <c:v>32.1578268703005</c:v>
                </c:pt>
                <c:pt idx="164">
                  <c:v>32.5436681981945</c:v>
                </c:pt>
                <c:pt idx="165">
                  <c:v>32.9300709341462</c:v>
                </c:pt>
                <c:pt idx="166">
                  <c:v>33.3169153570489</c:v>
                </c:pt>
                <c:pt idx="167">
                  <c:v>33.7040872368924</c:v>
                </c:pt>
                <c:pt idx="168">
                  <c:v>34.0914504449235</c:v>
                </c:pt>
                <c:pt idx="169">
                  <c:v>34.4788286096299</c:v>
                </c:pt>
                <c:pt idx="170">
                  <c:v>34.8659992824926</c:v>
                </c:pt>
                <c:pt idx="171">
                  <c:v>35.2528067468829</c:v>
                </c:pt>
                <c:pt idx="172">
                  <c:v>35.6392123409729</c:v>
                </c:pt>
                <c:pt idx="173">
                  <c:v>36.0252171744968</c:v>
                </c:pt>
                <c:pt idx="174">
                  <c:v>36.4108223528742</c:v>
                </c:pt>
                <c:pt idx="175">
                  <c:v>36.7960289772321</c:v>
                </c:pt>
                <c:pt idx="176">
                  <c:v>37.1808381444281</c:v>
                </c:pt>
                <c:pt idx="177">
                  <c:v>37.565250947073</c:v>
                </c:pt>
                <c:pt idx="178">
                  <c:v>37.9492684735529</c:v>
                </c:pt>
                <c:pt idx="179">
                  <c:v>38.3328918080519</c:v>
                </c:pt>
                <c:pt idx="180">
                  <c:v>38.7161220305737</c:v>
                </c:pt>
                <c:pt idx="181">
                  <c:v>39.0989602169643</c:v>
                </c:pt>
                <c:pt idx="182">
                  <c:v>39.4814074389331</c:v>
                </c:pt>
                <c:pt idx="183">
                  <c:v>39.863464764075</c:v>
                </c:pt>
                <c:pt idx="184">
                  <c:v>40.245133255892</c:v>
                </c:pt>
                <c:pt idx="185">
                  <c:v>40.6264139738144</c:v>
                </c:pt>
                <c:pt idx="186">
                  <c:v>41.0073079732223</c:v>
                </c:pt>
                <c:pt idx="187">
                  <c:v>41.3878163054663</c:v>
                </c:pt>
                <c:pt idx="188">
                  <c:v>41.7679400178892</c:v>
                </c:pt>
                <c:pt idx="189">
                  <c:v>42.1476801538461</c:v>
                </c:pt>
                <c:pt idx="190">
                  <c:v>42.5270377527258</c:v>
                </c:pt>
                <c:pt idx="191">
                  <c:v>42.9060138499707</c:v>
                </c:pt>
                <c:pt idx="192">
                  <c:v>43.284609477098</c:v>
                </c:pt>
                <c:pt idx="193">
                  <c:v>43.6628256617193</c:v>
                </c:pt>
                <c:pt idx="194">
                  <c:v>44.0406634275615</c:v>
                </c:pt>
                <c:pt idx="195">
                  <c:v>44.418123794486</c:v>
                </c:pt>
                <c:pt idx="196">
                  <c:v>44.7952077785097</c:v>
                </c:pt>
                <c:pt idx="197">
                  <c:v>45.1719163918237</c:v>
                </c:pt>
                <c:pt idx="198">
                  <c:v>45.5482506428138</c:v>
                </c:pt>
                <c:pt idx="199">
                  <c:v>45.9242115360796</c:v>
                </c:pt>
                <c:pt idx="200">
                  <c:v>46.2998000724542</c:v>
                </c:pt>
                <c:pt idx="201">
                  <c:v>50.0352830392682</c:v>
                </c:pt>
                <c:pt idx="202">
                  <c:v>53.7341720407277</c:v>
                </c:pt>
                <c:pt idx="203">
                  <c:v>57.3974335095521</c:v>
                </c:pt>
                <c:pt idx="204">
                  <c:v>61.0259986255886</c:v>
                </c:pt>
                <c:pt idx="205">
                  <c:v>64.6207650586916</c:v>
                </c:pt>
                <c:pt idx="206">
                  <c:v>68.1825986047871</c:v>
                </c:pt>
                <c:pt idx="207">
                  <c:v>71.7123347229263</c:v>
                </c:pt>
                <c:pt idx="208">
                  <c:v>75.2107799804765</c:v>
                </c:pt>
                <c:pt idx="209">
                  <c:v>78.678713412995</c:v>
                </c:pt>
                <c:pt idx="210">
                  <c:v>82.1168878047977</c:v>
                </c:pt>
                <c:pt idx="211">
                  <c:v>85.5260308957372</c:v>
                </c:pt>
                <c:pt idx="212">
                  <c:v>88.906846519267</c:v>
                </c:pt>
                <c:pt idx="213">
                  <c:v>92.2600156764589</c:v>
                </c:pt>
                <c:pt idx="214">
                  <c:v>95.5861975502763</c:v>
                </c:pt>
                <c:pt idx="215">
                  <c:v>98.8860304640715</c:v>
                </c:pt>
                <c:pt idx="216">
                  <c:v>102.160132787967</c:v>
                </c:pt>
                <c:pt idx="217">
                  <c:v>105.409103796503</c:v>
                </c:pt>
                <c:pt idx="218">
                  <c:v>108.633524480684</c:v>
                </c:pt>
                <c:pt idx="219">
                  <c:v>111.833958317319</c:v>
                </c:pt>
                <c:pt idx="220">
                  <c:v>115.010951998323</c:v>
                </c:pt>
                <c:pt idx="221">
                  <c:v>118.165036122499</c:v>
                </c:pt>
                <c:pt idx="222">
                  <c:v>121.296725852071</c:v>
                </c:pt>
                <c:pt idx="223">
                  <c:v>124.406521536136</c:v>
                </c:pt>
                <c:pt idx="224">
                  <c:v>127.494909303019</c:v>
                </c:pt>
                <c:pt idx="225">
                  <c:v>130.562361623378</c:v>
                </c:pt>
                <c:pt idx="226">
                  <c:v>133.609337845792</c:v>
                </c:pt>
                <c:pt idx="227">
                  <c:v>136.636284706429</c:v>
                </c:pt>
                <c:pt idx="228">
                  <c:v>139.643636814303</c:v>
                </c:pt>
                <c:pt idx="229">
                  <c:v>142.631817113497</c:v>
                </c:pt>
                <c:pt idx="230">
                  <c:v>145.601237323677</c:v>
                </c:pt>
                <c:pt idx="231">
                  <c:v>148.552298360097</c:v>
                </c:pt>
                <c:pt idx="232">
                  <c:v>151.485390734246</c:v>
                </c:pt>
                <c:pt idx="233">
                  <c:v>154.400894936187</c:v>
                </c:pt>
                <c:pt idx="234">
                  <c:v>157.299181799595</c:v>
                </c:pt>
                <c:pt idx="235">
                  <c:v>160.180612850427</c:v>
                </c:pt>
                <c:pt idx="236">
                  <c:v>163.045540640082</c:v>
                </c:pt>
                <c:pt idx="237">
                  <c:v>165.894309063891</c:v>
                </c:pt>
                <c:pt idx="238">
                  <c:v>168.727253665692</c:v>
                </c:pt>
                <c:pt idx="239">
                  <c:v>171.544701929206</c:v>
                </c:pt>
                <c:pt idx="240">
                  <c:v>174.346973556911</c:v>
                </c:pt>
                <c:pt idx="241">
                  <c:v>177.13438073703</c:v>
                </c:pt>
                <c:pt idx="242">
                  <c:v>179.90722839923</c:v>
                </c:pt>
                <c:pt idx="243">
                  <c:v>182.665814459617</c:v>
                </c:pt>
                <c:pt idx="244">
                  <c:v>185.410430055527</c:v>
                </c:pt>
                <c:pt idx="245">
                  <c:v>188.141359770623</c:v>
                </c:pt>
                <c:pt idx="246">
                  <c:v>190.858881850772</c:v>
                </c:pt>
                <c:pt idx="247">
                  <c:v>193.563268411133</c:v>
                </c:pt>
                <c:pt idx="248">
                  <c:v>196.254785634869</c:v>
                </c:pt>
                <c:pt idx="249">
                  <c:v>198.933693963888</c:v>
                </c:pt>
                <c:pt idx="250">
                  <c:v>201.600248281967</c:v>
                </c:pt>
                <c:pt idx="251">
                  <c:v>204.254698090614</c:v>
                </c:pt>
                <c:pt idx="252">
                  <c:v>206.897287677996</c:v>
                </c:pt>
                <c:pt idx="253">
                  <c:v>209.52825628124</c:v>
                </c:pt>
                <c:pt idx="254">
                  <c:v>212.14783824239</c:v>
                </c:pt>
                <c:pt idx="255">
                  <c:v>214.756263158319</c:v>
                </c:pt>
                <c:pt idx="256">
                  <c:v>217.353756024822</c:v>
                </c:pt>
                <c:pt idx="257">
                  <c:v>219.940537375162</c:v>
                </c:pt>
                <c:pt idx="258">
                  <c:v>222.516823413282</c:v>
                </c:pt>
                <c:pt idx="259">
                  <c:v>225.082826141911</c:v>
                </c:pt>
                <c:pt idx="260">
                  <c:v>227.638753485754</c:v>
                </c:pt>
                <c:pt idx="261">
                  <c:v>230.184809409976</c:v>
                </c:pt>
                <c:pt idx="262">
                  <c:v>232.721194034142</c:v>
                </c:pt>
                <c:pt idx="263">
                  <c:v>235.248103741798</c:v>
                </c:pt>
                <c:pt idx="264">
                  <c:v>237.765731285838</c:v>
                </c:pt>
                <c:pt idx="265">
                  <c:v>240.274265889821</c:v>
                </c:pt>
                <c:pt idx="266">
                  <c:v>242.773893345357</c:v>
                </c:pt>
                <c:pt idx="267">
                  <c:v>245.264796105717</c:v>
                </c:pt>
                <c:pt idx="268">
                  <c:v>247.747153375761</c:v>
                </c:pt>
                <c:pt idx="269">
                  <c:v>250.221141198316</c:v>
                </c:pt>
                <c:pt idx="270">
                  <c:v>252.686932537095</c:v>
                </c:pt>
                <c:pt idx="271">
                  <c:v>255.144697356256</c:v>
                </c:pt>
                <c:pt idx="272">
                  <c:v>257.59460269669</c:v>
                </c:pt>
                <c:pt idx="273">
                  <c:v>260.036812749105</c:v>
                </c:pt>
                <c:pt idx="274">
                  <c:v>262.471488923991</c:v>
                </c:pt>
                <c:pt idx="275">
                  <c:v>264.898789918512</c:v>
                </c:pt>
                <c:pt idx="276">
                  <c:v>267.318871780393</c:v>
                </c:pt>
                <c:pt idx="277">
                  <c:v>269.73188796883</c:v>
                </c:pt>
                <c:pt idx="278">
                  <c:v>272.137989412477</c:v>
                </c:pt>
                <c:pt idx="279">
                  <c:v>274.537324564526</c:v>
                </c:pt>
                <c:pt idx="280">
                  <c:v>276.930039454904</c:v>
                </c:pt>
                <c:pt idx="281">
                  <c:v>279.316277739591</c:v>
                </c:pt>
                <c:pt idx="282">
                  <c:v>281.696180747073</c:v>
                </c:pt>
                <c:pt idx="283">
                  <c:v>284.069887521906</c:v>
                </c:pt>
                <c:pt idx="284">
                  <c:v>286.437534865384</c:v>
                </c:pt>
                <c:pt idx="285">
                  <c:v>288.799257373266</c:v>
                </c:pt>
                <c:pt idx="286">
                  <c:v>291.155187470548</c:v>
                </c:pt>
                <c:pt idx="287">
                  <c:v>293.505455443191</c:v>
                </c:pt>
                <c:pt idx="288">
                  <c:v>295.850189466778</c:v>
                </c:pt>
                <c:pt idx="289">
                  <c:v>298.189515631994</c:v>
                </c:pt>
                <c:pt idx="290">
                  <c:v>300.523557966851</c:v>
                </c:pt>
                <c:pt idx="291">
                  <c:v>302.852438455554</c:v>
                </c:pt>
                <c:pt idx="292">
                  <c:v>305.176277053874</c:v>
                </c:pt>
                <c:pt idx="293">
                  <c:v>307.495191700906</c:v>
                </c:pt>
                <c:pt idx="294">
                  <c:v>309.809298327055</c:v>
                </c:pt>
                <c:pt idx="295">
                  <c:v>312.118710858063</c:v>
                </c:pt>
                <c:pt idx="296">
                  <c:v>314.423541214914</c:v>
                </c:pt>
                <c:pt idx="297">
                  <c:v>316.723899309389</c:v>
                </c:pt>
                <c:pt idx="298">
                  <c:v>319.019893035044</c:v>
                </c:pt>
                <c:pt idx="299">
                  <c:v>321.311628253378</c:v>
                </c:pt>
                <c:pt idx="300">
                  <c:v>323.599208774914</c:v>
                </c:pt>
                <c:pt idx="301">
                  <c:v>325.882736334918</c:v>
                </c:pt>
                <c:pt idx="302">
                  <c:v>328.162310563446</c:v>
                </c:pt>
                <c:pt idx="303">
                  <c:v>330.438028949422</c:v>
                </c:pt>
                <c:pt idx="304">
                  <c:v>332.709986798411</c:v>
                </c:pt>
                <c:pt idx="305">
                  <c:v>334.978277183771</c:v>
                </c:pt>
                <c:pt idx="306">
                  <c:v>337.242990890849</c:v>
                </c:pt>
                <c:pt idx="307">
                  <c:v>339.504216353916</c:v>
                </c:pt>
                <c:pt idx="308">
                  <c:v>341.762039585548</c:v>
                </c:pt>
                <c:pt idx="309">
                  <c:v>344.016544098192</c:v>
                </c:pt>
                <c:pt idx="310">
                  <c:v>346.267810817741</c:v>
                </c:pt>
                <c:pt idx="311">
                  <c:v>348.515917988965</c:v>
                </c:pt>
                <c:pt idx="312">
                  <c:v>350.760941072819</c:v>
                </c:pt>
                <c:pt idx="313">
                  <c:v>353.002952635706</c:v>
                </c:pt>
                <c:pt idx="314">
                  <c:v>355.242022231006</c:v>
                </c:pt>
                <c:pt idx="315">
                  <c:v>357.478216273334</c:v>
                </c:pt>
                <c:pt idx="316">
                  <c:v>359.711597906264</c:v>
                </c:pt>
                <c:pt idx="317">
                  <c:v>361.942226864506</c:v>
                </c:pt>
                <c:pt idx="318">
                  <c:v>364.170159331862</c:v>
                </c:pt>
                <c:pt idx="319">
                  <c:v>366.395447796596</c:v>
                </c:pt>
                <c:pt idx="320">
                  <c:v>368.618140906229</c:v>
                </c:pt>
                <c:pt idx="321">
                  <c:v>370.838283324107</c:v>
                </c:pt>
                <c:pt idx="322">
                  <c:v>373.055915590429</c:v>
                </c:pt>
                <c:pt idx="323">
                  <c:v>375.271073990683</c:v>
                </c:pt>
                <c:pt idx="324">
                  <c:v>377.483790434656</c:v>
                </c:pt>
                <c:pt idx="325">
                  <c:v>379.69409234925</c:v>
                </c:pt>
                <c:pt idx="326">
                  <c:v>381.902002588329</c:v>
                </c:pt>
                <c:pt idx="327">
                  <c:v>384.107539362574</c:v>
                </c:pt>
                <c:pt idx="328">
                  <c:v>386.310716192007</c:v>
                </c:pt>
                <c:pt idx="329">
                  <c:v>388.511541883305</c:v>
                </c:pt>
                <c:pt idx="330">
                  <c:v>390.710020533387</c:v>
                </c:pt>
                <c:pt idx="331">
                  <c:v>392.906151560009</c:v>
                </c:pt>
                <c:pt idx="332">
                  <c:v>395.099929759289</c:v>
                </c:pt>
                <c:pt idx="333">
                  <c:v>397.291345389315</c:v>
                </c:pt>
                <c:pt idx="334">
                  <c:v>399.480384278233</c:v>
                </c:pt>
                <c:pt idx="335">
                  <c:v>401.667027954569</c:v>
                </c:pt>
                <c:pt idx="336">
                  <c:v>403.851253797061</c:v>
                </c:pt>
                <c:pt idx="337">
                  <c:v>406.033035200916</c:v>
                </c:pt>
                <c:pt idx="338">
                  <c:v>408.212341757245</c:v>
                </c:pt>
                <c:pt idx="339">
                  <c:v>410.389139442397</c:v>
                </c:pt>
                <c:pt idx="340">
                  <c:v>412.563390814028</c:v>
                </c:pt>
                <c:pt idx="341">
                  <c:v>414.735055210945</c:v>
                </c:pt>
                <c:pt idx="342">
                  <c:v>416.904088954099</c:v>
                </c:pt>
                <c:pt idx="343">
                  <c:v>419.070445546385</c:v>
                </c:pt>
                <c:pt idx="344">
                  <c:v>421.234075869317</c:v>
                </c:pt>
                <c:pt idx="345">
                  <c:v>423.394928374988</c:v>
                </c:pt>
                <c:pt idx="346">
                  <c:v>425.552949272077</c:v>
                </c:pt>
                <c:pt idx="347">
                  <c:v>427.708082704961</c:v>
                </c:pt>
                <c:pt idx="348">
                  <c:v>429.860270925293</c:v>
                </c:pt>
                <c:pt idx="349">
                  <c:v>432.009454455645</c:v>
                </c:pt>
                <c:pt idx="350">
                  <c:v>434.155572244981</c:v>
                </c:pt>
                <c:pt idx="351">
                  <c:v>436.298561815947</c:v>
                </c:pt>
                <c:pt idx="352">
                  <c:v>438.438359404042</c:v>
                </c:pt>
                <c:pt idx="353">
                  <c:v>440.57490008886</c:v>
                </c:pt>
                <c:pt idx="354">
                  <c:v>442.708117917661</c:v>
                </c:pt>
                <c:pt idx="355">
                  <c:v>444.837946021596</c:v>
                </c:pt>
                <c:pt idx="356">
                  <c:v>446.964316724901</c:v>
                </c:pt>
                <c:pt idx="357">
                  <c:v>449.087161647462</c:v>
                </c:pt>
                <c:pt idx="358">
                  <c:v>451.206411801097</c:v>
                </c:pt>
                <c:pt idx="359">
                  <c:v>453.321997679945</c:v>
                </c:pt>
                <c:pt idx="360">
                  <c:v>455.433849345324</c:v>
                </c:pt>
                <c:pt idx="361">
                  <c:v>457.541896505419</c:v>
                </c:pt>
                <c:pt idx="362">
                  <c:v>459.646068590137</c:v>
                </c:pt>
                <c:pt idx="363">
                  <c:v>461.746294821456</c:v>
                </c:pt>
                <c:pt idx="364">
                  <c:v>463.84250427958</c:v>
                </c:pt>
                <c:pt idx="365">
                  <c:v>465.934625965183</c:v>
                </c:pt>
                <c:pt idx="366">
                  <c:v>468.022588858008</c:v>
                </c:pt>
                <c:pt idx="367">
                  <c:v>470.106321972084</c:v>
                </c:pt>
                <c:pt idx="368">
                  <c:v>472.185754407781</c:v>
                </c:pt>
                <c:pt idx="369">
                  <c:v>474.260815400926</c:v>
                </c:pt>
                <c:pt idx="370">
                  <c:v>476.331434369182</c:v>
                </c:pt>
                <c:pt idx="371">
                  <c:v>478.397540955857</c:v>
                </c:pt>
                <c:pt idx="372">
                  <c:v>480.459065071339</c:v>
                </c:pt>
                <c:pt idx="373">
                  <c:v>482.515936932286</c:v>
                </c:pt>
                <c:pt idx="374">
                  <c:v>484.568087098735</c:v>
                </c:pt>
                <c:pt idx="375">
                  <c:v>486.615446509248</c:v>
                </c:pt>
                <c:pt idx="376">
                  <c:v>488.657946514226</c:v>
                </c:pt>
                <c:pt idx="377">
                  <c:v>490.695518907488</c:v>
                </c:pt>
                <c:pt idx="378">
                  <c:v>492.728095956241</c:v>
                </c:pt>
                <c:pt idx="379">
                  <c:v>494.755610429507</c:v>
                </c:pt>
                <c:pt idx="380">
                  <c:v>496.777995625116</c:v>
                </c:pt>
                <c:pt idx="381">
                  <c:v>498.795185395331</c:v>
                </c:pt>
                <c:pt idx="382">
                  <c:v>500.807114171183</c:v>
                </c:pt>
                <c:pt idx="383">
                  <c:v>502.813716985586</c:v>
                </c:pt>
                <c:pt idx="384">
                  <c:v>504.814929495283</c:v>
                </c:pt>
                <c:pt idx="385">
                  <c:v>506.810688001701</c:v>
                </c:pt>
                <c:pt idx="386">
                  <c:v>508.800929470741</c:v>
                </c:pt>
                <c:pt idx="387">
                  <c:v>510.785591551573</c:v>
                </c:pt>
                <c:pt idx="388">
                  <c:v>512.764612594478</c:v>
                </c:pt>
                <c:pt idx="389">
                  <c:v>514.737931667759</c:v>
                </c:pt>
                <c:pt idx="390">
                  <c:v>516.705488573798</c:v>
                </c:pt>
                <c:pt idx="391">
                  <c:v>518.66722386425</c:v>
                </c:pt>
                <c:pt idx="392">
                  <c:v>520.623078854445</c:v>
                </c:pt>
                <c:pt idx="393">
                  <c:v>522.57299563701</c:v>
                </c:pt>
                <c:pt idx="394">
                  <c:v>524.51691709474</c:v>
                </c:pt>
                <c:pt idx="395">
                  <c:v>526.454786912755</c:v>
                </c:pt>
                <c:pt idx="396">
                  <c:v>528.38654958996</c:v>
                </c:pt>
                <c:pt idx="397">
                  <c:v>530.312150449835</c:v>
                </c:pt>
                <c:pt idx="398">
                  <c:v>532.231535650578</c:v>
                </c:pt>
                <c:pt idx="399">
                  <c:v>534.144652194619</c:v>
                </c:pt>
                <c:pt idx="400">
                  <c:v>536.051447937529</c:v>
                </c:pt>
                <c:pt idx="401">
                  <c:v>537.951871596339</c:v>
                </c:pt>
                <c:pt idx="402">
                  <c:v>539.845872757293</c:v>
                </c:pt>
                <c:pt idx="403">
                  <c:v>541.733401883038</c:v>
                </c:pt>
                <c:pt idx="404">
                  <c:v>543.614410319286</c:v>
                </c:pt>
                <c:pt idx="405">
                  <c:v>545.48885030095</c:v>
                </c:pt>
                <c:pt idx="406">
                  <c:v>547.356674957766</c:v>
                </c:pt>
                <c:pt idx="407">
                  <c:v>549.217838319436</c:v>
                </c:pt>
                <c:pt idx="408">
                  <c:v>551.072295320272</c:v>
                </c:pt>
                <c:pt idx="409">
                  <c:v>552.920001803385</c:v>
                </c:pt>
                <c:pt idx="410">
                  <c:v>554.760914524414</c:v>
                </c:pt>
                <c:pt idx="411">
                  <c:v>556.594991154811</c:v>
                </c:pt>
                <c:pt idx="412">
                  <c:v>558.422190284693</c:v>
                </c:pt>
                <c:pt idx="413">
                  <c:v>560.242471425276</c:v>
                </c:pt>
                <c:pt idx="414">
                  <c:v>562.055795010891</c:v>
                </c:pt>
                <c:pt idx="415">
                  <c:v>563.862122400612</c:v>
                </c:pt>
                <c:pt idx="416">
                  <c:v>565.661415879476</c:v>
                </c:pt>
                <c:pt idx="417">
                  <c:v>567.453638659345</c:v>
                </c:pt>
                <c:pt idx="418">
                  <c:v>569.238754879374</c:v>
                </c:pt>
                <c:pt idx="419">
                  <c:v>571.016729606135</c:v>
                </c:pt>
                <c:pt idx="420">
                  <c:v>572.787528833383</c:v>
                </c:pt>
                <c:pt idx="421">
                  <c:v>574.551119481473</c:v>
                </c:pt>
                <c:pt idx="422">
                  <c:v>576.307469396449</c:v>
                </c:pt>
                <c:pt idx="423">
                  <c:v>578.056547348809</c:v>
                </c:pt>
                <c:pt idx="424">
                  <c:v>579.798323031942</c:v>
                </c:pt>
                <c:pt idx="425">
                  <c:v>581.532767060268</c:v>
                </c:pt>
                <c:pt idx="426">
                  <c:v>583.259850967066</c:v>
                </c:pt>
                <c:pt idx="427">
                  <c:v>584.979547202017</c:v>
                </c:pt>
                <c:pt idx="428">
                  <c:v>586.691829128458</c:v>
                </c:pt>
                <c:pt idx="429">
                  <c:v>588.396671020355</c:v>
                </c:pt>
                <c:pt idx="430">
                  <c:v>590.094048059015</c:v>
                </c:pt>
                <c:pt idx="431">
                  <c:v>591.783936329525</c:v>
                </c:pt>
                <c:pt idx="432">
                  <c:v>593.466312816948</c:v>
                </c:pt>
                <c:pt idx="433">
                  <c:v>595.141155402257</c:v>
                </c:pt>
                <c:pt idx="434">
                  <c:v>596.808442858042</c:v>
                </c:pt>
                <c:pt idx="435">
                  <c:v>598.468154843978</c:v>
                </c:pt>
                <c:pt idx="436">
                  <c:v>600.120271902064</c:v>
                </c:pt>
                <c:pt idx="437">
                  <c:v>601.764775451648</c:v>
                </c:pt>
                <c:pt idx="438">
                  <c:v>603.40164778424</c:v>
                </c:pt>
                <c:pt idx="439">
                  <c:v>605.030872058114</c:v>
                </c:pt>
                <c:pt idx="440">
                  <c:v>606.652432292717</c:v>
                </c:pt>
                <c:pt idx="441">
                  <c:v>608.266313362881</c:v>
                </c:pt>
                <c:pt idx="442">
                  <c:v>609.872500992857</c:v>
                </c:pt>
                <c:pt idx="443">
                  <c:v>611.470981750162</c:v>
                </c:pt>
                <c:pt idx="444">
                  <c:v>613.06174303926</c:v>
                </c:pt>
                <c:pt idx="445">
                  <c:v>614.64477309507</c:v>
                </c:pt>
                <c:pt idx="446">
                  <c:v>616.22006097632</c:v>
                </c:pt>
                <c:pt idx="447">
                  <c:v>617.787596558748</c:v>
                </c:pt>
                <c:pt idx="448">
                  <c:v>619.347370528147</c:v>
                </c:pt>
                <c:pt idx="449">
                  <c:v>620.899374373278</c:v>
                </c:pt>
                <c:pt idx="450">
                  <c:v>622.443600378644</c:v>
                </c:pt>
                <c:pt idx="451">
                  <c:v>623.98004161713</c:v>
                </c:pt>
                <c:pt idx="452">
                  <c:v>625.508691942527</c:v>
                </c:pt>
                <c:pt idx="453">
                  <c:v>627.029545981928</c:v>
                </c:pt>
                <c:pt idx="454">
                  <c:v>628.542599128025</c:v>
                </c:pt>
                <c:pt idx="455">
                  <c:v>630.04784753128</c:v>
                </c:pt>
                <c:pt idx="456">
                  <c:v>631.545288092013</c:v>
                </c:pt>
                <c:pt idx="457">
                  <c:v>633.034918452384</c:v>
                </c:pt>
                <c:pt idx="458">
                  <c:v>634.516736988282</c:v>
                </c:pt>
                <c:pt idx="459">
                  <c:v>635.990742801137</c:v>
                </c:pt>
                <c:pt idx="460">
                  <c:v>637.456935709642</c:v>
                </c:pt>
                <c:pt idx="461">
                  <c:v>638.915316241408</c:v>
                </c:pt>
                <c:pt idx="462">
                  <c:v>640.365885624537</c:v>
                </c:pt>
                <c:pt idx="463">
                  <c:v>641.808645779145</c:v>
                </c:pt>
                <c:pt idx="464">
                  <c:v>643.243599308809</c:v>
                </c:pt>
                <c:pt idx="465">
                  <c:v>644.670749491966</c:v>
                </c:pt>
                <c:pt idx="466">
                  <c:v>646.090100273259</c:v>
                </c:pt>
                <c:pt idx="467">
                  <c:v>647.501656254833</c:v>
                </c:pt>
                <c:pt idx="468">
                  <c:v>648.905422687594</c:v>
                </c:pt>
                <c:pt idx="469">
                  <c:v>650.301405462422</c:v>
                </c:pt>
                <c:pt idx="470">
                  <c:v>651.68961110136</c:v>
                </c:pt>
                <c:pt idx="471">
                  <c:v>653.07004674876</c:v>
                </c:pt>
                <c:pt idx="472">
                  <c:v>654.442720162418</c:v>
                </c:pt>
                <c:pt idx="473">
                  <c:v>655.807639704674</c:v>
                </c:pt>
                <c:pt idx="474">
                  <c:v>657.164814333505</c:v>
                </c:pt>
                <c:pt idx="475">
                  <c:v>658.514253593593</c:v>
                </c:pt>
                <c:pt idx="476">
                  <c:v>659.855967607396</c:v>
                </c:pt>
                <c:pt idx="477">
                  <c:v>661.1899670662</c:v>
                </c:pt>
                <c:pt idx="478">
                  <c:v>662.516263221174</c:v>
                </c:pt>
                <c:pt idx="479">
                  <c:v>663.834867874429</c:v>
                </c:pt>
                <c:pt idx="480">
                  <c:v>665.145793370071</c:v>
                </c:pt>
                <c:pt idx="481">
                  <c:v>666.449052585269</c:v>
                </c:pt>
                <c:pt idx="482">
                  <c:v>667.744658921334</c:v>
                </c:pt>
                <c:pt idx="483">
                  <c:v>669.032626294805</c:v>
                </c:pt>
                <c:pt idx="484">
                  <c:v>670.312969128558</c:v>
                </c:pt>
                <c:pt idx="485">
                  <c:v>671.585702342932</c:v>
                </c:pt>
                <c:pt idx="486">
                  <c:v>672.850841346877</c:v>
                </c:pt>
                <c:pt idx="487">
                  <c:v>674.108402029129</c:v>
                </c:pt>
                <c:pt idx="488">
                  <c:v>675.358400749412</c:v>
                </c:pt>
                <c:pt idx="489">
                  <c:v>676.600854329671</c:v>
                </c:pt>
                <c:pt idx="490">
                  <c:v>677.835780045339</c:v>
                </c:pt>
                <c:pt idx="491">
                  <c:v>679.063195616639</c:v>
                </c:pt>
                <c:pt idx="492">
                  <c:v>680.283119199921</c:v>
                </c:pt>
                <c:pt idx="493">
                  <c:v>681.49556937905</c:v>
                </c:pt>
                <c:pt idx="494">
                  <c:v>682.700565156822</c:v>
                </c:pt>
                <c:pt idx="495">
                  <c:v>683.898125946437</c:v>
                </c:pt>
                <c:pt idx="496">
                  <c:v>685.088271563015</c:v>
                </c:pt>
                <c:pt idx="497">
                  <c:v>686.271022215159</c:v>
                </c:pt>
                <c:pt idx="498">
                  <c:v>687.446398496569</c:v>
                </c:pt>
                <c:pt idx="499">
                  <c:v>688.614421377716</c:v>
                </c:pt>
                <c:pt idx="500">
                  <c:v>689.775112197561</c:v>
                </c:pt>
                <c:pt idx="501">
                  <c:v>690.928492655337</c:v>
                </c:pt>
                <c:pt idx="502">
                  <c:v>690.928492655337</c:v>
                </c:pt>
                <c:pt idx="503">
                  <c:v>690.928492655337</c:v>
                </c:pt>
                <c:pt idx="504">
                  <c:v>690.928492655337</c:v>
                </c:pt>
                <c:pt idx="505">
                  <c:v>690.928492655337</c:v>
                </c:pt>
                <c:pt idx="506">
                  <c:v>690.928492655337</c:v>
                </c:pt>
                <c:pt idx="507">
                  <c:v>690.928492655337</c:v>
                </c:pt>
                <c:pt idx="508">
                  <c:v>690.928492655337</c:v>
                </c:pt>
                <c:pt idx="509">
                  <c:v>690.928492655337</c:v>
                </c:pt>
                <c:pt idx="510">
                  <c:v>690.928492655337</c:v>
                </c:pt>
                <c:pt idx="511">
                  <c:v>690.928492655337</c:v>
                </c:pt>
                <c:pt idx="512">
                  <c:v>690.928492655337</c:v>
                </c:pt>
                <c:pt idx="513">
                  <c:v>690.928492655337</c:v>
                </c:pt>
                <c:pt idx="514">
                  <c:v>690.928492655337</c:v>
                </c:pt>
                <c:pt idx="515">
                  <c:v>690.928492655337</c:v>
                </c:pt>
                <c:pt idx="516">
                  <c:v>690.928492655337</c:v>
                </c:pt>
                <c:pt idx="517">
                  <c:v>690.928492655337</c:v>
                </c:pt>
                <c:pt idx="518">
                  <c:v>690.928492655337</c:v>
                </c:pt>
                <c:pt idx="519">
                  <c:v>690.928492655337</c:v>
                </c:pt>
                <c:pt idx="520">
                  <c:v>690.928492655337</c:v>
                </c:pt>
                <c:pt idx="521">
                  <c:v>690.928492655337</c:v>
                </c:pt>
                <c:pt idx="522">
                  <c:v>690.928492655337</c:v>
                </c:pt>
                <c:pt idx="523">
                  <c:v>690.928492655337</c:v>
                </c:pt>
                <c:pt idx="524">
                  <c:v>690.928492655337</c:v>
                </c:pt>
                <c:pt idx="525">
                  <c:v>690.928492655337</c:v>
                </c:pt>
                <c:pt idx="526">
                  <c:v>690.928492655337</c:v>
                </c:pt>
                <c:pt idx="527">
                  <c:v>690.928492655337</c:v>
                </c:pt>
                <c:pt idx="528">
                  <c:v>690.928492655337</c:v>
                </c:pt>
                <c:pt idx="529">
                  <c:v>690.928492655337</c:v>
                </c:pt>
                <c:pt idx="530">
                  <c:v>690.928492655337</c:v>
                </c:pt>
                <c:pt idx="531">
                  <c:v>690.928492655337</c:v>
                </c:pt>
                <c:pt idx="532">
                  <c:v>690.928492655337</c:v>
                </c:pt>
                <c:pt idx="533">
                  <c:v>690.928492655337</c:v>
                </c:pt>
                <c:pt idx="534">
                  <c:v>690.928492655337</c:v>
                </c:pt>
                <c:pt idx="535">
                  <c:v>690.928492655337</c:v>
                </c:pt>
                <c:pt idx="536">
                  <c:v>690.928492655337</c:v>
                </c:pt>
                <c:pt idx="537">
                  <c:v>690.928492655337</c:v>
                </c:pt>
                <c:pt idx="538">
                  <c:v>690.928492655337</c:v>
                </c:pt>
                <c:pt idx="539">
                  <c:v>690.928492655337</c:v>
                </c:pt>
                <c:pt idx="540">
                  <c:v>690.928492655337</c:v>
                </c:pt>
                <c:pt idx="541">
                  <c:v>690.928492655337</c:v>
                </c:pt>
                <c:pt idx="542">
                  <c:v>690.928492655337</c:v>
                </c:pt>
                <c:pt idx="543">
                  <c:v>690.928492655337</c:v>
                </c:pt>
                <c:pt idx="544">
                  <c:v>690.928492655337</c:v>
                </c:pt>
                <c:pt idx="545">
                  <c:v>690.928492655337</c:v>
                </c:pt>
                <c:pt idx="546">
                  <c:v>690.928492655337</c:v>
                </c:pt>
                <c:pt idx="547">
                  <c:v>690.928492655337</c:v>
                </c:pt>
                <c:pt idx="548">
                  <c:v>690.928492655337</c:v>
                </c:pt>
                <c:pt idx="549">
                  <c:v>690.928492655337</c:v>
                </c:pt>
                <c:pt idx="550">
                  <c:v>690.928492655337</c:v>
                </c:pt>
                <c:pt idx="551">
                  <c:v>690.928492655337</c:v>
                </c:pt>
                <c:pt idx="552">
                  <c:v>690.928492655337</c:v>
                </c:pt>
                <c:pt idx="553">
                  <c:v>690.928492655337</c:v>
                </c:pt>
                <c:pt idx="554">
                  <c:v>690.928492655337</c:v>
                </c:pt>
                <c:pt idx="555">
                  <c:v>690.928492655337</c:v>
                </c:pt>
                <c:pt idx="556">
                  <c:v>690.928492655337</c:v>
                </c:pt>
                <c:pt idx="557">
                  <c:v>690.928492655337</c:v>
                </c:pt>
                <c:pt idx="558">
                  <c:v>690.928492655337</c:v>
                </c:pt>
                <c:pt idx="559">
                  <c:v>690.928492655337</c:v>
                </c:pt>
                <c:pt idx="560">
                  <c:v>690.928492655337</c:v>
                </c:pt>
                <c:pt idx="561">
                  <c:v>690.928492655337</c:v>
                </c:pt>
                <c:pt idx="562">
                  <c:v>690.928492655337</c:v>
                </c:pt>
                <c:pt idx="563">
                  <c:v>690.928492655337</c:v>
                </c:pt>
                <c:pt idx="564">
                  <c:v>690.928492655337</c:v>
                </c:pt>
                <c:pt idx="565">
                  <c:v>690.928492655337</c:v>
                </c:pt>
                <c:pt idx="566">
                  <c:v>690.928492655337</c:v>
                </c:pt>
                <c:pt idx="567">
                  <c:v>690.928492655337</c:v>
                </c:pt>
                <c:pt idx="568">
                  <c:v>690.928492655337</c:v>
                </c:pt>
                <c:pt idx="569">
                  <c:v>690.928492655337</c:v>
                </c:pt>
                <c:pt idx="570">
                  <c:v>690.928492655337</c:v>
                </c:pt>
                <c:pt idx="571">
                  <c:v>690.928492655337</c:v>
                </c:pt>
                <c:pt idx="572">
                  <c:v>690.928492655337</c:v>
                </c:pt>
                <c:pt idx="573">
                  <c:v>690.928492655337</c:v>
                </c:pt>
                <c:pt idx="574">
                  <c:v>690.928492655337</c:v>
                </c:pt>
                <c:pt idx="575">
                  <c:v>690.928492655337</c:v>
                </c:pt>
                <c:pt idx="576">
                  <c:v>690.928492655337</c:v>
                </c:pt>
                <c:pt idx="577">
                  <c:v>690.928492655337</c:v>
                </c:pt>
                <c:pt idx="578">
                  <c:v>690.928492655337</c:v>
                </c:pt>
                <c:pt idx="579">
                  <c:v>690.928492655337</c:v>
                </c:pt>
                <c:pt idx="580">
                  <c:v>690.928492655337</c:v>
                </c:pt>
                <c:pt idx="581">
                  <c:v>690.928492655337</c:v>
                </c:pt>
                <c:pt idx="582">
                  <c:v>690.928492655337</c:v>
                </c:pt>
                <c:pt idx="583">
                  <c:v>690.928492655337</c:v>
                </c:pt>
                <c:pt idx="584">
                  <c:v>690.928492655337</c:v>
                </c:pt>
                <c:pt idx="585">
                  <c:v>690.928492655337</c:v>
                </c:pt>
                <c:pt idx="586">
                  <c:v>690.928492655337</c:v>
                </c:pt>
                <c:pt idx="587">
                  <c:v>690.928492655337</c:v>
                </c:pt>
                <c:pt idx="588">
                  <c:v>690.928492655337</c:v>
                </c:pt>
                <c:pt idx="589">
                  <c:v>690.928492655337</c:v>
                </c:pt>
                <c:pt idx="590">
                  <c:v>690.928492655337</c:v>
                </c:pt>
                <c:pt idx="591">
                  <c:v>690.928492655337</c:v>
                </c:pt>
                <c:pt idx="592">
                  <c:v>690.928492655337</c:v>
                </c:pt>
                <c:pt idx="593">
                  <c:v>690.928492655337</c:v>
                </c:pt>
                <c:pt idx="594">
                  <c:v>690.928492655337</c:v>
                </c:pt>
                <c:pt idx="595">
                  <c:v>690.928492655337</c:v>
                </c:pt>
                <c:pt idx="596">
                  <c:v>690.928492655337</c:v>
                </c:pt>
                <c:pt idx="597">
                  <c:v>690.928492655337</c:v>
                </c:pt>
                <c:pt idx="598">
                  <c:v>690.928492655337</c:v>
                </c:pt>
                <c:pt idx="599">
                  <c:v>690.928492655337</c:v>
                </c:pt>
                <c:pt idx="600">
                  <c:v>690.928492655337</c:v>
                </c:pt>
                <c:pt idx="601">
                  <c:v>690.928492655337</c:v>
                </c:pt>
                <c:pt idx="602">
                  <c:v>690.928492655337</c:v>
                </c:pt>
                <c:pt idx="603">
                  <c:v>690.928492655337</c:v>
                </c:pt>
                <c:pt idx="604">
                  <c:v>690.928492655337</c:v>
                </c:pt>
                <c:pt idx="605">
                  <c:v>690.928492655337</c:v>
                </c:pt>
                <c:pt idx="606">
                  <c:v>690.928492655337</c:v>
                </c:pt>
                <c:pt idx="607">
                  <c:v>690.928492655337</c:v>
                </c:pt>
                <c:pt idx="608">
                  <c:v>690.928492655337</c:v>
                </c:pt>
                <c:pt idx="609">
                  <c:v>690.928492655337</c:v>
                </c:pt>
                <c:pt idx="610">
                  <c:v>690.928492655337</c:v>
                </c:pt>
                <c:pt idx="611">
                  <c:v>690.928492655337</c:v>
                </c:pt>
                <c:pt idx="612">
                  <c:v>690.928492655337</c:v>
                </c:pt>
                <c:pt idx="613">
                  <c:v>690.928492655337</c:v>
                </c:pt>
                <c:pt idx="614">
                  <c:v>690.928492655337</c:v>
                </c:pt>
                <c:pt idx="615">
                  <c:v>690.928492655337</c:v>
                </c:pt>
                <c:pt idx="616">
                  <c:v>690.928492655337</c:v>
                </c:pt>
                <c:pt idx="617">
                  <c:v>690.928492655337</c:v>
                </c:pt>
                <c:pt idx="618">
                  <c:v>690.928492655337</c:v>
                </c:pt>
                <c:pt idx="619">
                  <c:v>690.928492655337</c:v>
                </c:pt>
                <c:pt idx="620">
                  <c:v>690.928492655337</c:v>
                </c:pt>
                <c:pt idx="621">
                  <c:v>690.928492655337</c:v>
                </c:pt>
                <c:pt idx="622">
                  <c:v>690.928492655337</c:v>
                </c:pt>
                <c:pt idx="623">
                  <c:v>690.928492655337</c:v>
                </c:pt>
                <c:pt idx="624">
                  <c:v>690.928492655337</c:v>
                </c:pt>
                <c:pt idx="625">
                  <c:v>690.928492655337</c:v>
                </c:pt>
                <c:pt idx="626">
                  <c:v>690.928492655337</c:v>
                </c:pt>
                <c:pt idx="627">
                  <c:v>690.928492655337</c:v>
                </c:pt>
                <c:pt idx="628">
                  <c:v>690.928492655337</c:v>
                </c:pt>
                <c:pt idx="629">
                  <c:v>690.928492655337</c:v>
                </c:pt>
                <c:pt idx="630">
                  <c:v>690.928492655337</c:v>
                </c:pt>
                <c:pt idx="631">
                  <c:v>690.928492655337</c:v>
                </c:pt>
                <c:pt idx="632">
                  <c:v>690.928492655337</c:v>
                </c:pt>
                <c:pt idx="633">
                  <c:v>690.928492655337</c:v>
                </c:pt>
                <c:pt idx="634">
                  <c:v>690.928492655337</c:v>
                </c:pt>
                <c:pt idx="635">
                  <c:v>690.928492655337</c:v>
                </c:pt>
                <c:pt idx="636">
                  <c:v>690.928492655337</c:v>
                </c:pt>
                <c:pt idx="637">
                  <c:v>690.928492655337</c:v>
                </c:pt>
                <c:pt idx="638">
                  <c:v>690.928492655337</c:v>
                </c:pt>
                <c:pt idx="639">
                  <c:v>690.928492655337</c:v>
                </c:pt>
                <c:pt idx="640">
                  <c:v>690.928492655337</c:v>
                </c:pt>
                <c:pt idx="641">
                  <c:v>690.928492655337</c:v>
                </c:pt>
                <c:pt idx="642">
                  <c:v>690.928492655337</c:v>
                </c:pt>
                <c:pt idx="643">
                  <c:v>690.928492655337</c:v>
                </c:pt>
                <c:pt idx="644">
                  <c:v>690.928492655337</c:v>
                </c:pt>
                <c:pt idx="645">
                  <c:v>690.928492655337</c:v>
                </c:pt>
                <c:pt idx="646">
                  <c:v>690.928492655337</c:v>
                </c:pt>
                <c:pt idx="647">
                  <c:v>690.928492655337</c:v>
                </c:pt>
                <c:pt idx="648">
                  <c:v>690.928492655337</c:v>
                </c:pt>
                <c:pt idx="649">
                  <c:v>690.928492655337</c:v>
                </c:pt>
                <c:pt idx="650">
                  <c:v>690.928492655337</c:v>
                </c:pt>
                <c:pt idx="651">
                  <c:v>690.928492655337</c:v>
                </c:pt>
                <c:pt idx="652">
                  <c:v>690.928492655337</c:v>
                </c:pt>
                <c:pt idx="653">
                  <c:v>690.928492655337</c:v>
                </c:pt>
                <c:pt idx="654">
                  <c:v>690.928492655337</c:v>
                </c:pt>
                <c:pt idx="655">
                  <c:v>690.928492655337</c:v>
                </c:pt>
                <c:pt idx="656">
                  <c:v>690.928492655337</c:v>
                </c:pt>
                <c:pt idx="657">
                  <c:v>690.928492655337</c:v>
                </c:pt>
                <c:pt idx="658">
                  <c:v>690.928492655337</c:v>
                </c:pt>
                <c:pt idx="659">
                  <c:v>690.928492655337</c:v>
                </c:pt>
                <c:pt idx="660">
                  <c:v>690.928492655337</c:v>
                </c:pt>
                <c:pt idx="661">
                  <c:v>690.928492655337</c:v>
                </c:pt>
                <c:pt idx="662">
                  <c:v>690.928492655337</c:v>
                </c:pt>
                <c:pt idx="663">
                  <c:v>690.928492655337</c:v>
                </c:pt>
                <c:pt idx="664">
                  <c:v>690.928492655337</c:v>
                </c:pt>
                <c:pt idx="665">
                  <c:v>690.928492655337</c:v>
                </c:pt>
                <c:pt idx="666">
                  <c:v>690.928492655337</c:v>
                </c:pt>
                <c:pt idx="667">
                  <c:v>690.928492655337</c:v>
                </c:pt>
                <c:pt idx="668">
                  <c:v>690.928492655337</c:v>
                </c:pt>
                <c:pt idx="669">
                  <c:v>690.928492655337</c:v>
                </c:pt>
                <c:pt idx="670">
                  <c:v>690.928492655337</c:v>
                </c:pt>
                <c:pt idx="671">
                  <c:v>690.928492655337</c:v>
                </c:pt>
                <c:pt idx="672">
                  <c:v>690.928492655337</c:v>
                </c:pt>
                <c:pt idx="673">
                  <c:v>690.928492655337</c:v>
                </c:pt>
                <c:pt idx="674">
                  <c:v>690.928492655337</c:v>
                </c:pt>
                <c:pt idx="675">
                  <c:v>690.928492655337</c:v>
                </c:pt>
                <c:pt idx="676">
                  <c:v>690.928492655337</c:v>
                </c:pt>
                <c:pt idx="677">
                  <c:v>690.928492655337</c:v>
                </c:pt>
                <c:pt idx="678">
                  <c:v>690.928492655337</c:v>
                </c:pt>
                <c:pt idx="679">
                  <c:v>690.928492655337</c:v>
                </c:pt>
                <c:pt idx="680">
                  <c:v>690.928492655337</c:v>
                </c:pt>
                <c:pt idx="681">
                  <c:v>690.928492655337</c:v>
                </c:pt>
                <c:pt idx="682">
                  <c:v>690.928492655337</c:v>
                </c:pt>
                <c:pt idx="683">
                  <c:v>690.928492655337</c:v>
                </c:pt>
                <c:pt idx="684">
                  <c:v>690.928492655337</c:v>
                </c:pt>
                <c:pt idx="685">
                  <c:v>690.928492655337</c:v>
                </c:pt>
                <c:pt idx="686">
                  <c:v>690.928492655337</c:v>
                </c:pt>
                <c:pt idx="687">
                  <c:v>690.928492655337</c:v>
                </c:pt>
                <c:pt idx="688">
                  <c:v>690.928492655337</c:v>
                </c:pt>
                <c:pt idx="689">
                  <c:v>690.928492655337</c:v>
                </c:pt>
                <c:pt idx="690">
                  <c:v>690.928492655337</c:v>
                </c:pt>
                <c:pt idx="691">
                  <c:v>690.928492655337</c:v>
                </c:pt>
                <c:pt idx="692">
                  <c:v>690.928492655337</c:v>
                </c:pt>
                <c:pt idx="693">
                  <c:v>690.928492655337</c:v>
                </c:pt>
                <c:pt idx="694">
                  <c:v>690.928492655337</c:v>
                </c:pt>
                <c:pt idx="695">
                  <c:v>690.928492655337</c:v>
                </c:pt>
                <c:pt idx="696">
                  <c:v>690.928492655337</c:v>
                </c:pt>
                <c:pt idx="697">
                  <c:v>690.928492655337</c:v>
                </c:pt>
                <c:pt idx="698">
                  <c:v>690.928492655337</c:v>
                </c:pt>
                <c:pt idx="699">
                  <c:v>690.928492655337</c:v>
                </c:pt>
                <c:pt idx="700">
                  <c:v>690.928492655337</c:v>
                </c:pt>
                <c:pt idx="701">
                  <c:v>690.928492655337</c:v>
                </c:pt>
                <c:pt idx="702">
                  <c:v>690.928492655337</c:v>
                </c:pt>
                <c:pt idx="703">
                  <c:v>690.928492655337</c:v>
                </c:pt>
                <c:pt idx="704">
                  <c:v>690.928492655337</c:v>
                </c:pt>
                <c:pt idx="705">
                  <c:v>690.928492655337</c:v>
                </c:pt>
                <c:pt idx="706">
                  <c:v>690.928492655337</c:v>
                </c:pt>
                <c:pt idx="707">
                  <c:v>690.928492655337</c:v>
                </c:pt>
                <c:pt idx="708">
                  <c:v>690.928492655337</c:v>
                </c:pt>
                <c:pt idx="709">
                  <c:v>690.928492655337</c:v>
                </c:pt>
                <c:pt idx="710">
                  <c:v>690.928492655337</c:v>
                </c:pt>
                <c:pt idx="711">
                  <c:v>690.928492655337</c:v>
                </c:pt>
                <c:pt idx="712">
                  <c:v>690.928492655337</c:v>
                </c:pt>
                <c:pt idx="713">
                  <c:v>690.928492655337</c:v>
                </c:pt>
                <c:pt idx="714">
                  <c:v>690.928492655337</c:v>
                </c:pt>
                <c:pt idx="715">
                  <c:v>690.928492655337</c:v>
                </c:pt>
                <c:pt idx="716">
                  <c:v>690.928492655337</c:v>
                </c:pt>
                <c:pt idx="717">
                  <c:v>690.928492655337</c:v>
                </c:pt>
                <c:pt idx="718">
                  <c:v>690.928492655337</c:v>
                </c:pt>
                <c:pt idx="719">
                  <c:v>690.928492655337</c:v>
                </c:pt>
                <c:pt idx="720">
                  <c:v>690.928492655337</c:v>
                </c:pt>
                <c:pt idx="721">
                  <c:v>690.928492655337</c:v>
                </c:pt>
                <c:pt idx="722">
                  <c:v>690.928492655337</c:v>
                </c:pt>
                <c:pt idx="723">
                  <c:v>690.928492655337</c:v>
                </c:pt>
                <c:pt idx="724">
                  <c:v>690.928492655337</c:v>
                </c:pt>
                <c:pt idx="725">
                  <c:v>690.928492655337</c:v>
                </c:pt>
                <c:pt idx="726">
                  <c:v>690.928492655337</c:v>
                </c:pt>
                <c:pt idx="727">
                  <c:v>690.928492655337</c:v>
                </c:pt>
                <c:pt idx="728">
                  <c:v>690.928492655337</c:v>
                </c:pt>
                <c:pt idx="729">
                  <c:v>690.928492655337</c:v>
                </c:pt>
                <c:pt idx="730">
                  <c:v>690.928492655337</c:v>
                </c:pt>
                <c:pt idx="731">
                  <c:v>690.928492655337</c:v>
                </c:pt>
                <c:pt idx="732">
                  <c:v>690.928492655337</c:v>
                </c:pt>
                <c:pt idx="733">
                  <c:v>690.928492655337</c:v>
                </c:pt>
                <c:pt idx="734">
                  <c:v>690.928492655337</c:v>
                </c:pt>
                <c:pt idx="735">
                  <c:v>690.928492655337</c:v>
                </c:pt>
                <c:pt idx="736">
                  <c:v>690.928492655337</c:v>
                </c:pt>
                <c:pt idx="737">
                  <c:v>690.928492655337</c:v>
                </c:pt>
                <c:pt idx="738">
                  <c:v>690.928492655337</c:v>
                </c:pt>
                <c:pt idx="739">
                  <c:v>690.928492655337</c:v>
                </c:pt>
                <c:pt idx="740">
                  <c:v>690.928492655337</c:v>
                </c:pt>
                <c:pt idx="741">
                  <c:v>690.928492655337</c:v>
                </c:pt>
                <c:pt idx="742">
                  <c:v>690.928492655337</c:v>
                </c:pt>
                <c:pt idx="743">
                  <c:v>690.928492655337</c:v>
                </c:pt>
                <c:pt idx="744">
                  <c:v>690.928492655337</c:v>
                </c:pt>
                <c:pt idx="745">
                  <c:v>690.928492655337</c:v>
                </c:pt>
                <c:pt idx="746">
                  <c:v>690.928492655337</c:v>
                </c:pt>
                <c:pt idx="747">
                  <c:v>690.928492655337</c:v>
                </c:pt>
                <c:pt idx="748">
                  <c:v>690.928492655337</c:v>
                </c:pt>
                <c:pt idx="749">
                  <c:v>690.928492655337</c:v>
                </c:pt>
                <c:pt idx="750">
                  <c:v>690.928492655337</c:v>
                </c:pt>
                <c:pt idx="751">
                  <c:v>690.928492655337</c:v>
                </c:pt>
                <c:pt idx="752">
                  <c:v>690.928492655337</c:v>
                </c:pt>
                <c:pt idx="753">
                  <c:v>690.928492655337</c:v>
                </c:pt>
                <c:pt idx="754">
                  <c:v>690.928492655337</c:v>
                </c:pt>
                <c:pt idx="755">
                  <c:v>690.928492655337</c:v>
                </c:pt>
                <c:pt idx="756">
                  <c:v>690.928492655337</c:v>
                </c:pt>
                <c:pt idx="757">
                  <c:v>690.928492655337</c:v>
                </c:pt>
                <c:pt idx="758">
                  <c:v>690.928492655337</c:v>
                </c:pt>
                <c:pt idx="759">
                  <c:v>690.928492655337</c:v>
                </c:pt>
                <c:pt idx="760">
                  <c:v>690.928492655337</c:v>
                </c:pt>
                <c:pt idx="761">
                  <c:v>690.928492655337</c:v>
                </c:pt>
                <c:pt idx="762">
                  <c:v>690.928492655337</c:v>
                </c:pt>
                <c:pt idx="763">
                  <c:v>690.928492655337</c:v>
                </c:pt>
                <c:pt idx="764">
                  <c:v>690.928492655337</c:v>
                </c:pt>
                <c:pt idx="765">
                  <c:v>690.928492655337</c:v>
                </c:pt>
                <c:pt idx="766">
                  <c:v>690.928492655337</c:v>
                </c:pt>
                <c:pt idx="767">
                  <c:v>690.928492655337</c:v>
                </c:pt>
                <c:pt idx="768">
                  <c:v>690.928492655337</c:v>
                </c:pt>
                <c:pt idx="769">
                  <c:v>690.928492655337</c:v>
                </c:pt>
                <c:pt idx="770">
                  <c:v>690.928492655337</c:v>
                </c:pt>
                <c:pt idx="771">
                  <c:v>690.928492655337</c:v>
                </c:pt>
                <c:pt idx="772">
                  <c:v>690.928492655337</c:v>
                </c:pt>
                <c:pt idx="773">
                  <c:v>690.928492655337</c:v>
                </c:pt>
                <c:pt idx="774">
                  <c:v>690.928492655337</c:v>
                </c:pt>
                <c:pt idx="775">
                  <c:v>690.928492655337</c:v>
                </c:pt>
                <c:pt idx="776">
                  <c:v>690.928492655337</c:v>
                </c:pt>
                <c:pt idx="777">
                  <c:v>690.928492655337</c:v>
                </c:pt>
                <c:pt idx="778">
                  <c:v>690.928492655337</c:v>
                </c:pt>
                <c:pt idx="779">
                  <c:v>690.928492655337</c:v>
                </c:pt>
                <c:pt idx="780">
                  <c:v>690.928492655337</c:v>
                </c:pt>
                <c:pt idx="781">
                  <c:v>690.928492655337</c:v>
                </c:pt>
                <c:pt idx="782">
                  <c:v>690.928492655337</c:v>
                </c:pt>
                <c:pt idx="783">
                  <c:v>690.928492655337</c:v>
                </c:pt>
                <c:pt idx="784">
                  <c:v>690.928492655337</c:v>
                </c:pt>
                <c:pt idx="785">
                  <c:v>690.928492655337</c:v>
                </c:pt>
                <c:pt idx="786">
                  <c:v>690.928492655337</c:v>
                </c:pt>
                <c:pt idx="787">
                  <c:v>690.928492655337</c:v>
                </c:pt>
                <c:pt idx="788">
                  <c:v>690.928492655337</c:v>
                </c:pt>
                <c:pt idx="789">
                  <c:v>690.928492655337</c:v>
                </c:pt>
                <c:pt idx="790">
                  <c:v>690.928492655337</c:v>
                </c:pt>
                <c:pt idx="791">
                  <c:v>690.928492655337</c:v>
                </c:pt>
                <c:pt idx="792">
                  <c:v>690.928492655337</c:v>
                </c:pt>
                <c:pt idx="793">
                  <c:v>690.928492655337</c:v>
                </c:pt>
                <c:pt idx="794">
                  <c:v>690.928492655337</c:v>
                </c:pt>
                <c:pt idx="795">
                  <c:v>690.928492655337</c:v>
                </c:pt>
                <c:pt idx="796">
                  <c:v>690.928492655337</c:v>
                </c:pt>
                <c:pt idx="797">
                  <c:v>690.928492655337</c:v>
                </c:pt>
                <c:pt idx="798">
                  <c:v>690.928492655337</c:v>
                </c:pt>
                <c:pt idx="799">
                  <c:v>690.928492655337</c:v>
                </c:pt>
                <c:pt idx="800">
                  <c:v>690.928492655337</c:v>
                </c:pt>
                <c:pt idx="801">
                  <c:v>690.928492655337</c:v>
                </c:pt>
                <c:pt idx="802">
                  <c:v>690.928492655337</c:v>
                </c:pt>
                <c:pt idx="803">
                  <c:v>690.928492655337</c:v>
                </c:pt>
                <c:pt idx="804">
                  <c:v>690.928492655337</c:v>
                </c:pt>
                <c:pt idx="805">
                  <c:v>690.928492655337</c:v>
                </c:pt>
                <c:pt idx="806">
                  <c:v>690.928492655337</c:v>
                </c:pt>
                <c:pt idx="807">
                  <c:v>690.928492655337</c:v>
                </c:pt>
                <c:pt idx="808">
                  <c:v>690.928492655337</c:v>
                </c:pt>
                <c:pt idx="809">
                  <c:v>690.928492655337</c:v>
                </c:pt>
                <c:pt idx="810">
                  <c:v>690.928492655337</c:v>
                </c:pt>
                <c:pt idx="811">
                  <c:v>690.928492655337</c:v>
                </c:pt>
                <c:pt idx="812">
                  <c:v>690.928492655337</c:v>
                </c:pt>
                <c:pt idx="813">
                  <c:v>690.928492655337</c:v>
                </c:pt>
                <c:pt idx="814">
                  <c:v>690.928492655337</c:v>
                </c:pt>
                <c:pt idx="815">
                  <c:v>690.928492655337</c:v>
                </c:pt>
                <c:pt idx="816">
                  <c:v>690.928492655337</c:v>
                </c:pt>
                <c:pt idx="817">
                  <c:v>690.928492655337</c:v>
                </c:pt>
                <c:pt idx="818">
                  <c:v>690.928492655337</c:v>
                </c:pt>
                <c:pt idx="819">
                  <c:v>690.928492655337</c:v>
                </c:pt>
                <c:pt idx="820">
                  <c:v>690.928492655337</c:v>
                </c:pt>
                <c:pt idx="821">
                  <c:v>690.928492655337</c:v>
                </c:pt>
                <c:pt idx="822">
                  <c:v>690.928492655337</c:v>
                </c:pt>
                <c:pt idx="823">
                  <c:v>690.928492655337</c:v>
                </c:pt>
                <c:pt idx="824">
                  <c:v>690.928492655337</c:v>
                </c:pt>
                <c:pt idx="825">
                  <c:v>690.928492655337</c:v>
                </c:pt>
                <c:pt idx="826">
                  <c:v>690.928492655337</c:v>
                </c:pt>
                <c:pt idx="827">
                  <c:v>690.928492655337</c:v>
                </c:pt>
                <c:pt idx="828">
                  <c:v>690.928492655337</c:v>
                </c:pt>
                <c:pt idx="829">
                  <c:v>690.928492655337</c:v>
                </c:pt>
                <c:pt idx="830">
                  <c:v>690.928492655337</c:v>
                </c:pt>
                <c:pt idx="831">
                  <c:v>690.928492655337</c:v>
                </c:pt>
                <c:pt idx="832">
                  <c:v>690.928492655337</c:v>
                </c:pt>
                <c:pt idx="833">
                  <c:v>690.928492655337</c:v>
                </c:pt>
                <c:pt idx="834">
                  <c:v>690.928492655337</c:v>
                </c:pt>
                <c:pt idx="835">
                  <c:v>690.928492655337</c:v>
                </c:pt>
                <c:pt idx="836">
                  <c:v>690.928492655337</c:v>
                </c:pt>
                <c:pt idx="837">
                  <c:v>690.928492655337</c:v>
                </c:pt>
                <c:pt idx="838">
                  <c:v>690.928492655337</c:v>
                </c:pt>
                <c:pt idx="839">
                  <c:v>690.928492655337</c:v>
                </c:pt>
                <c:pt idx="840">
                  <c:v>690.928492655337</c:v>
                </c:pt>
                <c:pt idx="841">
                  <c:v>690.928492655337</c:v>
                </c:pt>
                <c:pt idx="842">
                  <c:v>690.928492655337</c:v>
                </c:pt>
                <c:pt idx="843">
                  <c:v>690.928492655337</c:v>
                </c:pt>
                <c:pt idx="844">
                  <c:v>690.928492655337</c:v>
                </c:pt>
                <c:pt idx="845">
                  <c:v>690.928492655337</c:v>
                </c:pt>
                <c:pt idx="846">
                  <c:v>690.928492655337</c:v>
                </c:pt>
                <c:pt idx="847">
                  <c:v>690.928492655337</c:v>
                </c:pt>
                <c:pt idx="848">
                  <c:v>690.928492655337</c:v>
                </c:pt>
                <c:pt idx="849">
                  <c:v>690.928492655337</c:v>
                </c:pt>
                <c:pt idx="850">
                  <c:v>690.928492655337</c:v>
                </c:pt>
                <c:pt idx="851">
                  <c:v>690.928492655337</c:v>
                </c:pt>
                <c:pt idx="852">
                  <c:v>690.928492655337</c:v>
                </c:pt>
                <c:pt idx="853">
                  <c:v>690.928492655337</c:v>
                </c:pt>
                <c:pt idx="854">
                  <c:v>690.928492655337</c:v>
                </c:pt>
                <c:pt idx="855">
                  <c:v>690.928492655337</c:v>
                </c:pt>
                <c:pt idx="856">
                  <c:v>690.928492655337</c:v>
                </c:pt>
                <c:pt idx="857">
                  <c:v>690.928492655337</c:v>
                </c:pt>
                <c:pt idx="858">
                  <c:v>690.928492655337</c:v>
                </c:pt>
                <c:pt idx="859">
                  <c:v>690.928492655337</c:v>
                </c:pt>
                <c:pt idx="860">
                  <c:v>690.928492655337</c:v>
                </c:pt>
                <c:pt idx="861">
                  <c:v>690.928492655337</c:v>
                </c:pt>
                <c:pt idx="862">
                  <c:v>690.928492655337</c:v>
                </c:pt>
                <c:pt idx="863">
                  <c:v>690.928492655337</c:v>
                </c:pt>
                <c:pt idx="864">
                  <c:v>690.928492655337</c:v>
                </c:pt>
                <c:pt idx="865">
                  <c:v>690.928492655337</c:v>
                </c:pt>
                <c:pt idx="866">
                  <c:v>690.928492655337</c:v>
                </c:pt>
                <c:pt idx="867">
                  <c:v>690.928492655337</c:v>
                </c:pt>
                <c:pt idx="868">
                  <c:v>690.928492655337</c:v>
                </c:pt>
                <c:pt idx="869">
                  <c:v>690.928492655337</c:v>
                </c:pt>
                <c:pt idx="870">
                  <c:v>690.928492655337</c:v>
                </c:pt>
                <c:pt idx="871">
                  <c:v>690.928492655337</c:v>
                </c:pt>
                <c:pt idx="872">
                  <c:v>690.928492655337</c:v>
                </c:pt>
                <c:pt idx="873">
                  <c:v>690.928492655337</c:v>
                </c:pt>
                <c:pt idx="874">
                  <c:v>690.928492655337</c:v>
                </c:pt>
                <c:pt idx="875">
                  <c:v>690.928492655337</c:v>
                </c:pt>
                <c:pt idx="876">
                  <c:v>690.928492655337</c:v>
                </c:pt>
                <c:pt idx="877">
                  <c:v>690.928492655337</c:v>
                </c:pt>
                <c:pt idx="878">
                  <c:v>690.928492655337</c:v>
                </c:pt>
                <c:pt idx="879">
                  <c:v>690.928492655337</c:v>
                </c:pt>
                <c:pt idx="880">
                  <c:v>690.928492655337</c:v>
                </c:pt>
                <c:pt idx="881">
                  <c:v>690.928492655337</c:v>
                </c:pt>
                <c:pt idx="882">
                  <c:v>690.928492655337</c:v>
                </c:pt>
                <c:pt idx="883">
                  <c:v>690.928492655337</c:v>
                </c:pt>
                <c:pt idx="884">
                  <c:v>690.928492655337</c:v>
                </c:pt>
                <c:pt idx="885">
                  <c:v>690.928492655337</c:v>
                </c:pt>
                <c:pt idx="886">
                  <c:v>690.928492655337</c:v>
                </c:pt>
                <c:pt idx="887">
                  <c:v>690.928492655337</c:v>
                </c:pt>
                <c:pt idx="888">
                  <c:v>690.928492655337</c:v>
                </c:pt>
                <c:pt idx="889">
                  <c:v>690.928492655337</c:v>
                </c:pt>
                <c:pt idx="890">
                  <c:v>690.928492655337</c:v>
                </c:pt>
                <c:pt idx="891">
                  <c:v>690.928492655337</c:v>
                </c:pt>
                <c:pt idx="892">
                  <c:v>690.928492655337</c:v>
                </c:pt>
                <c:pt idx="893">
                  <c:v>690.928492655337</c:v>
                </c:pt>
                <c:pt idx="894">
                  <c:v>690.928492655337</c:v>
                </c:pt>
                <c:pt idx="895">
                  <c:v>690.928492655337</c:v>
                </c:pt>
                <c:pt idx="896">
                  <c:v>690.928492655337</c:v>
                </c:pt>
                <c:pt idx="897">
                  <c:v>690.928492655337</c:v>
                </c:pt>
                <c:pt idx="898">
                  <c:v>690.928492655337</c:v>
                </c:pt>
                <c:pt idx="899">
                  <c:v>690.928492655337</c:v>
                </c:pt>
                <c:pt idx="900">
                  <c:v>690.928492655337</c:v>
                </c:pt>
                <c:pt idx="901">
                  <c:v>690.928492655337</c:v>
                </c:pt>
                <c:pt idx="902">
                  <c:v>690.928492655337</c:v>
                </c:pt>
                <c:pt idx="903">
                  <c:v>690.928492655337</c:v>
                </c:pt>
                <c:pt idx="904">
                  <c:v>690.928492655337</c:v>
                </c:pt>
                <c:pt idx="905">
                  <c:v>690.928492655337</c:v>
                </c:pt>
                <c:pt idx="906">
                  <c:v>690.928492655337</c:v>
                </c:pt>
                <c:pt idx="907">
                  <c:v>690.928492655337</c:v>
                </c:pt>
                <c:pt idx="908">
                  <c:v>690.928492655337</c:v>
                </c:pt>
                <c:pt idx="909">
                  <c:v>690.928492655337</c:v>
                </c:pt>
                <c:pt idx="910">
                  <c:v>690.928492655337</c:v>
                </c:pt>
                <c:pt idx="911">
                  <c:v>690.928492655337</c:v>
                </c:pt>
                <c:pt idx="912">
                  <c:v>690.928492655337</c:v>
                </c:pt>
                <c:pt idx="913">
                  <c:v>690.928492655337</c:v>
                </c:pt>
                <c:pt idx="914">
                  <c:v>690.928492655337</c:v>
                </c:pt>
                <c:pt idx="915">
                  <c:v>690.928492655337</c:v>
                </c:pt>
                <c:pt idx="916">
                  <c:v>690.928492655337</c:v>
                </c:pt>
                <c:pt idx="917">
                  <c:v>690.928492655337</c:v>
                </c:pt>
                <c:pt idx="918">
                  <c:v>690.928492655337</c:v>
                </c:pt>
                <c:pt idx="919">
                  <c:v>690.928492655337</c:v>
                </c:pt>
                <c:pt idx="920">
                  <c:v>690.928492655337</c:v>
                </c:pt>
                <c:pt idx="921">
                  <c:v>690.928492655337</c:v>
                </c:pt>
                <c:pt idx="922">
                  <c:v>690.928492655337</c:v>
                </c:pt>
                <c:pt idx="923">
                  <c:v>690.928492655337</c:v>
                </c:pt>
                <c:pt idx="924">
                  <c:v>690.928492655337</c:v>
                </c:pt>
                <c:pt idx="925">
                  <c:v>690.928492655337</c:v>
                </c:pt>
                <c:pt idx="926">
                  <c:v>690.928492655337</c:v>
                </c:pt>
                <c:pt idx="927">
                  <c:v>690.928492655337</c:v>
                </c:pt>
                <c:pt idx="928">
                  <c:v>690.928492655337</c:v>
                </c:pt>
                <c:pt idx="929">
                  <c:v>690.928492655337</c:v>
                </c:pt>
                <c:pt idx="930">
                  <c:v>690.928492655337</c:v>
                </c:pt>
                <c:pt idx="931">
                  <c:v>690.928492655337</c:v>
                </c:pt>
                <c:pt idx="932">
                  <c:v>690.928492655337</c:v>
                </c:pt>
                <c:pt idx="933">
                  <c:v>690.928492655337</c:v>
                </c:pt>
                <c:pt idx="934">
                  <c:v>690.928492655337</c:v>
                </c:pt>
                <c:pt idx="935">
                  <c:v>690.928492655337</c:v>
                </c:pt>
                <c:pt idx="936">
                  <c:v>690.928492655337</c:v>
                </c:pt>
                <c:pt idx="937">
                  <c:v>690.928492655337</c:v>
                </c:pt>
                <c:pt idx="938">
                  <c:v>690.928492655337</c:v>
                </c:pt>
                <c:pt idx="939">
                  <c:v>690.928492655337</c:v>
                </c:pt>
                <c:pt idx="940">
                  <c:v>690.928492655337</c:v>
                </c:pt>
                <c:pt idx="941">
                  <c:v>690.928492655337</c:v>
                </c:pt>
                <c:pt idx="942">
                  <c:v>690.928492655337</c:v>
                </c:pt>
                <c:pt idx="943">
                  <c:v>690.928492655337</c:v>
                </c:pt>
                <c:pt idx="944">
                  <c:v>690.928492655337</c:v>
                </c:pt>
                <c:pt idx="945">
                  <c:v>690.928492655337</c:v>
                </c:pt>
                <c:pt idx="946">
                  <c:v>690.928492655337</c:v>
                </c:pt>
                <c:pt idx="947">
                  <c:v>690.928492655337</c:v>
                </c:pt>
                <c:pt idx="948">
                  <c:v>690.928492655337</c:v>
                </c:pt>
                <c:pt idx="949">
                  <c:v>690.928492655337</c:v>
                </c:pt>
                <c:pt idx="950">
                  <c:v>690.928492655337</c:v>
                </c:pt>
                <c:pt idx="951">
                  <c:v>690.928492655337</c:v>
                </c:pt>
                <c:pt idx="952">
                  <c:v>690.928492655337</c:v>
                </c:pt>
                <c:pt idx="953">
                  <c:v>690.928492655337</c:v>
                </c:pt>
                <c:pt idx="954">
                  <c:v>690.928492655337</c:v>
                </c:pt>
                <c:pt idx="955">
                  <c:v>690.928492655337</c:v>
                </c:pt>
                <c:pt idx="956">
                  <c:v>690.928492655337</c:v>
                </c:pt>
                <c:pt idx="957">
                  <c:v>690.928492655337</c:v>
                </c:pt>
                <c:pt idx="958">
                  <c:v>690.928492655337</c:v>
                </c:pt>
                <c:pt idx="959">
                  <c:v>690.928492655337</c:v>
                </c:pt>
                <c:pt idx="960">
                  <c:v>690.928492655337</c:v>
                </c:pt>
                <c:pt idx="961">
                  <c:v>690.928492655337</c:v>
                </c:pt>
                <c:pt idx="962">
                  <c:v>690.928492655337</c:v>
                </c:pt>
                <c:pt idx="963">
                  <c:v>690.928492655337</c:v>
                </c:pt>
                <c:pt idx="964">
                  <c:v>690.928492655337</c:v>
                </c:pt>
                <c:pt idx="965">
                  <c:v>690.928492655337</c:v>
                </c:pt>
                <c:pt idx="966">
                  <c:v>690.928492655337</c:v>
                </c:pt>
                <c:pt idx="967">
                  <c:v>690.928492655337</c:v>
                </c:pt>
                <c:pt idx="968">
                  <c:v>690.928492655337</c:v>
                </c:pt>
                <c:pt idx="969">
                  <c:v>690.928492655337</c:v>
                </c:pt>
                <c:pt idx="970">
                  <c:v>690.928492655337</c:v>
                </c:pt>
                <c:pt idx="971">
                  <c:v>690.928492655337</c:v>
                </c:pt>
                <c:pt idx="972">
                  <c:v>690.928492655337</c:v>
                </c:pt>
                <c:pt idx="973">
                  <c:v>690.928492655337</c:v>
                </c:pt>
                <c:pt idx="974">
                  <c:v>690.928492655337</c:v>
                </c:pt>
                <c:pt idx="975">
                  <c:v>690.928492655337</c:v>
                </c:pt>
                <c:pt idx="976">
                  <c:v>690.928492655337</c:v>
                </c:pt>
                <c:pt idx="977">
                  <c:v>690.928492655337</c:v>
                </c:pt>
                <c:pt idx="978">
                  <c:v>690.928492655337</c:v>
                </c:pt>
                <c:pt idx="979">
                  <c:v>690.928492655337</c:v>
                </c:pt>
                <c:pt idx="980">
                  <c:v>690.928492655337</c:v>
                </c:pt>
                <c:pt idx="981">
                  <c:v>690.928492655337</c:v>
                </c:pt>
                <c:pt idx="982">
                  <c:v>690.928492655337</c:v>
                </c:pt>
                <c:pt idx="983">
                  <c:v>690.928492655337</c:v>
                </c:pt>
                <c:pt idx="984">
                  <c:v>690.928492655337</c:v>
                </c:pt>
                <c:pt idx="985">
                  <c:v>690.928492655337</c:v>
                </c:pt>
                <c:pt idx="986">
                  <c:v>690.928492655337</c:v>
                </c:pt>
                <c:pt idx="987">
                  <c:v>690.928492655337</c:v>
                </c:pt>
                <c:pt idx="988">
                  <c:v>690.928492655337</c:v>
                </c:pt>
                <c:pt idx="989">
                  <c:v>690.928492655337</c:v>
                </c:pt>
                <c:pt idx="990">
                  <c:v>690.928492655337</c:v>
                </c:pt>
                <c:pt idx="991">
                  <c:v>690.928492655337</c:v>
                </c:pt>
                <c:pt idx="992">
                  <c:v>690.928492655337</c:v>
                </c:pt>
                <c:pt idx="993">
                  <c:v>690.928492655337</c:v>
                </c:pt>
                <c:pt idx="994">
                  <c:v>690.928492655337</c:v>
                </c:pt>
                <c:pt idx="995">
                  <c:v>690.928492655337</c:v>
                </c:pt>
                <c:pt idx="996">
                  <c:v>690.928492655337</c:v>
                </c:pt>
                <c:pt idx="997">
                  <c:v>690.928492655337</c:v>
                </c:pt>
                <c:pt idx="998">
                  <c:v>690.928492655337</c:v>
                </c:pt>
                <c:pt idx="999">
                  <c:v>690.928492655337</c:v>
                </c:pt>
                <c:pt idx="1000">
                  <c:v>690.928492655337</c:v>
                </c:pt>
              </c:numCache>
            </c:numRef>
          </c:xVal>
          <c:yVal>
            <c:numRef>
              <c:f>Calculs!$AE$4:$AE$1004</c:f>
              <c:numCache>
                <c:formatCode>General</c:formatCode>
                <c:ptCount val="1001"/>
                <c:pt idx="0">
                  <c:v>0</c:v>
                </c:pt>
                <c:pt idx="1">
                  <c:v>0.000809369121977596</c:v>
                </c:pt>
                <c:pt idx="2">
                  <c:v>0.00681497705424646</c:v>
                </c:pt>
                <c:pt idx="3">
                  <c:v>0.0237742342654421</c:v>
                </c:pt>
                <c:pt idx="4">
                  <c:v>0.0536390370688621</c:v>
                </c:pt>
                <c:pt idx="5">
                  <c:v>0.0959528173126447</c:v>
                </c:pt>
                <c:pt idx="6">
                  <c:v>0.150397298662818</c:v>
                </c:pt>
                <c:pt idx="7">
                  <c:v>0.216932234156586</c:v>
                </c:pt>
                <c:pt idx="8">
                  <c:v>0.295656592254106</c:v>
                </c:pt>
                <c:pt idx="9">
                  <c:v>0.386669378019447</c:v>
                </c:pt>
                <c:pt idx="10">
                  <c:v>0.490069630937058</c:v>
                </c:pt>
                <c:pt idx="11">
                  <c:v>0.605941961097425</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4.52381044693113</c:v>
                </c:pt>
                <c:pt idx="29">
                  <c:v>4.87051495281694</c:v>
                </c:pt>
                <c:pt idx="30">
                  <c:v>5.23023195522687</c:v>
                </c:pt>
                <c:pt idx="31">
                  <c:v>5.60297611074379</c:v>
                </c:pt>
                <c:pt idx="32">
                  <c:v>5.98876196007513</c:v>
                </c:pt>
                <c:pt idx="33">
                  <c:v>6.38760392523191</c:v>
                </c:pt>
                <c:pt idx="34">
                  <c:v>6.79951630690016</c:v>
                </c:pt>
                <c:pt idx="35">
                  <c:v>7.2245132819825</c:v>
                </c:pt>
                <c:pt idx="36">
                  <c:v>7.66260890129063</c:v>
                </c:pt>
                <c:pt idx="37">
                  <c:v>8.11381708737258</c:v>
                </c:pt>
                <c:pt idx="38">
                  <c:v>8.57815163246043</c:v>
                </c:pt>
                <c:pt idx="39">
                  <c:v>9.05562619652656</c:v>
                </c:pt>
                <c:pt idx="40">
                  <c:v>9.54625430543776</c:v>
                </c:pt>
                <c:pt idx="41">
                  <c:v>10.0500448353437</c:v>
                </c:pt>
                <c:pt idx="42">
                  <c:v>10.5669974874658</c:v>
                </c:pt>
                <c:pt idx="43">
                  <c:v>11.0971072870597</c:v>
                </c:pt>
                <c:pt idx="44">
                  <c:v>11.6403690924156</c:v>
                </c:pt>
                <c:pt idx="45">
                  <c:v>12.1967775939708</c:v>
                </c:pt>
                <c:pt idx="46">
                  <c:v>12.7663273134904</c:v>
                </c:pt>
                <c:pt idx="47">
                  <c:v>13.3490126033098</c:v>
                </c:pt>
                <c:pt idx="48">
                  <c:v>13.944827645637</c:v>
                </c:pt>
                <c:pt idx="49">
                  <c:v>14.5537664519077</c:v>
                </c:pt>
                <c:pt idx="50">
                  <c:v>15.1758228621925</c:v>
                </c:pt>
                <c:pt idx="51">
                  <c:v>15.8109905446507</c:v>
                </c:pt>
                <c:pt idx="52">
                  <c:v>16.4592629950292</c:v>
                </c:pt>
                <c:pt idx="53">
                  <c:v>17.1206335362031</c:v>
                </c:pt>
                <c:pt idx="54">
                  <c:v>17.795095317757</c:v>
                </c:pt>
                <c:pt idx="55">
                  <c:v>18.4826413156022</c:v>
                </c:pt>
                <c:pt idx="56">
                  <c:v>19.1832643316316</c:v>
                </c:pt>
                <c:pt idx="57">
                  <c:v>19.8969569934066</c:v>
                </c:pt>
                <c:pt idx="58">
                  <c:v>20.6237117538779</c:v>
                </c:pt>
                <c:pt idx="59">
                  <c:v>21.3635208911363</c:v>
                </c:pt>
                <c:pt idx="60">
                  <c:v>22.116376508193</c:v>
                </c:pt>
                <c:pt idx="61">
                  <c:v>22.8822705327891</c:v>
                </c:pt>
                <c:pt idx="62">
                  <c:v>23.6611947172314</c:v>
                </c:pt>
                <c:pt idx="63">
                  <c:v>24.4531406382549</c:v>
                </c:pt>
                <c:pt idx="64">
                  <c:v>25.2580996969102</c:v>
                </c:pt>
                <c:pt idx="65">
                  <c:v>26.0760631184758</c:v>
                </c:pt>
                <c:pt idx="66">
                  <c:v>26.9070219523937</c:v>
                </c:pt>
                <c:pt idx="67">
                  <c:v>27.7509670722276</c:v>
                </c:pt>
                <c:pt idx="68">
                  <c:v>28.6078891756439</c:v>
                </c:pt>
                <c:pt idx="69">
                  <c:v>29.4777787844132</c:v>
                </c:pt>
                <c:pt idx="70">
                  <c:v>30.3606262444339</c:v>
                </c:pt>
                <c:pt idx="71">
                  <c:v>31.2564217257753</c:v>
                </c:pt>
                <c:pt idx="72">
                  <c:v>32.1651552227409</c:v>
                </c:pt>
                <c:pt idx="73">
                  <c:v>33.0868165539511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47.3403191008921</c:v>
                </c:pt>
                <c:pt idx="88">
                  <c:v>48.4540382067721</c:v>
                </c:pt>
                <c:pt idx="89">
                  <c:v>49.5803513373839</c:v>
                </c:pt>
                <c:pt idx="90">
                  <c:v>50.7192268975048</c:v>
                </c:pt>
                <c:pt idx="91">
                  <c:v>51.8706310841689</c:v>
                </c:pt>
                <c:pt idx="92">
                  <c:v>53.0345258597699</c:v>
                </c:pt>
                <c:pt idx="93">
                  <c:v>54.2108709752172</c:v>
                </c:pt>
                <c:pt idx="94">
                  <c:v>55.3996259962981</c:v>
                </c:pt>
                <c:pt idx="95">
                  <c:v>56.6007503052889</c:v>
                </c:pt>
                <c:pt idx="96">
                  <c:v>57.8142031025794</c:v>
                </c:pt>
                <c:pt idx="97">
                  <c:v>59.0399434083093</c:v>
                </c:pt>
                <c:pt idx="98">
                  <c:v>60.2779300640165</c:v>
                </c:pt>
                <c:pt idx="99">
                  <c:v>61.5281217342969</c:v>
                </c:pt>
                <c:pt idx="100">
                  <c:v>62.7904769084752</c:v>
                </c:pt>
                <c:pt idx="101">
                  <c:v>64.0649535783243</c:v>
                </c:pt>
                <c:pt idx="102">
                  <c:v>65.3515089153761</c:v>
                </c:pt>
                <c:pt idx="103">
                  <c:v>66.6500995962024</c:v>
                </c:pt>
                <c:pt idx="104">
                  <c:v>67.9606821281556</c:v>
                </c:pt>
                <c:pt idx="105">
                  <c:v>69.2832128511519</c:v>
                </c:pt>
                <c:pt idx="106">
                  <c:v>70.617647939464</c:v>
                </c:pt>
                <c:pt idx="107">
                  <c:v>71.9639434035227</c:v>
                </c:pt>
                <c:pt idx="108">
                  <c:v>73.322055091726</c:v>
                </c:pt>
                <c:pt idx="109">
                  <c:v>74.6919386922565</c:v>
                </c:pt>
                <c:pt idx="110">
                  <c:v>76.0735497349065</c:v>
                </c:pt>
                <c:pt idx="111">
                  <c:v>77.4668473235084</c:v>
                </c:pt>
                <c:pt idx="112">
                  <c:v>78.8717978724917</c:v>
                </c:pt>
                <c:pt idx="113">
                  <c:v>80.2883713812461</c:v>
                </c:pt>
                <c:pt idx="114">
                  <c:v>81.7165377040319</c:v>
                </c:pt>
                <c:pt idx="115">
                  <c:v>83.1562665511598</c:v>
                </c:pt>
                <c:pt idx="116">
                  <c:v>84.6075274901793</c:v>
                </c:pt>
                <c:pt idx="117">
                  <c:v>86.070289947075</c:v>
                </c:pt>
                <c:pt idx="118">
                  <c:v>87.5445232074688</c:v>
                </c:pt>
                <c:pt idx="119">
                  <c:v>89.0301964178315</c:v>
                </c:pt>
                <c:pt idx="120">
                  <c:v>90.5272785866989</c:v>
                </c:pt>
                <c:pt idx="121">
                  <c:v>92.0357323971959</c:v>
                </c:pt>
                <c:pt idx="122">
                  <c:v>93.5555080137354</c:v>
                </c:pt>
                <c:pt idx="123">
                  <c:v>95.0865492687492</c:v>
                </c:pt>
                <c:pt idx="124">
                  <c:v>96.6287998558301</c:v>
                </c:pt>
                <c:pt idx="125">
                  <c:v>98.18220333213</c:v>
                </c:pt>
                <c:pt idx="126">
                  <c:v>99.7467031207575</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115.989223567471</c:v>
                </c:pt>
                <c:pt idx="137">
                  <c:v>117.671874993802</c:v>
                </c:pt>
                <c:pt idx="138">
                  <c:v>119.364888839612</c:v>
                </c:pt>
                <c:pt idx="139">
                  <c:v>121.068200522312</c:v>
                </c:pt>
                <c:pt idx="140">
                  <c:v>122.781745360408</c:v>
                </c:pt>
                <c:pt idx="141">
                  <c:v>124.505439197165</c:v>
                </c:pt>
                <c:pt idx="142">
                  <c:v>126.239159014771</c:v>
                </c:pt>
                <c:pt idx="143">
                  <c:v>127.982762322136</c:v>
                </c:pt>
                <c:pt idx="144">
                  <c:v>129.736106554507</c:v>
                </c:pt>
                <c:pt idx="145">
                  <c:v>131.499049080756</c:v>
                </c:pt>
                <c:pt idx="146">
                  <c:v>133.271447210596</c:v>
                </c:pt>
                <c:pt idx="147">
                  <c:v>135.053158201746</c:v>
                </c:pt>
                <c:pt idx="148">
                  <c:v>136.844039267026</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153.350498289288</c:v>
                </c:pt>
                <c:pt idx="158">
                  <c:v>155.224028762765</c:v>
                </c:pt>
                <c:pt idx="159">
                  <c:v>157.104056772517</c:v>
                </c:pt>
                <c:pt idx="160">
                  <c:v>158.99007313415</c:v>
                </c:pt>
                <c:pt idx="161">
                  <c:v>160.881452376397</c:v>
                </c:pt>
                <c:pt idx="162">
                  <c:v>162.777336189554</c:v>
                </c:pt>
                <c:pt idx="163">
                  <c:v>164.676761615208</c:v>
                </c:pt>
                <c:pt idx="164">
                  <c:v>166.578789170951</c:v>
                </c:pt>
                <c:pt idx="165">
                  <c:v>168.482603311807</c:v>
                </c:pt>
                <c:pt idx="166">
                  <c:v>170.387612715169</c:v>
                </c:pt>
                <c:pt idx="167">
                  <c:v>172.293253758675</c:v>
                </c:pt>
                <c:pt idx="168">
                  <c:v>174.198855599423</c:v>
                </c:pt>
                <c:pt idx="169">
                  <c:v>176.103550152462</c:v>
                </c:pt>
                <c:pt idx="170">
                  <c:v>178.00624363917</c:v>
                </c:pt>
                <c:pt idx="171">
                  <c:v>179.90617124101</c:v>
                </c:pt>
                <c:pt idx="172">
                  <c:v>181.803143928908</c:v>
                </c:pt>
                <c:pt idx="173">
                  <c:v>183.697168171124</c:v>
                </c:pt>
                <c:pt idx="174">
                  <c:v>185.588250410162</c:v>
                </c:pt>
                <c:pt idx="175">
                  <c:v>187.476397062908</c:v>
                </c:pt>
                <c:pt idx="176">
                  <c:v>189.361614520763</c:v>
                </c:pt>
                <c:pt idx="177">
                  <c:v>191.243909149777</c:v>
                </c:pt>
                <c:pt idx="178">
                  <c:v>193.123287290786</c:v>
                </c:pt>
                <c:pt idx="179">
                  <c:v>194.999755259537</c:v>
                </c:pt>
                <c:pt idx="180">
                  <c:v>196.873319346825</c:v>
                </c:pt>
                <c:pt idx="181">
                  <c:v>198.743985818621</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220.968216959713</c:v>
                </c:pt>
                <c:pt idx="194">
                  <c:v>222.801773570674</c:v>
                </c:pt>
                <c:pt idx="195">
                  <c:v>224.632517754234</c:v>
                </c:pt>
                <c:pt idx="196">
                  <c:v>226.460455419081</c:v>
                </c:pt>
                <c:pt idx="197">
                  <c:v>228.285592451052</c:v>
                </c:pt>
                <c:pt idx="198">
                  <c:v>230.107934713249</c:v>
                </c:pt>
                <c:pt idx="199">
                  <c:v>231.927488046157</c:v>
                </c:pt>
                <c:pt idx="200">
                  <c:v>233.744258267757</c:v>
                </c:pt>
                <c:pt idx="201">
                  <c:v>251.759338269024</c:v>
                </c:pt>
                <c:pt idx="202">
                  <c:v>269.499832784952</c:v>
                </c:pt>
                <c:pt idx="203">
                  <c:v>286.97134765305</c:v>
                </c:pt>
                <c:pt idx="204">
                  <c:v>304.179278247715</c:v>
                </c:pt>
                <c:pt idx="205">
                  <c:v>321.128819794228</c:v>
                </c:pt>
                <c:pt idx="206">
                  <c:v>337.824977049869</c:v>
                </c:pt>
                <c:pt idx="207">
                  <c:v>354.272573398403</c:v>
                </c:pt>
                <c:pt idx="208">
                  <c:v>370.476259400238</c:v>
                </c:pt>
                <c:pt idx="209">
                  <c:v>386.440520837068</c:v>
                </c:pt>
                <c:pt idx="210">
                  <c:v>402.169686286569</c:v>
                </c:pt>
                <c:pt idx="211">
                  <c:v>417.667934259837</c:v>
                </c:pt>
                <c:pt idx="212">
                  <c:v>432.939299931636</c:v>
                </c:pt>
                <c:pt idx="213">
                  <c:v>447.987681491085</c:v>
                </c:pt>
                <c:pt idx="214">
                  <c:v>462.816846138289</c:v>
                </c:pt>
                <c:pt idx="215">
                  <c:v>477.430435750407</c:v>
                </c:pt>
                <c:pt idx="216">
                  <c:v>491.831972238845</c:v>
                </c:pt>
                <c:pt idx="217">
                  <c:v>506.024862617608</c:v>
                </c:pt>
                <c:pt idx="218">
                  <c:v>520.012403801359</c:v>
                </c:pt>
                <c:pt idx="219">
                  <c:v>533.797787150326</c:v>
                </c:pt>
                <c:pt idx="220">
                  <c:v>547.384102777952</c:v>
                </c:pt>
                <c:pt idx="221">
                  <c:v>560.774343636018</c:v>
                </c:pt>
                <c:pt idx="222">
                  <c:v>573.971409390916</c:v>
                </c:pt>
                <c:pt idx="223">
                  <c:v>586.978110103761</c:v>
                </c:pt>
                <c:pt idx="224">
                  <c:v>599.797169726151</c:v>
                </c:pt>
                <c:pt idx="225">
                  <c:v>612.431229422539</c:v>
                </c:pt>
                <c:pt idx="226">
                  <c:v>624.882850729448</c:v>
                </c:pt>
                <c:pt idx="227">
                  <c:v>637.154518561036</c:v>
                </c:pt>
                <c:pt idx="228">
                  <c:v>649.248644069885</c:v>
                </c:pt>
                <c:pt idx="229">
                  <c:v>661.167567371297</c:v>
                </c:pt>
                <c:pt idx="230">
                  <c:v>672.913560138816</c:v>
                </c:pt>
                <c:pt idx="231">
                  <c:v>684.488828078198</c:v>
                </c:pt>
                <c:pt idx="232">
                  <c:v>695.895513286582</c:v>
                </c:pt>
                <c:pt idx="233">
                  <c:v>707.135696503156</c:v>
                </c:pt>
                <c:pt idx="234">
                  <c:v>718.211399257249</c:v>
                </c:pt>
                <c:pt idx="235">
                  <c:v>729.124585919368</c:v>
                </c:pt>
                <c:pt idx="236">
                  <c:v>739.877165660366</c:v>
                </c:pt>
                <c:pt idx="237">
                  <c:v>750.470994323609</c:v>
                </c:pt>
                <c:pt idx="238">
                  <c:v>760.907876214706</c:v>
                </c:pt>
                <c:pt idx="239">
                  <c:v>771.189565813081</c:v>
                </c:pt>
                <c:pt idx="240">
                  <c:v>781.317769409413</c:v>
                </c:pt>
                <c:pt idx="241">
                  <c:v>791.294146672729</c:v>
                </c:pt>
                <c:pt idx="242">
                  <c:v>801.120312150711</c:v>
                </c:pt>
                <c:pt idx="243">
                  <c:v>810.797836706551</c:v>
                </c:pt>
                <c:pt idx="244">
                  <c:v>820.328248895524</c:v>
                </c:pt>
                <c:pt idx="245">
                  <c:v>829.713036284235</c:v>
                </c:pt>
                <c:pt idx="246">
                  <c:v>838.953646715341</c:v>
                </c:pt>
                <c:pt idx="247">
                  <c:v>848.051489520393</c:v>
                </c:pt>
                <c:pt idx="248">
                  <c:v>857.007936683274</c:v>
                </c:pt>
                <c:pt idx="249">
                  <c:v>865.824323956595</c:v>
                </c:pt>
                <c:pt idx="250">
                  <c:v>874.501951933264</c:v>
                </c:pt>
                <c:pt idx="251">
                  <c:v>883.042087075321</c:v>
                </c:pt>
                <c:pt idx="252">
                  <c:v>891.445962702023</c:v>
                </c:pt>
                <c:pt idx="253">
                  <c:v>899.714779939057</c:v>
                </c:pt>
                <c:pt idx="254">
                  <c:v>907.849708630642</c:v>
                </c:pt>
                <c:pt idx="255">
                  <c:v>915.851888216219</c:v>
                </c:pt>
                <c:pt idx="256">
                  <c:v>923.722428573292</c:v>
                </c:pt>
                <c:pt idx="257">
                  <c:v>931.462410827955</c:v>
                </c:pt>
                <c:pt idx="258">
                  <c:v>939.072888134509</c:v>
                </c:pt>
                <c:pt idx="259">
                  <c:v>946.554886425535</c:v>
                </c:pt>
                <c:pt idx="260">
                  <c:v>953.909405133704</c:v>
                </c:pt>
                <c:pt idx="261">
                  <c:v>961.137417886551</c:v>
                </c:pt>
                <c:pt idx="262">
                  <c:v>968.239873175354</c:v>
                </c:pt>
                <c:pt idx="263">
                  <c:v>975.217694999242</c:v>
                </c:pt>
                <c:pt idx="264">
                  <c:v>982.071783485561</c:v>
                </c:pt>
                <c:pt idx="265">
                  <c:v>988.803015487493</c:v>
                </c:pt>
                <c:pt idx="266">
                  <c:v>995.412245159895</c:v>
                </c:pt>
                <c:pt idx="267">
                  <c:v>1001.90030451423</c:v>
                </c:pt>
                <c:pt idx="268">
                  <c:v>1008.26800395349</c:v>
                </c:pt>
                <c:pt idx="269">
                  <c:v>1014.51613278786</c:v>
                </c:pt>
                <c:pt idx="270">
                  <c:v>1020.64545973203</c:v>
                </c:pt>
                <c:pt idx="271">
                  <c:v>1026.65673338474</c:v>
                </c:pt>
                <c:pt idx="272">
                  <c:v>1032.55068269141</c:v>
                </c:pt>
                <c:pt idx="273">
                  <c:v>1038.32801739047</c:v>
                </c:pt>
                <c:pt idx="274">
                  <c:v>1043.98942844403</c:v>
                </c:pt>
                <c:pt idx="275">
                  <c:v>1049.53558845364</c:v>
                </c:pt>
                <c:pt idx="276">
                  <c:v>1054.96715206147</c:v>
                </c:pt>
                <c:pt idx="277">
                  <c:v>1060.28475633787</c:v>
                </c:pt>
                <c:pt idx="278">
                  <c:v>1065.48902115551</c:v>
                </c:pt>
                <c:pt idx="279">
                  <c:v>1070.58054955085</c:v>
                </c:pt>
                <c:pt idx="280">
                  <c:v>1075.55992807338</c:v>
                </c:pt>
                <c:pt idx="281">
                  <c:v>1080.42772712318</c:v>
                </c:pt>
                <c:pt idx="282">
                  <c:v>1085.18450127717</c:v>
                </c:pt>
                <c:pt idx="283">
                  <c:v>1089.83078960477</c:v>
                </c:pt>
                <c:pt idx="284">
                  <c:v>1094.36711597305</c:v>
                </c:pt>
                <c:pt idx="285">
                  <c:v>1098.79398934229</c:v>
                </c:pt>
                <c:pt idx="286">
                  <c:v>1103.11190405194</c:v>
                </c:pt>
                <c:pt idx="287">
                  <c:v>1107.32134009781</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1140.3971564499</c:v>
                </c:pt>
                <c:pt idx="297">
                  <c:v>1143.54523245974</c:v>
                </c:pt>
                <c:pt idx="298">
                  <c:v>1146.58923471149</c:v>
                </c:pt>
                <c:pt idx="299">
                  <c:v>1149.52949004743</c:v>
                </c:pt>
                <c:pt idx="300">
                  <c:v>1152.36631396239</c:v>
                </c:pt>
                <c:pt idx="301">
                  <c:v>1155.1000108056</c:v>
                </c:pt>
                <c:pt idx="302">
                  <c:v>1157.73087398174</c:v>
                </c:pt>
                <c:pt idx="303">
                  <c:v>1160.2591861519</c:v>
                </c:pt>
                <c:pt idx="304">
                  <c:v>1162.68521943538</c:v>
                </c:pt>
                <c:pt idx="305">
                  <c:v>1165.00923561341</c:v>
                </c:pt>
                <c:pt idx="306">
                  <c:v>1167.23148633575</c:v>
                </c:pt>
                <c:pt idx="307">
                  <c:v>1169.35221333152</c:v>
                </c:pt>
                <c:pt idx="308">
                  <c:v>1171.37164862532</c:v>
                </c:pt>
                <c:pt idx="309">
                  <c:v>1173.29001476041</c:v>
                </c:pt>
                <c:pt idx="310">
                  <c:v>1175.1075250301</c:v>
                </c:pt>
                <c:pt idx="311">
                  <c:v>1176.82438371933</c:v>
                </c:pt>
                <c:pt idx="312">
                  <c:v>1178.44078635796</c:v>
                </c:pt>
                <c:pt idx="313">
                  <c:v>1179.95691998779</c:v>
                </c:pt>
                <c:pt idx="314">
                  <c:v>1181.3729634453</c:v>
                </c:pt>
                <c:pt idx="315">
                  <c:v>1182.68908766194</c:v>
                </c:pt>
                <c:pt idx="316">
                  <c:v>1183.90545598429</c:v>
                </c:pt>
                <c:pt idx="317">
                  <c:v>1185.02222451576</c:v>
                </c:pt>
                <c:pt idx="318">
                  <c:v>1186.03954248212</c:v>
                </c:pt>
                <c:pt idx="319">
                  <c:v>1186.95755262217</c:v>
                </c:pt>
                <c:pt idx="320">
                  <c:v>1187.77639160531</c:v>
                </c:pt>
                <c:pt idx="321">
                  <c:v>1188.4961904768</c:v>
                </c:pt>
                <c:pt idx="322">
                  <c:v>1189.1170751314</c:v>
                </c:pt>
                <c:pt idx="323">
                  <c:v>1189.63916681507</c:v>
                </c:pt>
                <c:pt idx="324">
                  <c:v>1190.06258265402</c:v>
                </c:pt>
                <c:pt idx="325">
                  <c:v>1190.38743620944</c:v>
                </c:pt>
                <c:pt idx="326">
                  <c:v>1190.61383805511</c:v>
                </c:pt>
                <c:pt idx="327">
                  <c:v>1190.7418963748</c:v>
                </c:pt>
                <c:pt idx="328">
                  <c:v>1190.77171757483</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numCache>
            </c:numRef>
          </c:yVal>
          <c:smooth val="1"/>
        </c:ser>
        <c:ser>
          <c:idx val="5"/>
          <c:order val="5"/>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Trajecto!$D$155</c:f>
              <c:numCache>
                <c:formatCode>General</c:formatCode>
                <c:ptCount val="1"/>
                <c:pt idx="0">
                  <c:v>103.140847703507</c:v>
                </c:pt>
              </c:numCache>
            </c:numRef>
          </c:xVal>
          <c:yVal>
            <c:numRef>
              <c:f>Trajecto!$C$155</c:f>
              <c:numCache>
                <c:formatCode>General</c:formatCode>
                <c:ptCount val="1"/>
                <c:pt idx="0">
                  <c:v>591.7530377607</c:v>
                </c:pt>
              </c:numCache>
            </c:numRef>
          </c:yVal>
          <c:smooth val="1"/>
        </c:ser>
        <c:ser>
          <c:idx val="6"/>
          <c:order val="6"/>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Trajecto!$D$156</c:f>
              <c:numCache>
                <c:formatCode>General</c:formatCode>
                <c:ptCount val="1"/>
                <c:pt idx="0">
                  <c:v>588.654841557749</c:v>
                </c:pt>
              </c:numCache>
            </c:numRef>
          </c:xVal>
          <c:yVal>
            <c:numRef>
              <c:f>Trajecto!$C$156</c:f>
              <c:numCache>
                <c:formatCode>General</c:formatCode>
                <c:ptCount val="1"/>
                <c:pt idx="0">
                  <c:v>595.370948187399</c:v>
                </c:pt>
              </c:numCache>
            </c:numRef>
          </c:yVal>
          <c:smooth val="1"/>
        </c:ser>
        <c:ser>
          <c:idx val="7"/>
          <c:order val="7"/>
          <c:tx>
            <c:strRef>
              <c:f>Trajecto!$D$158</c:f>
              <c:strCache>
                <c:ptCount val="1"/>
                <c:pt idx="0">
                  <c:v>Arc de triomphe</c:v>
                </c:pt>
              </c:strCache>
            </c:strRef>
          </c:tx>
          <c:spPr>
            <a:solidFill>
              <a:srgbClr val="c0c0c0"/>
            </a:solidFill>
            <a:ln w="28440">
              <a:solidFill>
                <a:srgbClr val="c0c0c0"/>
              </a:solidFill>
              <a:round/>
            </a:ln>
          </c:spPr>
          <c:marker>
            <c:symbol val="none"/>
          </c:marker>
          <c:dPt>
            <c:idx val="8"/>
            <c:marker>
              <c:symbol val="none"/>
            </c:marker>
          </c:dPt>
          <c:dLbls>
            <c:dLbl>
              <c:idx val="8"/>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Trajecto!$D$159:$D$174</c:f>
              <c:numCache>
                <c:formatCode>General</c:formatCode>
                <c:ptCount val="16"/>
                <c:pt idx="0">
                  <c:v>384.107539362574</c:v>
                </c:pt>
                <c:pt idx="1">
                  <c:v>407.107539362574</c:v>
                </c:pt>
                <c:pt idx="2">
                  <c:v>407.107539362574</c:v>
                </c:pt>
                <c:pt idx="3">
                  <c:v>384.107539362574</c:v>
                </c:pt>
                <c:pt idx="4">
                  <c:v>407.107539362574</c:v>
                </c:pt>
                <c:pt idx="5">
                  <c:v>407.107539362574</c:v>
                </c:pt>
                <c:pt idx="6">
                  <c:v>392.107539362574</c:v>
                </c:pt>
                <c:pt idx="7">
                  <c:v>392.107539362574</c:v>
                </c:pt>
                <c:pt idx="8">
                  <c:v>407.107539362574</c:v>
                </c:pt>
                <c:pt idx="9">
                  <c:v>392.107539362574</c:v>
                </c:pt>
                <c:pt idx="10">
                  <c:v>391.707539362574</c:v>
                </c:pt>
                <c:pt idx="11">
                  <c:v>390.907539362574</c:v>
                </c:pt>
                <c:pt idx="12">
                  <c:v>390.107539362574</c:v>
                </c:pt>
                <c:pt idx="13">
                  <c:v>389.107539362574</c:v>
                </c:pt>
                <c:pt idx="14">
                  <c:v>387.907539362574</c:v>
                </c:pt>
                <c:pt idx="15">
                  <c:v>384.107539362574</c:v>
                </c:pt>
              </c:numCache>
            </c:numRef>
          </c:xVal>
          <c:yVal>
            <c:numRef>
              <c:f>Trajecto!$B$161:$B$176</c:f>
              <c:numCache>
                <c:formatCode>General</c:formatCode>
                <c:ptCount val="16"/>
              </c:numCache>
            </c:numRef>
          </c:yVal>
          <c:smooth val="1"/>
        </c:ser>
        <c:ser>
          <c:idx val="8"/>
          <c:order val="8"/>
          <c:tx>
            <c:strRef>
              <c:f>Trajecto!$F$158</c:f>
              <c:strCache>
                <c:ptCount val="1"/>
                <c:pt idx="0">
                  <c:v>Arc de triomphe</c:v>
                </c:pt>
              </c:strCache>
            </c:strRef>
          </c:tx>
          <c:spPr>
            <a:solidFill>
              <a:srgbClr val="c0c0c0"/>
            </a:solidFill>
            <a:ln w="28440">
              <a:solidFill>
                <a:srgbClr val="c0c0c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Trajecto!$F$159:$F$174</c:f>
              <c:numCache>
                <c:formatCode>General</c:formatCode>
                <c:ptCount val="16"/>
                <c:pt idx="0">
                  <c:v>384.107539362574</c:v>
                </c:pt>
                <c:pt idx="1">
                  <c:v>361.107539362574</c:v>
                </c:pt>
                <c:pt idx="2">
                  <c:v>361.107539362574</c:v>
                </c:pt>
                <c:pt idx="3">
                  <c:v>384.107539362574</c:v>
                </c:pt>
                <c:pt idx="4">
                  <c:v>361.107539362574</c:v>
                </c:pt>
                <c:pt idx="5">
                  <c:v>361.107539362574</c:v>
                </c:pt>
                <c:pt idx="6">
                  <c:v>376.107539362574</c:v>
                </c:pt>
                <c:pt idx="7">
                  <c:v>376.107539362574</c:v>
                </c:pt>
                <c:pt idx="8">
                  <c:v>361.107539362574</c:v>
                </c:pt>
                <c:pt idx="9">
                  <c:v>376.107539362574</c:v>
                </c:pt>
                <c:pt idx="10">
                  <c:v>376.507539362574</c:v>
                </c:pt>
                <c:pt idx="11">
                  <c:v>377.307539362574</c:v>
                </c:pt>
                <c:pt idx="12">
                  <c:v>378.107539362574</c:v>
                </c:pt>
                <c:pt idx="13">
                  <c:v>379.107539362574</c:v>
                </c:pt>
                <c:pt idx="14">
                  <c:v>380.307539362574</c:v>
                </c:pt>
                <c:pt idx="15">
                  <c:v>384.107539362574</c:v>
                </c:pt>
              </c:numCache>
            </c:numRef>
          </c:xVal>
          <c:yVal>
            <c:numRef>
              <c:f>Trajecto!$B$161:$B$176</c:f>
              <c:numCache>
                <c:formatCode>General</c:formatCode>
                <c:ptCount val="16"/>
              </c:numCache>
            </c:numRef>
          </c:yVal>
          <c:smooth val="1"/>
        </c:ser>
        <c:ser>
          <c:idx val="9"/>
          <c:order val="9"/>
          <c:tx>
            <c:strRef>
              <c:f>Trajecto!$D$176</c:f>
              <c:strCache>
                <c:ptCount val="1"/>
                <c:pt idx="0">
                  <c:v>Tour Eiffel</c:v>
                </c:pt>
              </c:strCache>
            </c:strRef>
          </c:tx>
          <c:spPr>
            <a:solidFill>
              <a:srgbClr val="c0c0c0"/>
            </a:solidFill>
            <a:ln w="28440">
              <a:solidFill>
                <a:srgbClr val="c0c0c0"/>
              </a:solidFill>
              <a:round/>
            </a:ln>
          </c:spPr>
          <c:marker>
            <c:symbol val="none"/>
          </c:marker>
          <c:dPt>
            <c:idx val="6"/>
            <c:marker>
              <c:symbol val="none"/>
            </c:marker>
          </c:dPt>
          <c:dLbls>
            <c:dLbl>
              <c:idx val="6"/>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Trajecto!$D$177:$D$193</c:f>
              <c:numCache>
                <c:formatCode>General</c:formatCode>
                <c:ptCount val="17"/>
                <c:pt idx="0">
                  <c:v>384.107539362574</c:v>
                </c:pt>
                <c:pt idx="1">
                  <c:v>384.107539362574</c:v>
                </c:pt>
                <c:pt idx="2">
                  <c:v>394.107539362574</c:v>
                </c:pt>
                <c:pt idx="3">
                  <c:v>384.107539362574</c:v>
                </c:pt>
                <c:pt idx="4">
                  <c:v>394.107539362574</c:v>
                </c:pt>
                <c:pt idx="5">
                  <c:v>397.107539362574</c:v>
                </c:pt>
                <c:pt idx="6">
                  <c:v>401.107539362574</c:v>
                </c:pt>
                <c:pt idx="7">
                  <c:v>404.107539362574</c:v>
                </c:pt>
                <c:pt idx="8">
                  <c:v>409.107539362574</c:v>
                </c:pt>
                <c:pt idx="9">
                  <c:v>414.107539362574</c:v>
                </c:pt>
                <c:pt idx="10">
                  <c:v>420.107539362574</c:v>
                </c:pt>
                <c:pt idx="11">
                  <c:v>432.107539362574</c:v>
                </c:pt>
                <c:pt idx="12">
                  <c:v>446.107539362574</c:v>
                </c:pt>
                <c:pt idx="13">
                  <c:v>421.107539362574</c:v>
                </c:pt>
                <c:pt idx="14">
                  <c:v>414.107539362574</c:v>
                </c:pt>
                <c:pt idx="15">
                  <c:v>399.107539362574</c:v>
                </c:pt>
                <c:pt idx="16">
                  <c:v>384.107539362574</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0"/>
          <c:order val="10"/>
          <c:tx>
            <c:strRef>
              <c:f>Trajecto!$F$176</c:f>
              <c:strCache>
                <c:ptCount val="1"/>
                <c:pt idx="0">
                  <c:v>Tour Eiffel</c:v>
                </c:pt>
              </c:strCache>
            </c:strRef>
          </c:tx>
          <c:spPr>
            <a:solidFill>
              <a:srgbClr val="c0c0c0"/>
            </a:solidFill>
            <a:ln w="28440">
              <a:solidFill>
                <a:srgbClr val="c0c0c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Trajecto!$F$177:$F$193</c:f>
              <c:numCache>
                <c:formatCode>General</c:formatCode>
                <c:ptCount val="17"/>
                <c:pt idx="0">
                  <c:v>384.107539362574</c:v>
                </c:pt>
                <c:pt idx="1">
                  <c:v>384.107539362574</c:v>
                </c:pt>
                <c:pt idx="2">
                  <c:v>374.107539362574</c:v>
                </c:pt>
                <c:pt idx="3">
                  <c:v>384.107539362574</c:v>
                </c:pt>
                <c:pt idx="4">
                  <c:v>374.107539362574</c:v>
                </c:pt>
                <c:pt idx="5">
                  <c:v>371.107539362574</c:v>
                </c:pt>
                <c:pt idx="6">
                  <c:v>367.107539362574</c:v>
                </c:pt>
                <c:pt idx="7">
                  <c:v>364.107539362574</c:v>
                </c:pt>
                <c:pt idx="8">
                  <c:v>359.107539362574</c:v>
                </c:pt>
                <c:pt idx="9">
                  <c:v>354.107539362574</c:v>
                </c:pt>
                <c:pt idx="10">
                  <c:v>348.107539362574</c:v>
                </c:pt>
                <c:pt idx="11">
                  <c:v>336.107539362574</c:v>
                </c:pt>
                <c:pt idx="12">
                  <c:v>322.107539362574</c:v>
                </c:pt>
                <c:pt idx="13">
                  <c:v>347.107539362574</c:v>
                </c:pt>
                <c:pt idx="14">
                  <c:v>354.107539362574</c:v>
                </c:pt>
                <c:pt idx="15">
                  <c:v>369.107539362574</c:v>
                </c:pt>
                <c:pt idx="16">
                  <c:v>384.107539362574</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1"/>
          <c:order val="11"/>
          <c:tx>
            <c:strRef>
              <c:f>Trajecto!$D$176</c:f>
              <c:strCache>
                <c:ptCount val="1"/>
                <c:pt idx="0">
                  <c:v>Tour Eiffel</c:v>
                </c:pt>
              </c:strCache>
            </c:strRef>
          </c:tx>
          <c:spPr>
            <a:solidFill>
              <a:srgbClr val="c0c0c0"/>
            </a:solidFill>
            <a:ln w="28440">
              <a:solidFill>
                <a:srgbClr val="c0c0c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Trajecto!$D$194:$D$197</c:f>
              <c:numCache>
                <c:formatCode>General</c:formatCode>
                <c:ptCount val="4"/>
                <c:pt idx="0">
                  <c:v>384.107539362574</c:v>
                </c:pt>
                <c:pt idx="1">
                  <c:v>401.107539362574</c:v>
                </c:pt>
                <c:pt idx="2">
                  <c:v>395.107539362574</c:v>
                </c:pt>
                <c:pt idx="3">
                  <c:v>384.107539362574</c:v>
                </c:pt>
              </c:numCache>
            </c:numRef>
          </c:xVal>
          <c:yVal>
            <c:numRef>
              <c:f>Trajecto!$B$196:$B$199</c:f>
              <c:numCache>
                <c:formatCode>General</c:formatCode>
                <c:ptCount val="4"/>
                <c:pt idx="0">
                  <c:v>67</c:v>
                </c:pt>
                <c:pt idx="1">
                  <c:v>67</c:v>
                </c:pt>
                <c:pt idx="2">
                  <c:v>100</c:v>
                </c:pt>
                <c:pt idx="3">
                  <c:v>100</c:v>
                </c:pt>
              </c:numCache>
            </c:numRef>
          </c:yVal>
          <c:smooth val="1"/>
        </c:ser>
        <c:ser>
          <c:idx val="12"/>
          <c:order val="12"/>
          <c:tx>
            <c:strRef>
              <c:f>Trajecto!$F$176</c:f>
              <c:strCache>
                <c:ptCount val="1"/>
                <c:pt idx="0">
                  <c:v>Tour Eiffel</c:v>
                </c:pt>
              </c:strCache>
            </c:strRef>
          </c:tx>
          <c:spPr>
            <a:solidFill>
              <a:srgbClr val="c0c0c0"/>
            </a:solidFill>
            <a:ln w="28440">
              <a:solidFill>
                <a:srgbClr val="c0c0c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Trajecto!$F$194:$F$197</c:f>
              <c:numCache>
                <c:formatCode>General</c:formatCode>
                <c:ptCount val="4"/>
                <c:pt idx="0">
                  <c:v>384.107539362574</c:v>
                </c:pt>
                <c:pt idx="1">
                  <c:v>367.107539362574</c:v>
                </c:pt>
                <c:pt idx="2">
                  <c:v>373.107539362574</c:v>
                </c:pt>
                <c:pt idx="3">
                  <c:v>384.107539362574</c:v>
                </c:pt>
              </c:numCache>
            </c:numRef>
          </c:xVal>
          <c:yVal>
            <c:numRef>
              <c:f>Trajecto!$B$196:$B$199</c:f>
              <c:numCache>
                <c:formatCode>General</c:formatCode>
                <c:ptCount val="4"/>
                <c:pt idx="0">
                  <c:v>67</c:v>
                </c:pt>
                <c:pt idx="1">
                  <c:v>67</c:v>
                </c:pt>
                <c:pt idx="2">
                  <c:v>100</c:v>
                </c:pt>
                <c:pt idx="3">
                  <c:v>100</c:v>
                </c:pt>
              </c:numCache>
            </c:numRef>
          </c:yVal>
          <c:smooth val="1"/>
        </c:ser>
        <c:ser>
          <c:idx val="13"/>
          <c:order val="13"/>
          <c:tx>
            <c:strRef>
              <c:f>Trajecto!$B$108</c:f>
              <c:strCache>
                <c:ptCount val="1"/>
                <c:pt idx="0">
                  <c:v>Fusée sous parachute</c:v>
                </c:pt>
              </c:strCache>
            </c:strRef>
          </c:tx>
          <c:spPr>
            <a:solidFill>
              <a:srgbClr val="008000"/>
            </a:solidFill>
            <a:ln w="2844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r"/>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Trajecto!$B$123:$B$129</c:f>
              <c:numCache>
                <c:formatCode>General</c:formatCode>
                <c:ptCount val="7"/>
                <c:pt idx="0">
                  <c:v>412.563390814028</c:v>
                </c:pt>
                <c:pt idx="1">
                  <c:v>412.563390814028</c:v>
                </c:pt>
                <c:pt idx="2">
                  <c:v>412.563390814028</c:v>
                </c:pt>
                <c:pt idx="3">
                  <c:v>442.151042702063</c:v>
                </c:pt>
                <c:pt idx="4">
                  <c:v>412.563390814028</c:v>
                </c:pt>
                <c:pt idx="5">
                  <c:v>382.975738925993</c:v>
                </c:pt>
                <c:pt idx="6">
                  <c:v>412.563390814028</c:v>
                </c:pt>
              </c:numCache>
            </c:numRef>
          </c:xVal>
          <c:yVal>
            <c:numRef>
              <c:f>Trajecto!$C$121:$C$127</c:f>
              <c:numCache>
                <c:formatCode>General</c:formatCode>
                <c:ptCount val="7"/>
                <c:pt idx="0">
                  <c:v>1183.5060755214</c:v>
                </c:pt>
                <c:pt idx="1">
                  <c:v>591.7530377607</c:v>
                </c:pt>
                <c:pt idx="2">
                  <c:v>0</c:v>
                </c:pt>
                <c:pt idx="3">
                  <c:v>59.17530377607</c:v>
                </c:pt>
                <c:pt idx="4">
                  <c:v>0</c:v>
                </c:pt>
                <c:pt idx="5">
                  <c:v>59.17530377607</c:v>
                </c:pt>
                <c:pt idx="6">
                  <c:v>0</c:v>
                </c:pt>
              </c:numCache>
            </c:numRef>
          </c:yVal>
          <c:smooth val="1"/>
        </c:ser>
        <c:axId val="52927058"/>
        <c:axId val="12987091"/>
      </c:scatterChart>
      <c:valAx>
        <c:axId val="52927058"/>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Portée x [m]</a:t>
                </a:r>
              </a:p>
            </c:rich>
          </c:tx>
          <c:layout>
            <c:manualLayout>
              <c:xMode val="edge"/>
              <c:yMode val="edge"/>
              <c:x val="0.564628063326827"/>
              <c:y val="0.848233091504798"/>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12987091"/>
        <c:crosses val="autoZero"/>
        <c:crossBetween val="midCat"/>
      </c:valAx>
      <c:valAx>
        <c:axId val="12987091"/>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17610062893082"/>
              <c:y val="0.067985022232623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52927058"/>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Altitude z  /  Temps</a:t>
            </a:r>
          </a:p>
        </c:rich>
      </c:tx>
      <c:layout>
        <c:manualLayout>
          <c:xMode val="edge"/>
          <c:yMode val="edge"/>
          <c:x val="0.576558426167338"/>
          <c:y val="0.0370933770184882"/>
        </c:manualLayout>
      </c:layout>
      <c:overlay val="0"/>
      <c:spPr>
        <a:noFill/>
        <a:ln w="25560">
          <a:noFill/>
        </a:ln>
      </c:spPr>
    </c:title>
    <c:autoTitleDeleted val="0"/>
    <c:plotArea>
      <c:layout>
        <c:manualLayout>
          <c:layoutTarget val="inner"/>
          <c:xMode val="edge"/>
          <c:yMode val="edge"/>
          <c:x val="0.0766769376629533"/>
          <c:y val="0.0355721975193073"/>
          <c:w val="0.893221142450818"/>
          <c:h val="0.896091738825181"/>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28440">
              <a:noFill/>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Trajecto!$B$120</c:f>
              <c:numCache>
                <c:formatCode>General</c:formatCode>
                <c:ptCount val="1"/>
                <c:pt idx="0">
                  <c:v>1190.7418963748</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Calculs!$AC$4:$AC$1004</c:f>
              <c:numCache>
                <c:formatCode>General</c:formatCode>
                <c:ptCount val="1001"/>
                <c:pt idx="0">
                  <c:v>0</c:v>
                </c:pt>
                <c:pt idx="100">
                  <c:v>1</c:v>
                </c:pt>
                <c:pt idx="200">
                  <c:v>2</c:v>
                </c:pt>
                <c:pt idx="210">
                  <c:v>3</c:v>
                </c:pt>
                <c:pt idx="220">
                  <c:v>4</c:v>
                </c:pt>
                <c:pt idx="230">
                  <c:v>5</c:v>
                </c:pt>
                <c:pt idx="240">
                  <c:v>6</c:v>
                </c:pt>
                <c:pt idx="250">
                  <c:v>6.99999999999999</c:v>
                </c:pt>
                <c:pt idx="260">
                  <c:v>7.99999999999999</c:v>
                </c:pt>
                <c:pt idx="270">
                  <c:v>8.99999999999999</c:v>
                </c:pt>
                <c:pt idx="280">
                  <c:v>9.99999999999998</c:v>
                </c:pt>
                <c:pt idx="290">
                  <c:v>11</c:v>
                </c:pt>
                <c:pt idx="300">
                  <c:v>12</c:v>
                </c:pt>
                <c:pt idx="310">
                  <c:v>13</c:v>
                </c:pt>
                <c:pt idx="320">
                  <c:v>14</c:v>
                </c:pt>
                <c:pt idx="330">
                  <c:v>15</c:v>
                </c:pt>
                <c:pt idx="340">
                  <c:v>16</c:v>
                </c:pt>
                <c:pt idx="350">
                  <c:v>17</c:v>
                </c:pt>
                <c:pt idx="360">
                  <c:v>18</c:v>
                </c:pt>
                <c:pt idx="370">
                  <c:v>19</c:v>
                </c:pt>
                <c:pt idx="380">
                  <c:v>20</c:v>
                </c:pt>
                <c:pt idx="390">
                  <c:v>21</c:v>
                </c:pt>
                <c:pt idx="400">
                  <c:v>22</c:v>
                </c:pt>
                <c:pt idx="410">
                  <c:v>23.0000000000001</c:v>
                </c:pt>
                <c:pt idx="420">
                  <c:v>24.0000000000001</c:v>
                </c:pt>
                <c:pt idx="430">
                  <c:v>25.0000000000001</c:v>
                </c:pt>
                <c:pt idx="440">
                  <c:v>26.0000000000001</c:v>
                </c:pt>
                <c:pt idx="450">
                  <c:v>27.0000000000001</c:v>
                </c:pt>
                <c:pt idx="460">
                  <c:v>28.0000000000001</c:v>
                </c:pt>
                <c:pt idx="470">
                  <c:v>29.0000000000001</c:v>
                </c:pt>
                <c:pt idx="480">
                  <c:v>30.0000000000002</c:v>
                </c:pt>
                <c:pt idx="490">
                  <c:v>31.0000000000002</c:v>
                </c:pt>
                <c:pt idx="500">
                  <c:v>32.0000000000002</c:v>
                </c:pt>
              </c:numCache>
            </c:numRef>
          </c:xVal>
          <c:yVal>
            <c:numRef>
              <c:f>Calculs!$K$4:$K$1004</c:f>
              <c:numCache>
                <c:formatCode>General</c:formatCode>
                <c:ptCount val="1001"/>
                <c:pt idx="0">
                  <c:v>0</c:v>
                </c:pt>
                <c:pt idx="1">
                  <c:v>0.000809369121977596</c:v>
                </c:pt>
                <c:pt idx="2">
                  <c:v>0.00681497705424646</c:v>
                </c:pt>
                <c:pt idx="3">
                  <c:v>0.0237742342654421</c:v>
                </c:pt>
                <c:pt idx="4">
                  <c:v>0.0536390370688621</c:v>
                </c:pt>
                <c:pt idx="5">
                  <c:v>0.0959528173126447</c:v>
                </c:pt>
                <c:pt idx="6">
                  <c:v>0.150397298662818</c:v>
                </c:pt>
                <c:pt idx="7">
                  <c:v>0.216932234156586</c:v>
                </c:pt>
                <c:pt idx="8">
                  <c:v>0.295656592254106</c:v>
                </c:pt>
                <c:pt idx="9">
                  <c:v>0.386669378019447</c:v>
                </c:pt>
                <c:pt idx="10">
                  <c:v>0.490069630937058</c:v>
                </c:pt>
                <c:pt idx="11">
                  <c:v>0.605941961097425</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4.52381044693113</c:v>
                </c:pt>
                <c:pt idx="29">
                  <c:v>4.87051495281694</c:v>
                </c:pt>
                <c:pt idx="30">
                  <c:v>5.23023195522687</c:v>
                </c:pt>
                <c:pt idx="31">
                  <c:v>5.60297611074379</c:v>
                </c:pt>
                <c:pt idx="32">
                  <c:v>5.98876196007513</c:v>
                </c:pt>
                <c:pt idx="33">
                  <c:v>6.38760392523191</c:v>
                </c:pt>
                <c:pt idx="34">
                  <c:v>6.79951630690016</c:v>
                </c:pt>
                <c:pt idx="35">
                  <c:v>7.2245132819825</c:v>
                </c:pt>
                <c:pt idx="36">
                  <c:v>7.66260890129063</c:v>
                </c:pt>
                <c:pt idx="37">
                  <c:v>8.11381708737258</c:v>
                </c:pt>
                <c:pt idx="38">
                  <c:v>8.57815163246043</c:v>
                </c:pt>
                <c:pt idx="39">
                  <c:v>9.05562619652656</c:v>
                </c:pt>
                <c:pt idx="40">
                  <c:v>9.54625430543776</c:v>
                </c:pt>
                <c:pt idx="41">
                  <c:v>10.0500448353437</c:v>
                </c:pt>
                <c:pt idx="42">
                  <c:v>10.5669974874658</c:v>
                </c:pt>
                <c:pt idx="43">
                  <c:v>11.0971072870597</c:v>
                </c:pt>
                <c:pt idx="44">
                  <c:v>11.6403690924156</c:v>
                </c:pt>
                <c:pt idx="45">
                  <c:v>12.1967775939708</c:v>
                </c:pt>
                <c:pt idx="46">
                  <c:v>12.7663273134904</c:v>
                </c:pt>
                <c:pt idx="47">
                  <c:v>13.3490126033098</c:v>
                </c:pt>
                <c:pt idx="48">
                  <c:v>13.944827645637</c:v>
                </c:pt>
                <c:pt idx="49">
                  <c:v>14.5537664519077</c:v>
                </c:pt>
                <c:pt idx="50">
                  <c:v>15.1758228621925</c:v>
                </c:pt>
                <c:pt idx="51">
                  <c:v>15.8109905446507</c:v>
                </c:pt>
                <c:pt idx="52">
                  <c:v>16.4592629950292</c:v>
                </c:pt>
                <c:pt idx="53">
                  <c:v>17.1206335362031</c:v>
                </c:pt>
                <c:pt idx="54">
                  <c:v>17.795095317757</c:v>
                </c:pt>
                <c:pt idx="55">
                  <c:v>18.4826413156022</c:v>
                </c:pt>
                <c:pt idx="56">
                  <c:v>19.1832643316316</c:v>
                </c:pt>
                <c:pt idx="57">
                  <c:v>19.8969569934066</c:v>
                </c:pt>
                <c:pt idx="58">
                  <c:v>20.6237117538779</c:v>
                </c:pt>
                <c:pt idx="59">
                  <c:v>21.3635208911363</c:v>
                </c:pt>
                <c:pt idx="60">
                  <c:v>22.116376508193</c:v>
                </c:pt>
                <c:pt idx="61">
                  <c:v>22.8822705327891</c:v>
                </c:pt>
                <c:pt idx="62">
                  <c:v>23.6611947172314</c:v>
                </c:pt>
                <c:pt idx="63">
                  <c:v>24.4531406382549</c:v>
                </c:pt>
                <c:pt idx="64">
                  <c:v>25.2580996969102</c:v>
                </c:pt>
                <c:pt idx="65">
                  <c:v>26.0760631184758</c:v>
                </c:pt>
                <c:pt idx="66">
                  <c:v>26.9070219523937</c:v>
                </c:pt>
                <c:pt idx="67">
                  <c:v>27.7509670722276</c:v>
                </c:pt>
                <c:pt idx="68">
                  <c:v>28.6078891756439</c:v>
                </c:pt>
                <c:pt idx="69">
                  <c:v>29.4777787844132</c:v>
                </c:pt>
                <c:pt idx="70">
                  <c:v>30.3606262444339</c:v>
                </c:pt>
                <c:pt idx="71">
                  <c:v>31.2564217257753</c:v>
                </c:pt>
                <c:pt idx="72">
                  <c:v>32.1651552227409</c:v>
                </c:pt>
                <c:pt idx="73">
                  <c:v>33.0868165539511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47.3403191008921</c:v>
                </c:pt>
                <c:pt idx="88">
                  <c:v>48.4540382067721</c:v>
                </c:pt>
                <c:pt idx="89">
                  <c:v>49.5803513373839</c:v>
                </c:pt>
                <c:pt idx="90">
                  <c:v>50.7192268975048</c:v>
                </c:pt>
                <c:pt idx="91">
                  <c:v>51.8706310841689</c:v>
                </c:pt>
                <c:pt idx="92">
                  <c:v>53.0345258597699</c:v>
                </c:pt>
                <c:pt idx="93">
                  <c:v>54.2108709752172</c:v>
                </c:pt>
                <c:pt idx="94">
                  <c:v>55.3996259962981</c:v>
                </c:pt>
                <c:pt idx="95">
                  <c:v>56.6007503052889</c:v>
                </c:pt>
                <c:pt idx="96">
                  <c:v>57.8142031025794</c:v>
                </c:pt>
                <c:pt idx="97">
                  <c:v>59.0399434083093</c:v>
                </c:pt>
                <c:pt idx="98">
                  <c:v>60.2779300640165</c:v>
                </c:pt>
                <c:pt idx="99">
                  <c:v>61.5281217342969</c:v>
                </c:pt>
                <c:pt idx="100">
                  <c:v>62.7904769084752</c:v>
                </c:pt>
                <c:pt idx="101">
                  <c:v>64.0649535783243</c:v>
                </c:pt>
                <c:pt idx="102">
                  <c:v>65.3515089153761</c:v>
                </c:pt>
                <c:pt idx="103">
                  <c:v>66.6500995962024</c:v>
                </c:pt>
                <c:pt idx="104">
                  <c:v>67.9606821281556</c:v>
                </c:pt>
                <c:pt idx="105">
                  <c:v>69.2832128511519</c:v>
                </c:pt>
                <c:pt idx="106">
                  <c:v>70.617647939464</c:v>
                </c:pt>
                <c:pt idx="107">
                  <c:v>71.9639434035227</c:v>
                </c:pt>
                <c:pt idx="108">
                  <c:v>73.322055091726</c:v>
                </c:pt>
                <c:pt idx="109">
                  <c:v>74.6919386922565</c:v>
                </c:pt>
                <c:pt idx="110">
                  <c:v>76.0735497349065</c:v>
                </c:pt>
                <c:pt idx="111">
                  <c:v>77.4668473235084</c:v>
                </c:pt>
                <c:pt idx="112">
                  <c:v>78.8717978724917</c:v>
                </c:pt>
                <c:pt idx="113">
                  <c:v>80.2883713812461</c:v>
                </c:pt>
                <c:pt idx="114">
                  <c:v>81.7165377040319</c:v>
                </c:pt>
                <c:pt idx="115">
                  <c:v>83.1562665511598</c:v>
                </c:pt>
                <c:pt idx="116">
                  <c:v>84.6075274901793</c:v>
                </c:pt>
                <c:pt idx="117">
                  <c:v>86.070289947075</c:v>
                </c:pt>
                <c:pt idx="118">
                  <c:v>87.5445232074688</c:v>
                </c:pt>
                <c:pt idx="119">
                  <c:v>89.0301964178315</c:v>
                </c:pt>
                <c:pt idx="120">
                  <c:v>90.5272785866989</c:v>
                </c:pt>
                <c:pt idx="121">
                  <c:v>92.0357323971959</c:v>
                </c:pt>
                <c:pt idx="122">
                  <c:v>93.5555080137354</c:v>
                </c:pt>
                <c:pt idx="123">
                  <c:v>95.0865492687492</c:v>
                </c:pt>
                <c:pt idx="124">
                  <c:v>96.6287998558301</c:v>
                </c:pt>
                <c:pt idx="125">
                  <c:v>98.18220333213</c:v>
                </c:pt>
                <c:pt idx="126">
                  <c:v>99.7467031207575</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115.989223567471</c:v>
                </c:pt>
                <c:pt idx="137">
                  <c:v>117.671874993802</c:v>
                </c:pt>
                <c:pt idx="138">
                  <c:v>119.364888839612</c:v>
                </c:pt>
                <c:pt idx="139">
                  <c:v>121.068200522312</c:v>
                </c:pt>
                <c:pt idx="140">
                  <c:v>122.781745360408</c:v>
                </c:pt>
                <c:pt idx="141">
                  <c:v>124.505439197165</c:v>
                </c:pt>
                <c:pt idx="142">
                  <c:v>126.239159014771</c:v>
                </c:pt>
                <c:pt idx="143">
                  <c:v>127.982762322136</c:v>
                </c:pt>
                <c:pt idx="144">
                  <c:v>129.736106554507</c:v>
                </c:pt>
                <c:pt idx="145">
                  <c:v>131.499049080756</c:v>
                </c:pt>
                <c:pt idx="146">
                  <c:v>133.271447210596</c:v>
                </c:pt>
                <c:pt idx="147">
                  <c:v>135.053158201746</c:v>
                </c:pt>
                <c:pt idx="148">
                  <c:v>136.844039267026</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153.350498289288</c:v>
                </c:pt>
                <c:pt idx="158">
                  <c:v>155.224028762765</c:v>
                </c:pt>
                <c:pt idx="159">
                  <c:v>157.104056772517</c:v>
                </c:pt>
                <c:pt idx="160">
                  <c:v>158.99007313415</c:v>
                </c:pt>
                <c:pt idx="161">
                  <c:v>160.881452376397</c:v>
                </c:pt>
                <c:pt idx="162">
                  <c:v>162.777336189554</c:v>
                </c:pt>
                <c:pt idx="163">
                  <c:v>164.676761615208</c:v>
                </c:pt>
                <c:pt idx="164">
                  <c:v>166.578789170951</c:v>
                </c:pt>
                <c:pt idx="165">
                  <c:v>168.482603311807</c:v>
                </c:pt>
                <c:pt idx="166">
                  <c:v>170.387612715169</c:v>
                </c:pt>
                <c:pt idx="167">
                  <c:v>172.293253758675</c:v>
                </c:pt>
                <c:pt idx="168">
                  <c:v>174.198855599423</c:v>
                </c:pt>
                <c:pt idx="169">
                  <c:v>176.103550152462</c:v>
                </c:pt>
                <c:pt idx="170">
                  <c:v>178.00624363917</c:v>
                </c:pt>
                <c:pt idx="171">
                  <c:v>179.90617124101</c:v>
                </c:pt>
                <c:pt idx="172">
                  <c:v>181.803143928908</c:v>
                </c:pt>
                <c:pt idx="173">
                  <c:v>183.697168171124</c:v>
                </c:pt>
                <c:pt idx="174">
                  <c:v>185.588250410162</c:v>
                </c:pt>
                <c:pt idx="175">
                  <c:v>187.476397062908</c:v>
                </c:pt>
                <c:pt idx="176">
                  <c:v>189.361614520763</c:v>
                </c:pt>
                <c:pt idx="177">
                  <c:v>191.243909149777</c:v>
                </c:pt>
                <c:pt idx="178">
                  <c:v>193.123287290786</c:v>
                </c:pt>
                <c:pt idx="179">
                  <c:v>194.999755259537</c:v>
                </c:pt>
                <c:pt idx="180">
                  <c:v>196.873319346825</c:v>
                </c:pt>
                <c:pt idx="181">
                  <c:v>198.743985818621</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220.968216959713</c:v>
                </c:pt>
                <c:pt idx="194">
                  <c:v>222.801773570674</c:v>
                </c:pt>
                <c:pt idx="195">
                  <c:v>224.632517754234</c:v>
                </c:pt>
                <c:pt idx="196">
                  <c:v>226.460455419081</c:v>
                </c:pt>
                <c:pt idx="197">
                  <c:v>228.285592451052</c:v>
                </c:pt>
                <c:pt idx="198">
                  <c:v>230.107934713249</c:v>
                </c:pt>
                <c:pt idx="199">
                  <c:v>231.927488046157</c:v>
                </c:pt>
                <c:pt idx="200">
                  <c:v>233.744258267757</c:v>
                </c:pt>
                <c:pt idx="201">
                  <c:v>251.759338269024</c:v>
                </c:pt>
                <c:pt idx="202">
                  <c:v>269.499832784952</c:v>
                </c:pt>
                <c:pt idx="203">
                  <c:v>286.97134765305</c:v>
                </c:pt>
                <c:pt idx="204">
                  <c:v>304.179278247715</c:v>
                </c:pt>
                <c:pt idx="205">
                  <c:v>321.128819794228</c:v>
                </c:pt>
                <c:pt idx="206">
                  <c:v>337.824977049869</c:v>
                </c:pt>
                <c:pt idx="207">
                  <c:v>354.272573398403</c:v>
                </c:pt>
                <c:pt idx="208">
                  <c:v>370.476259400238</c:v>
                </c:pt>
                <c:pt idx="209">
                  <c:v>386.440520837068</c:v>
                </c:pt>
                <c:pt idx="210">
                  <c:v>402.169686286569</c:v>
                </c:pt>
                <c:pt idx="211">
                  <c:v>417.667934259837</c:v>
                </c:pt>
                <c:pt idx="212">
                  <c:v>432.939299931636</c:v>
                </c:pt>
                <c:pt idx="213">
                  <c:v>447.987681491085</c:v>
                </c:pt>
                <c:pt idx="214">
                  <c:v>462.816846138289</c:v>
                </c:pt>
                <c:pt idx="215">
                  <c:v>477.430435750407</c:v>
                </c:pt>
                <c:pt idx="216">
                  <c:v>491.831972238845</c:v>
                </c:pt>
                <c:pt idx="217">
                  <c:v>506.024862617608</c:v>
                </c:pt>
                <c:pt idx="218">
                  <c:v>520.012403801359</c:v>
                </c:pt>
                <c:pt idx="219">
                  <c:v>533.797787150326</c:v>
                </c:pt>
                <c:pt idx="220">
                  <c:v>547.384102777952</c:v>
                </c:pt>
                <c:pt idx="221">
                  <c:v>560.774343636018</c:v>
                </c:pt>
                <c:pt idx="222">
                  <c:v>573.971409390916</c:v>
                </c:pt>
                <c:pt idx="223">
                  <c:v>586.978110103761</c:v>
                </c:pt>
                <c:pt idx="224">
                  <c:v>599.797169726151</c:v>
                </c:pt>
                <c:pt idx="225">
                  <c:v>612.431229422539</c:v>
                </c:pt>
                <c:pt idx="226">
                  <c:v>624.882850729448</c:v>
                </c:pt>
                <c:pt idx="227">
                  <c:v>637.154518561036</c:v>
                </c:pt>
                <c:pt idx="228">
                  <c:v>649.248644069885</c:v>
                </c:pt>
                <c:pt idx="229">
                  <c:v>661.167567371297</c:v>
                </c:pt>
                <c:pt idx="230">
                  <c:v>672.913560138816</c:v>
                </c:pt>
                <c:pt idx="231">
                  <c:v>684.488828078198</c:v>
                </c:pt>
                <c:pt idx="232">
                  <c:v>695.895513286582</c:v>
                </c:pt>
                <c:pt idx="233">
                  <c:v>707.135696503156</c:v>
                </c:pt>
                <c:pt idx="234">
                  <c:v>718.211399257249</c:v>
                </c:pt>
                <c:pt idx="235">
                  <c:v>729.124585919368</c:v>
                </c:pt>
                <c:pt idx="236">
                  <c:v>739.877165660366</c:v>
                </c:pt>
                <c:pt idx="237">
                  <c:v>750.470994323609</c:v>
                </c:pt>
                <c:pt idx="238">
                  <c:v>760.907876214706</c:v>
                </c:pt>
                <c:pt idx="239">
                  <c:v>771.189565813081</c:v>
                </c:pt>
                <c:pt idx="240">
                  <c:v>781.317769409413</c:v>
                </c:pt>
                <c:pt idx="241">
                  <c:v>791.294146672729</c:v>
                </c:pt>
                <c:pt idx="242">
                  <c:v>801.120312150711</c:v>
                </c:pt>
                <c:pt idx="243">
                  <c:v>810.797836706551</c:v>
                </c:pt>
                <c:pt idx="244">
                  <c:v>820.328248895524</c:v>
                </c:pt>
                <c:pt idx="245">
                  <c:v>829.713036284235</c:v>
                </c:pt>
                <c:pt idx="246">
                  <c:v>838.953646715341</c:v>
                </c:pt>
                <c:pt idx="247">
                  <c:v>848.051489520393</c:v>
                </c:pt>
                <c:pt idx="248">
                  <c:v>857.007936683274</c:v>
                </c:pt>
                <c:pt idx="249">
                  <c:v>865.824323956595</c:v>
                </c:pt>
                <c:pt idx="250">
                  <c:v>874.501951933264</c:v>
                </c:pt>
                <c:pt idx="251">
                  <c:v>883.042087075321</c:v>
                </c:pt>
                <c:pt idx="252">
                  <c:v>891.445962702023</c:v>
                </c:pt>
                <c:pt idx="253">
                  <c:v>899.714779939057</c:v>
                </c:pt>
                <c:pt idx="254">
                  <c:v>907.849708630642</c:v>
                </c:pt>
                <c:pt idx="255">
                  <c:v>915.851888216219</c:v>
                </c:pt>
                <c:pt idx="256">
                  <c:v>923.722428573292</c:v>
                </c:pt>
                <c:pt idx="257">
                  <c:v>931.462410827955</c:v>
                </c:pt>
                <c:pt idx="258">
                  <c:v>939.072888134509</c:v>
                </c:pt>
                <c:pt idx="259">
                  <c:v>946.554886425535</c:v>
                </c:pt>
                <c:pt idx="260">
                  <c:v>953.909405133704</c:v>
                </c:pt>
                <c:pt idx="261">
                  <c:v>961.137417886551</c:v>
                </c:pt>
                <c:pt idx="262">
                  <c:v>968.239873175354</c:v>
                </c:pt>
                <c:pt idx="263">
                  <c:v>975.217694999242</c:v>
                </c:pt>
                <c:pt idx="264">
                  <c:v>982.071783485561</c:v>
                </c:pt>
                <c:pt idx="265">
                  <c:v>988.803015487493</c:v>
                </c:pt>
                <c:pt idx="266">
                  <c:v>995.412245159895</c:v>
                </c:pt>
                <c:pt idx="267">
                  <c:v>1001.90030451423</c:v>
                </c:pt>
                <c:pt idx="268">
                  <c:v>1008.26800395349</c:v>
                </c:pt>
                <c:pt idx="269">
                  <c:v>1014.51613278786</c:v>
                </c:pt>
                <c:pt idx="270">
                  <c:v>1020.64545973203</c:v>
                </c:pt>
                <c:pt idx="271">
                  <c:v>1026.65673338474</c:v>
                </c:pt>
                <c:pt idx="272">
                  <c:v>1032.55068269141</c:v>
                </c:pt>
                <c:pt idx="273">
                  <c:v>1038.32801739047</c:v>
                </c:pt>
                <c:pt idx="274">
                  <c:v>1043.98942844403</c:v>
                </c:pt>
                <c:pt idx="275">
                  <c:v>1049.53558845364</c:v>
                </c:pt>
                <c:pt idx="276">
                  <c:v>1054.96715206147</c:v>
                </c:pt>
                <c:pt idx="277">
                  <c:v>1060.28475633787</c:v>
                </c:pt>
                <c:pt idx="278">
                  <c:v>1065.48902115551</c:v>
                </c:pt>
                <c:pt idx="279">
                  <c:v>1070.58054955085</c:v>
                </c:pt>
                <c:pt idx="280">
                  <c:v>1075.55992807338</c:v>
                </c:pt>
                <c:pt idx="281">
                  <c:v>1080.42772712318</c:v>
                </c:pt>
                <c:pt idx="282">
                  <c:v>1085.18450127717</c:v>
                </c:pt>
                <c:pt idx="283">
                  <c:v>1089.83078960477</c:v>
                </c:pt>
                <c:pt idx="284">
                  <c:v>1094.36711597305</c:v>
                </c:pt>
                <c:pt idx="285">
                  <c:v>1098.79398934229</c:v>
                </c:pt>
                <c:pt idx="286">
                  <c:v>1103.11190405194</c:v>
                </c:pt>
                <c:pt idx="287">
                  <c:v>1107.32134009781</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1140.3971564499</c:v>
                </c:pt>
                <c:pt idx="297">
                  <c:v>1143.54523245974</c:v>
                </c:pt>
                <c:pt idx="298">
                  <c:v>1146.58923471149</c:v>
                </c:pt>
                <c:pt idx="299">
                  <c:v>1149.52949004743</c:v>
                </c:pt>
                <c:pt idx="300">
                  <c:v>1152.36631396239</c:v>
                </c:pt>
                <c:pt idx="301">
                  <c:v>1155.1000108056</c:v>
                </c:pt>
                <c:pt idx="302">
                  <c:v>1157.73087398174</c:v>
                </c:pt>
                <c:pt idx="303">
                  <c:v>1160.2591861519</c:v>
                </c:pt>
                <c:pt idx="304">
                  <c:v>1162.68521943538</c:v>
                </c:pt>
                <c:pt idx="305">
                  <c:v>1165.00923561341</c:v>
                </c:pt>
                <c:pt idx="306">
                  <c:v>1167.23148633575</c:v>
                </c:pt>
                <c:pt idx="307">
                  <c:v>1169.35221333152</c:v>
                </c:pt>
                <c:pt idx="308">
                  <c:v>1171.37164862532</c:v>
                </c:pt>
                <c:pt idx="309">
                  <c:v>1173.29001476041</c:v>
                </c:pt>
                <c:pt idx="310">
                  <c:v>1175.1075250301</c:v>
                </c:pt>
                <c:pt idx="311">
                  <c:v>1176.82438371933</c:v>
                </c:pt>
                <c:pt idx="312">
                  <c:v>1178.44078635796</c:v>
                </c:pt>
                <c:pt idx="313">
                  <c:v>1179.95691998779</c:v>
                </c:pt>
                <c:pt idx="314">
                  <c:v>1181.3729634453</c:v>
                </c:pt>
                <c:pt idx="315">
                  <c:v>1182.68908766194</c:v>
                </c:pt>
                <c:pt idx="316">
                  <c:v>1183.90545598429</c:v>
                </c:pt>
                <c:pt idx="317">
                  <c:v>1185.02222451576</c:v>
                </c:pt>
                <c:pt idx="318">
                  <c:v>1186.03954248212</c:v>
                </c:pt>
                <c:pt idx="319">
                  <c:v>1186.95755262217</c:v>
                </c:pt>
                <c:pt idx="320">
                  <c:v>1187.77639160531</c:v>
                </c:pt>
                <c:pt idx="321">
                  <c:v>1188.4961904768</c:v>
                </c:pt>
                <c:pt idx="322">
                  <c:v>1189.1170751314</c:v>
                </c:pt>
                <c:pt idx="323">
                  <c:v>1189.63916681507</c:v>
                </c:pt>
                <c:pt idx="324">
                  <c:v>1190.06258265402</c:v>
                </c:pt>
                <c:pt idx="325">
                  <c:v>1190.38743620944</c:v>
                </c:pt>
                <c:pt idx="326">
                  <c:v>1190.61383805511</c:v>
                </c:pt>
                <c:pt idx="327">
                  <c:v>1190.7418963748</c:v>
                </c:pt>
                <c:pt idx="328">
                  <c:v>1190.77171757483</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1182.26879748705</c:v>
                </c:pt>
                <c:pt idx="342">
                  <c:v>1180.93491877981</c:v>
                </c:pt>
                <c:pt idx="343">
                  <c:v>1179.50458700375</c:v>
                </c:pt>
                <c:pt idx="344">
                  <c:v>1177.97795584974</c:v>
                </c:pt>
                <c:pt idx="345">
                  <c:v>1176.35518532768</c:v>
                </c:pt>
                <c:pt idx="346">
                  <c:v>1174.6364419696</c:v>
                </c:pt>
                <c:pt idx="347">
                  <c:v>1172.82189900575</c:v>
                </c:pt>
                <c:pt idx="348">
                  <c:v>1170.91173651566</c:v>
                </c:pt>
                <c:pt idx="349">
                  <c:v>1168.90614155618</c:v>
                </c:pt>
                <c:pt idx="350">
                  <c:v>1166.8053082684</c:v>
                </c:pt>
                <c:pt idx="351">
                  <c:v>1164.60943796536</c:v>
                </c:pt>
                <c:pt idx="352">
                  <c:v>1162.31873920221</c:v>
                </c:pt>
                <c:pt idx="353">
                  <c:v>1159.93342783038</c:v>
                </c:pt>
                <c:pt idx="354">
                  <c:v>1157.4537270373</c:v>
                </c:pt>
                <c:pt idx="355">
                  <c:v>1154.87986737299</c:v>
                </c:pt>
                <c:pt idx="356">
                  <c:v>1152.2120867646</c:v>
                </c:pt>
                <c:pt idx="357">
                  <c:v>1149.45063052023</c:v>
                </c:pt>
                <c:pt idx="358">
                  <c:v>1146.59575132278</c:v>
                </c:pt>
                <c:pt idx="359">
                  <c:v>1143.6477092149</c:v>
                </c:pt>
                <c:pt idx="360">
                  <c:v>1140.60677157566</c:v>
                </c:pt>
                <c:pt idx="361">
                  <c:v>1137.47321308986</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1084.04899249818</c:v>
                </c:pt>
                <c:pt idx="376">
                  <c:v>1079.56389079921</c:v>
                </c:pt>
                <c:pt idx="377">
                  <c:v>1074.99151054388</c:v>
                </c:pt>
                <c:pt idx="378">
                  <c:v>1070.33224096776</c:v>
                </c:pt>
                <c:pt idx="379">
                  <c:v>1065.58647727694</c:v>
                </c:pt>
                <c:pt idx="380">
                  <c:v>1060.75462054727</c:v>
                </c:pt>
                <c:pt idx="381">
                  <c:v>1055.83707762198</c:v>
                </c:pt>
                <c:pt idx="382">
                  <c:v>1050.83426100772</c:v>
                </c:pt>
                <c:pt idx="383">
                  <c:v>1045.74658876908</c:v>
                </c:pt>
                <c:pt idx="384">
                  <c:v>1040.57448442188</c:v>
                </c:pt>
                <c:pt idx="385">
                  <c:v>1035.31837682509</c:v>
                </c:pt>
                <c:pt idx="386">
                  <c:v>1029.97870007167</c:v>
                </c:pt>
                <c:pt idx="387">
                  <c:v>1024.5558933783</c:v>
                </c:pt>
                <c:pt idx="388">
                  <c:v>1019.05040097411</c:v>
                </c:pt>
                <c:pt idx="389">
                  <c:v>1013.4626719886</c:v>
                </c:pt>
                <c:pt idx="390">
                  <c:v>1007.79316033861</c:v>
                </c:pt>
                <c:pt idx="391">
                  <c:v>1002.04232461467</c:v>
                </c:pt>
                <c:pt idx="392">
                  <c:v>996.210627966583</c:v>
                </c:pt>
                <c:pt idx="393">
                  <c:v>990.29853798852</c:v>
                </c:pt>
                <c:pt idx="394">
                  <c:v>984.306526603507</c:v>
                </c:pt>
                <c:pt idx="395">
                  <c:v>978.235069947512</c:v>
                </c:pt>
                <c:pt idx="396">
                  <c:v>972.084648253135</c:v>
                </c:pt>
                <c:pt idx="397">
                  <c:v>965.855745732987</c:v>
                </c:pt>
                <c:pt idx="398">
                  <c:v>959.548850462818</c:v>
                </c:pt>
                <c:pt idx="399">
                  <c:v>953.164454264457</c:v>
                </c:pt>
                <c:pt idx="400">
                  <c:v>946.703052588626</c:v>
                </c:pt>
                <c:pt idx="401">
                  <c:v>940.165144397693</c:v>
                </c:pt>
                <c:pt idx="402">
                  <c:v>933.551232048414</c:v>
                </c:pt>
                <c:pt idx="403">
                  <c:v>926.861821174727</c:v>
                </c:pt>
                <c:pt idx="404">
                  <c:v>920.097420570659</c:v>
                </c:pt>
                <c:pt idx="405">
                  <c:v>913.258542073387</c:v>
                </c:pt>
                <c:pt idx="406">
                  <c:v>906.345700446519</c:v>
                </c:pt>
                <c:pt idx="407">
                  <c:v>899.359413263647</c:v>
                </c:pt>
                <c:pt idx="408">
                  <c:v>892.300200792209</c:v>
                </c:pt>
                <c:pt idx="409">
                  <c:v>885.168585877736</c:v>
                </c:pt>
                <c:pt idx="410">
                  <c:v>877.965093828501</c:v>
                </c:pt>
                <c:pt idx="411">
                  <c:v>870.690252300642</c:v>
                </c:pt>
                <c:pt idx="412">
                  <c:v>863.344591183802</c:v>
                </c:pt>
                <c:pt idx="413">
                  <c:v>855.928642487311</c:v>
                </c:pt>
                <c:pt idx="414">
                  <c:v>848.442940226982</c:v>
                </c:pt>
                <c:pt idx="415">
                  <c:v>840.888020312549</c:v>
                </c:pt>
                <c:pt idx="416">
                  <c:v>833.264420435784</c:v>
                </c:pt>
                <c:pt idx="417">
                  <c:v>825.572679959345</c:v>
                </c:pt>
                <c:pt idx="418">
                  <c:v>817.813339806387</c:v>
                </c:pt>
                <c:pt idx="419">
                  <c:v>809.986942350978</c:v>
                </c:pt>
                <c:pt idx="420">
                  <c:v>802.094031309351</c:v>
                </c:pt>
                <c:pt idx="421">
                  <c:v>794.135151632036</c:v>
                </c:pt>
                <c:pt idx="422">
                  <c:v>786.110849396899</c:v>
                </c:pt>
                <c:pt idx="423">
                  <c:v>778.021671703125</c:v>
                </c:pt>
                <c:pt idx="424">
                  <c:v>769.868166566178</c:v>
                </c:pt>
                <c:pt idx="425">
                  <c:v>761.650882813765</c:v>
                </c:pt>
                <c:pt idx="426">
                  <c:v>753.370369982843</c:v>
                </c:pt>
                <c:pt idx="427">
                  <c:v>745.027178217683</c:v>
                </c:pt>
                <c:pt idx="428">
                  <c:v>736.621858169034</c:v>
                </c:pt>
                <c:pt idx="429">
                  <c:v>728.154960894401</c:v>
                </c:pt>
                <c:pt idx="430">
                  <c:v>719.627037759474</c:v>
                </c:pt>
                <c:pt idx="431">
                  <c:v>711.038640340723</c:v>
                </c:pt>
                <c:pt idx="432">
                  <c:v>702.390320329184</c:v>
                </c:pt>
                <c:pt idx="433">
                  <c:v>693.682629435462</c:v>
                </c:pt>
                <c:pt idx="434">
                  <c:v>684.916119295969</c:v>
                </c:pt>
                <c:pt idx="435">
                  <c:v>676.091341380416</c:v>
                </c:pt>
                <c:pt idx="436">
                  <c:v>667.208846900577</c:v>
                </c:pt>
                <c:pt idx="437">
                  <c:v>658.269186720353</c:v>
                </c:pt>
                <c:pt idx="438">
                  <c:v>649.272911267134</c:v>
                </c:pt>
                <c:pt idx="439">
                  <c:v>640.220570444489</c:v>
                </c:pt>
                <c:pt idx="440">
                  <c:v>631.112713546196</c:v>
                </c:pt>
                <c:pt idx="441">
                  <c:v>621.949889171623</c:v>
                </c:pt>
                <c:pt idx="442">
                  <c:v>612.73264514247</c:v>
                </c:pt>
                <c:pt idx="443">
                  <c:v>603.461528420892</c:v>
                </c:pt>
                <c:pt idx="444">
                  <c:v>594.137085029004</c:v>
                </c:pt>
                <c:pt idx="445">
                  <c:v>584.759859969784</c:v>
                </c:pt>
                <c:pt idx="446">
                  <c:v>575.330397149381</c:v>
                </c:pt>
                <c:pt idx="447">
                  <c:v>565.849239300835</c:v>
                </c:pt>
                <c:pt idx="448">
                  <c:v>556.31692790921</c:v>
                </c:pt>
                <c:pt idx="449">
                  <c:v>546.734003138163</c:v>
                </c:pt>
                <c:pt idx="450">
                  <c:v>537.101003757933</c:v>
                </c:pt>
                <c:pt idx="451">
                  <c:v>527.418467074768</c:v>
                </c:pt>
                <c:pt idx="452">
                  <c:v>517.686928861784</c:v>
                </c:pt>
                <c:pt idx="453">
                  <c:v>507.906923291271</c:v>
                </c:pt>
                <c:pt idx="454">
                  <c:v>498.078982868434</c:v>
                </c:pt>
                <c:pt idx="455">
                  <c:v>488.203638366576</c:v>
                </c:pt>
                <c:pt idx="456">
                  <c:v>478.281418763721</c:v>
                </c:pt>
                <c:pt idx="457">
                  <c:v>468.312851180684</c:v>
                </c:pt>
                <c:pt idx="458">
                  <c:v>458.298460820569</c:v>
                </c:pt>
                <c:pt idx="459">
                  <c:v>448.238770909716</c:v>
                </c:pt>
                <c:pt idx="460">
                  <c:v>438.134302640069</c:v>
                </c:pt>
                <c:pt idx="461">
                  <c:v>427.985575112982</c:v>
                </c:pt>
                <c:pt idx="462">
                  <c:v>417.79310528445</c:v>
                </c:pt>
                <c:pt idx="463">
                  <c:v>407.557407911754</c:v>
                </c:pt>
                <c:pt idx="464">
                  <c:v>397.278995501528</c:v>
                </c:pt>
                <c:pt idx="465">
                  <c:v>386.95837825923</c:v>
                </c:pt>
                <c:pt idx="466">
                  <c:v>376.596064040011</c:v>
                </c:pt>
                <c:pt idx="467">
                  <c:v>366.192558300989</c:v>
                </c:pt>
                <c:pt idx="468">
                  <c:v>355.748364054895</c:v>
                </c:pt>
                <c:pt idx="469">
                  <c:v>345.263981825105</c:v>
                </c:pt>
                <c:pt idx="470">
                  <c:v>334.739909602037</c:v>
                </c:pt>
                <c:pt idx="471">
                  <c:v>324.176642800906</c:v>
                </c:pt>
                <c:pt idx="472">
                  <c:v>313.574674220831</c:v>
                </c:pt>
                <c:pt idx="473">
                  <c:v>302.934494005271</c:v>
                </c:pt>
                <c:pt idx="474">
                  <c:v>292.256589603796</c:v>
                </c:pt>
                <c:pt idx="475">
                  <c:v>281.541445735168</c:v>
                </c:pt>
                <c:pt idx="476">
                  <c:v>270.789544351731</c:v>
                </c:pt>
                <c:pt idx="477">
                  <c:v>260.001364605083</c:v>
                </c:pt>
                <c:pt idx="478">
                  <c:v>249.177382813035</c:v>
                </c:pt>
                <c:pt idx="479">
                  <c:v>238.31807242783</c:v>
                </c:pt>
                <c:pt idx="480">
                  <c:v>227.423904005614</c:v>
                </c:pt>
                <c:pt idx="481">
                  <c:v>216.49534517715</c:v>
                </c:pt>
                <c:pt idx="482">
                  <c:v>205.53286061975</c:v>
                </c:pt>
                <c:pt idx="483">
                  <c:v>194.536912030422</c:v>
                </c:pt>
                <c:pt idx="484">
                  <c:v>183.507958100208</c:v>
                </c:pt>
                <c:pt idx="485">
                  <c:v>172.446454489711</c:v>
                </c:pt>
                <c:pt idx="486">
                  <c:v>161.352853805774</c:v>
                </c:pt>
                <c:pt idx="487">
                  <c:v>150.227605579323</c:v>
                </c:pt>
                <c:pt idx="488">
                  <c:v>139.071156244339</c:v>
                </c:pt>
                <c:pt idx="489">
                  <c:v>127.883949117947</c:v>
                </c:pt>
                <c:pt idx="490">
                  <c:v>116.666424381613</c:v>
                </c:pt>
                <c:pt idx="491">
                  <c:v>105.41901906343</c:v>
                </c:pt>
                <c:pt idx="492">
                  <c:v>94.1421670214652</c:v>
                </c:pt>
                <c:pt idx="493">
                  <c:v>82.8362989281763</c:v>
                </c:pt>
                <c:pt idx="494">
                  <c:v>71.5018422558558</c:v>
                </c:pt>
                <c:pt idx="495">
                  <c:v>60.1392212631031</c:v>
                </c:pt>
                <c:pt idx="496">
                  <c:v>48.7488569822998</c:v>
                </c:pt>
                <c:pt idx="497">
                  <c:v>37.3311672080754</c:v>
                </c:pt>
                <c:pt idx="498">
                  <c:v>25.8865664867444</c:v>
                </c:pt>
                <c:pt idx="499">
                  <c:v>14.4154661066991</c:v>
                </c:pt>
                <c:pt idx="500">
                  <c:v>2.91827408974138</c:v>
                </c:pt>
                <c:pt idx="501">
                  <c:v>-8.60460481666437</c:v>
                </c:pt>
                <c:pt idx="502">
                  <c:v>-8.61614045078113</c:v>
                </c:pt>
                <c:pt idx="503">
                  <c:v>-8.62767610998321</c:v>
                </c:pt>
                <c:pt idx="504">
                  <c:v>-8.63921179427021</c:v>
                </c:pt>
                <c:pt idx="505">
                  <c:v>-8.65074750364173</c:v>
                </c:pt>
                <c:pt idx="506">
                  <c:v>-8.66228323809738</c:v>
                </c:pt>
                <c:pt idx="507">
                  <c:v>-8.67381899763675</c:v>
                </c:pt>
                <c:pt idx="508">
                  <c:v>-8.68535478225947</c:v>
                </c:pt>
                <c:pt idx="509">
                  <c:v>-8.69689059196512</c:v>
                </c:pt>
                <c:pt idx="510">
                  <c:v>-8.70842642675331</c:v>
                </c:pt>
                <c:pt idx="511">
                  <c:v>-8.71996228662365</c:v>
                </c:pt>
                <c:pt idx="512">
                  <c:v>-8.73149817157575</c:v>
                </c:pt>
                <c:pt idx="513">
                  <c:v>-8.7430340816092</c:v>
                </c:pt>
                <c:pt idx="514">
                  <c:v>-8.75457001672361</c:v>
                </c:pt>
                <c:pt idx="515">
                  <c:v>-8.76610597691859</c:v>
                </c:pt>
                <c:pt idx="516">
                  <c:v>-8.77764196219374</c:v>
                </c:pt>
                <c:pt idx="517">
                  <c:v>-8.78917797254866</c:v>
                </c:pt>
                <c:pt idx="518">
                  <c:v>-8.80071400798296</c:v>
                </c:pt>
                <c:pt idx="519">
                  <c:v>-8.81225006849624</c:v>
                </c:pt>
                <c:pt idx="520">
                  <c:v>-8.82378615408811</c:v>
                </c:pt>
                <c:pt idx="521">
                  <c:v>-8.83532226475818</c:v>
                </c:pt>
                <c:pt idx="522">
                  <c:v>-8.84685840050604</c:v>
                </c:pt>
                <c:pt idx="523">
                  <c:v>-8.85839456133129</c:v>
                </c:pt>
                <c:pt idx="524">
                  <c:v>-8.86993074723356</c:v>
                </c:pt>
                <c:pt idx="525">
                  <c:v>-8.88146695821243</c:v>
                </c:pt>
                <c:pt idx="526">
                  <c:v>-8.89300319426752</c:v>
                </c:pt>
                <c:pt idx="527">
                  <c:v>-8.90453945539842</c:v>
                </c:pt>
                <c:pt idx="528">
                  <c:v>-8.91607574160475</c:v>
                </c:pt>
                <c:pt idx="529">
                  <c:v>-8.9276120528861</c:v>
                </c:pt>
                <c:pt idx="530">
                  <c:v>-8.93914838924208</c:v>
                </c:pt>
                <c:pt idx="531">
                  <c:v>-8.9506847506723</c:v>
                </c:pt>
                <c:pt idx="532">
                  <c:v>-8.96222113717636</c:v>
                </c:pt>
                <c:pt idx="533">
                  <c:v>-8.97375754875387</c:v>
                </c:pt>
                <c:pt idx="534">
                  <c:v>-8.98529398540442</c:v>
                </c:pt>
                <c:pt idx="535">
                  <c:v>-8.99683044712763</c:v>
                </c:pt>
                <c:pt idx="536">
                  <c:v>-9.00836693392309</c:v>
                </c:pt>
                <c:pt idx="537">
                  <c:v>-9.01990344579042</c:v>
                </c:pt>
                <c:pt idx="538">
                  <c:v>-9.03143998272921</c:v>
                </c:pt>
                <c:pt idx="539">
                  <c:v>-9.04297654473908</c:v>
                </c:pt>
                <c:pt idx="540">
                  <c:v>-9.05451313181962</c:v>
                </c:pt>
                <c:pt idx="541">
                  <c:v>-9.06604974397043</c:v>
                </c:pt>
                <c:pt idx="542">
                  <c:v>-9.07758638119114</c:v>
                </c:pt>
                <c:pt idx="543">
                  <c:v>-9.08912304348133</c:v>
                </c:pt>
                <c:pt idx="544">
                  <c:v>-9.10065973084062</c:v>
                </c:pt>
                <c:pt idx="545">
                  <c:v>-9.1121964432686</c:v>
                </c:pt>
                <c:pt idx="546">
                  <c:v>-9.12373318076488</c:v>
                </c:pt>
                <c:pt idx="547">
                  <c:v>-9.13526994332908</c:v>
                </c:pt>
                <c:pt idx="548">
                  <c:v>-9.14680673096078</c:v>
                </c:pt>
                <c:pt idx="549">
                  <c:v>-9.1583435436596</c:v>
                </c:pt>
                <c:pt idx="550">
                  <c:v>-9.16988038142514</c:v>
                </c:pt>
                <c:pt idx="551">
                  <c:v>-9.181417244257</c:v>
                </c:pt>
                <c:pt idx="552">
                  <c:v>-9.19295413215479</c:v>
                </c:pt>
                <c:pt idx="553">
                  <c:v>-9.20449104511812</c:v>
                </c:pt>
                <c:pt idx="554">
                  <c:v>-9.21602798314658</c:v>
                </c:pt>
                <c:pt idx="555">
                  <c:v>-9.22756494623979</c:v>
                </c:pt>
                <c:pt idx="556">
                  <c:v>-9.23910193439734</c:v>
                </c:pt>
                <c:pt idx="557">
                  <c:v>-9.25063894761885</c:v>
                </c:pt>
                <c:pt idx="558">
                  <c:v>-9.26217598590391</c:v>
                </c:pt>
                <c:pt idx="559">
                  <c:v>-9.27371304925213</c:v>
                </c:pt>
                <c:pt idx="560">
                  <c:v>-9.28525013766312</c:v>
                </c:pt>
                <c:pt idx="561">
                  <c:v>-9.29678725113647</c:v>
                </c:pt>
                <c:pt idx="562">
                  <c:v>-9.3083243896718</c:v>
                </c:pt>
                <c:pt idx="563">
                  <c:v>-9.31986155326871</c:v>
                </c:pt>
                <c:pt idx="564">
                  <c:v>-9.3313987419268</c:v>
                </c:pt>
                <c:pt idx="565">
                  <c:v>-9.34293595564568</c:v>
                </c:pt>
                <c:pt idx="566">
                  <c:v>-9.35447319442495</c:v>
                </c:pt>
                <c:pt idx="567">
                  <c:v>-9.36601045826422</c:v>
                </c:pt>
                <c:pt idx="568">
                  <c:v>-9.37754774716309</c:v>
                </c:pt>
                <c:pt idx="569">
                  <c:v>-9.38908506112117</c:v>
                </c:pt>
                <c:pt idx="570">
                  <c:v>-9.40062240013805</c:v>
                </c:pt>
                <c:pt idx="571">
                  <c:v>-9.41215976421335</c:v>
                </c:pt>
                <c:pt idx="572">
                  <c:v>-9.42369715334667</c:v>
                </c:pt>
                <c:pt idx="573">
                  <c:v>-9.43523456753761</c:v>
                </c:pt>
                <c:pt idx="574">
                  <c:v>-9.44677200678578</c:v>
                </c:pt>
                <c:pt idx="575">
                  <c:v>-9.45830947109079</c:v>
                </c:pt>
                <c:pt idx="576">
                  <c:v>-9.46984696045223</c:v>
                </c:pt>
                <c:pt idx="577">
                  <c:v>-9.48138447486971</c:v>
                </c:pt>
                <c:pt idx="578">
                  <c:v>-9.49292201434285</c:v>
                </c:pt>
                <c:pt idx="579">
                  <c:v>-9.50445957887123</c:v>
                </c:pt>
                <c:pt idx="580">
                  <c:v>-9.51599716845447</c:v>
                </c:pt>
                <c:pt idx="581">
                  <c:v>-9.52753478309216</c:v>
                </c:pt>
                <c:pt idx="582">
                  <c:v>-9.53907242278393</c:v>
                </c:pt>
                <c:pt idx="583">
                  <c:v>-9.55061008752936</c:v>
                </c:pt>
                <c:pt idx="584">
                  <c:v>-9.56214777732807</c:v>
                </c:pt>
                <c:pt idx="585">
                  <c:v>-9.57368549217965</c:v>
                </c:pt>
                <c:pt idx="586">
                  <c:v>-9.58522323208372</c:v>
                </c:pt>
                <c:pt idx="587">
                  <c:v>-9.59676099703988</c:v>
                </c:pt>
                <c:pt idx="588">
                  <c:v>-9.60829878704773</c:v>
                </c:pt>
                <c:pt idx="589">
                  <c:v>-9.61983660210688</c:v>
                </c:pt>
                <c:pt idx="590">
                  <c:v>-9.63137444221692</c:v>
                </c:pt>
                <c:pt idx="591">
                  <c:v>-9.64291230737748</c:v>
                </c:pt>
                <c:pt idx="592">
                  <c:v>-9.65445019758814</c:v>
                </c:pt>
                <c:pt idx="593">
                  <c:v>-9.66598811284853</c:v>
                </c:pt>
                <c:pt idx="594">
                  <c:v>-9.67752605315823</c:v>
                </c:pt>
                <c:pt idx="595">
                  <c:v>-9.68906401851685</c:v>
                </c:pt>
                <c:pt idx="596">
                  <c:v>-9.70060200892401</c:v>
                </c:pt>
                <c:pt idx="597">
                  <c:v>-9.7121400243793</c:v>
                </c:pt>
                <c:pt idx="598">
                  <c:v>-9.72367806488233</c:v>
                </c:pt>
                <c:pt idx="599">
                  <c:v>-9.7352161304327</c:v>
                </c:pt>
                <c:pt idx="600">
                  <c:v>-9.74675422103002</c:v>
                </c:pt>
                <c:pt idx="601">
                  <c:v>-9.75829233667389</c:v>
                </c:pt>
                <c:pt idx="602">
                  <c:v>-9.76983047736392</c:v>
                </c:pt>
                <c:pt idx="603">
                  <c:v>-9.78136864309971</c:v>
                </c:pt>
                <c:pt idx="604">
                  <c:v>-9.79290683388087</c:v>
                </c:pt>
                <c:pt idx="605">
                  <c:v>-9.804445049707</c:v>
                </c:pt>
                <c:pt idx="606">
                  <c:v>-9.8159832905777</c:v>
                </c:pt>
                <c:pt idx="607">
                  <c:v>-9.82752155649259</c:v>
                </c:pt>
                <c:pt idx="608">
                  <c:v>-9.83905984745126</c:v>
                </c:pt>
                <c:pt idx="609">
                  <c:v>-9.85059816345332</c:v>
                </c:pt>
                <c:pt idx="610">
                  <c:v>-9.86213650449837</c:v>
                </c:pt>
                <c:pt idx="611">
                  <c:v>-9.87367487058603</c:v>
                </c:pt>
                <c:pt idx="612">
                  <c:v>-9.88521326171589</c:v>
                </c:pt>
                <c:pt idx="613">
                  <c:v>-9.89675167788755</c:v>
                </c:pt>
                <c:pt idx="614">
                  <c:v>-9.90829011910063</c:v>
                </c:pt>
                <c:pt idx="615">
                  <c:v>-9.91982858535473</c:v>
                </c:pt>
                <c:pt idx="616">
                  <c:v>-9.93136707664945</c:v>
                </c:pt>
                <c:pt idx="617">
                  <c:v>-9.9429055929844</c:v>
                </c:pt>
                <c:pt idx="618">
                  <c:v>-9.95444413435918</c:v>
                </c:pt>
                <c:pt idx="619">
                  <c:v>-9.96598270077339</c:v>
                </c:pt>
                <c:pt idx="620">
                  <c:v>-9.97752129222665</c:v>
                </c:pt>
                <c:pt idx="621">
                  <c:v>-9.98905990871855</c:v>
                </c:pt>
                <c:pt idx="622">
                  <c:v>-10.0005985502487</c:v>
                </c:pt>
                <c:pt idx="623">
                  <c:v>-10.0121372168167</c:v>
                </c:pt>
                <c:pt idx="624">
                  <c:v>-10.0236759084222</c:v>
                </c:pt>
                <c:pt idx="625">
                  <c:v>-10.0352146250647</c:v>
                </c:pt>
                <c:pt idx="626">
                  <c:v>-10.0467533667439</c:v>
                </c:pt>
                <c:pt idx="627">
                  <c:v>-10.0582921334594</c:v>
                </c:pt>
                <c:pt idx="628">
                  <c:v>-10.0698309252108</c:v>
                </c:pt>
                <c:pt idx="629">
                  <c:v>-10.0813697419976</c:v>
                </c:pt>
                <c:pt idx="630">
                  <c:v>-10.0929085838195</c:v>
                </c:pt>
                <c:pt idx="631">
                  <c:v>-10.1044474506762</c:v>
                </c:pt>
                <c:pt idx="632">
                  <c:v>-10.1159863425671</c:v>
                </c:pt>
                <c:pt idx="633">
                  <c:v>-10.1275252594919</c:v>
                </c:pt>
                <c:pt idx="634">
                  <c:v>-10.1390642014502</c:v>
                </c:pt>
                <c:pt idx="635">
                  <c:v>-10.1506031684417</c:v>
                </c:pt>
                <c:pt idx="636">
                  <c:v>-10.1621421604658</c:v>
                </c:pt>
                <c:pt idx="637">
                  <c:v>-10.1736811775223</c:v>
                </c:pt>
                <c:pt idx="638">
                  <c:v>-10.1852202196107</c:v>
                </c:pt>
                <c:pt idx="639">
                  <c:v>-10.1967592867307</c:v>
                </c:pt>
                <c:pt idx="640">
                  <c:v>-10.2082983788818</c:v>
                </c:pt>
                <c:pt idx="641">
                  <c:v>-10.2198374960636</c:v>
                </c:pt>
                <c:pt idx="642">
                  <c:v>-10.2313766382757</c:v>
                </c:pt>
                <c:pt idx="643">
                  <c:v>-10.2429158055179</c:v>
                </c:pt>
                <c:pt idx="644">
                  <c:v>-10.2544549977895</c:v>
                </c:pt>
                <c:pt idx="645">
                  <c:v>-10.2659942150904</c:v>
                </c:pt>
                <c:pt idx="646">
                  <c:v>-10.27753345742</c:v>
                </c:pt>
                <c:pt idx="647">
                  <c:v>-10.2890727247779</c:v>
                </c:pt>
                <c:pt idx="648">
                  <c:v>-10.3006120171639</c:v>
                </c:pt>
                <c:pt idx="649">
                  <c:v>-10.3121513345774</c:v>
                </c:pt>
                <c:pt idx="650">
                  <c:v>-10.3236906770181</c:v>
                </c:pt>
                <c:pt idx="651">
                  <c:v>-10.3352300444856</c:v>
                </c:pt>
                <c:pt idx="652">
                  <c:v>-10.3467694369795</c:v>
                </c:pt>
                <c:pt idx="653">
                  <c:v>-10.3583088544993</c:v>
                </c:pt>
                <c:pt idx="654">
                  <c:v>-10.3698482970448</c:v>
                </c:pt>
                <c:pt idx="655">
                  <c:v>-10.3813877646155</c:v>
                </c:pt>
                <c:pt idx="656">
                  <c:v>-10.392927257211</c:v>
                </c:pt>
                <c:pt idx="657">
                  <c:v>-10.4044667748309</c:v>
                </c:pt>
                <c:pt idx="658">
                  <c:v>-10.4160063174749</c:v>
                </c:pt>
                <c:pt idx="659">
                  <c:v>-10.4275458851425</c:v>
                </c:pt>
                <c:pt idx="660">
                  <c:v>-10.4390854778333</c:v>
                </c:pt>
                <c:pt idx="661">
                  <c:v>-10.4506250955469</c:v>
                </c:pt>
                <c:pt idx="662">
                  <c:v>-10.462164738283</c:v>
                </c:pt>
                <c:pt idx="663">
                  <c:v>-10.4737044060411</c:v>
                </c:pt>
                <c:pt idx="664">
                  <c:v>-10.4852440988209</c:v>
                </c:pt>
                <c:pt idx="665">
                  <c:v>-10.496783816622</c:v>
                </c:pt>
                <c:pt idx="666">
                  <c:v>-10.5083235594439</c:v>
                </c:pt>
                <c:pt idx="667">
                  <c:v>-10.5198633272862</c:v>
                </c:pt>
                <c:pt idx="668">
                  <c:v>-10.5314031201487</c:v>
                </c:pt>
                <c:pt idx="669">
                  <c:v>-10.5429429380308</c:v>
                </c:pt>
                <c:pt idx="670">
                  <c:v>-10.5544827809322</c:v>
                </c:pt>
                <c:pt idx="671">
                  <c:v>-10.5660226488524</c:v>
                </c:pt>
                <c:pt idx="672">
                  <c:v>-10.5775625417912</c:v>
                </c:pt>
                <c:pt idx="673">
                  <c:v>-10.5891024597481</c:v>
                </c:pt>
                <c:pt idx="674">
                  <c:v>-10.6006424027226</c:v>
                </c:pt>
                <c:pt idx="675">
                  <c:v>-10.6121823707145</c:v>
                </c:pt>
                <c:pt idx="676">
                  <c:v>-10.6237223637233</c:v>
                </c:pt>
                <c:pt idx="677">
                  <c:v>-10.6352623817486</c:v>
                </c:pt>
                <c:pt idx="678">
                  <c:v>-10.64680242479</c:v>
                </c:pt>
                <c:pt idx="679">
                  <c:v>-10.6583424928471</c:v>
                </c:pt>
                <c:pt idx="680">
                  <c:v>-10.6698825859196</c:v>
                </c:pt>
                <c:pt idx="681">
                  <c:v>-10.681422704007</c:v>
                </c:pt>
                <c:pt idx="682">
                  <c:v>-10.692962847109</c:v>
                </c:pt>
                <c:pt idx="683">
                  <c:v>-10.7045030152251</c:v>
                </c:pt>
                <c:pt idx="684">
                  <c:v>-10.7160432083549</c:v>
                </c:pt>
                <c:pt idx="685">
                  <c:v>-10.7275834264981</c:v>
                </c:pt>
                <c:pt idx="686">
                  <c:v>-10.7391236696542</c:v>
                </c:pt>
                <c:pt idx="687">
                  <c:v>-10.7506639378229</c:v>
                </c:pt>
                <c:pt idx="688">
                  <c:v>-10.7622042310038</c:v>
                </c:pt>
                <c:pt idx="689">
                  <c:v>-10.7737445491965</c:v>
                </c:pt>
                <c:pt idx="690">
                  <c:v>-10.7852848924005</c:v>
                </c:pt>
                <c:pt idx="691">
                  <c:v>-10.7968252606155</c:v>
                </c:pt>
                <c:pt idx="692">
                  <c:v>-10.8083656538411</c:v>
                </c:pt>
                <c:pt idx="693">
                  <c:v>-10.8199060720769</c:v>
                </c:pt>
                <c:pt idx="694">
                  <c:v>-10.8314465153225</c:v>
                </c:pt>
                <c:pt idx="695">
                  <c:v>-10.8429869835775</c:v>
                </c:pt>
                <c:pt idx="696">
                  <c:v>-10.8545274768415</c:v>
                </c:pt>
                <c:pt idx="697">
                  <c:v>-10.8660679951142</c:v>
                </c:pt>
                <c:pt idx="698">
                  <c:v>-10.877608538395</c:v>
                </c:pt>
                <c:pt idx="699">
                  <c:v>-10.8891491066837</c:v>
                </c:pt>
                <c:pt idx="700">
                  <c:v>-10.9006896999798</c:v>
                </c:pt>
                <c:pt idx="701">
                  <c:v>-10.9122303182829</c:v>
                </c:pt>
                <c:pt idx="702">
                  <c:v>-10.9237709615927</c:v>
                </c:pt>
                <c:pt idx="703">
                  <c:v>-10.9353116299087</c:v>
                </c:pt>
                <c:pt idx="704">
                  <c:v>-10.9468523232305</c:v>
                </c:pt>
                <c:pt idx="705">
                  <c:v>-10.9583930415578</c:v>
                </c:pt>
                <c:pt idx="706">
                  <c:v>-10.9699337848902</c:v>
                </c:pt>
                <c:pt idx="707">
                  <c:v>-10.9814745532272</c:v>
                </c:pt>
                <c:pt idx="708">
                  <c:v>-10.9930153465685</c:v>
                </c:pt>
                <c:pt idx="709">
                  <c:v>-11.0045561649137</c:v>
                </c:pt>
                <c:pt idx="710">
                  <c:v>-11.0160970082623</c:v>
                </c:pt>
                <c:pt idx="711">
                  <c:v>-11.0276378766141</c:v>
                </c:pt>
                <c:pt idx="712">
                  <c:v>-11.0391787699685</c:v>
                </c:pt>
                <c:pt idx="713">
                  <c:v>-11.0507196883252</c:v>
                </c:pt>
                <c:pt idx="714">
                  <c:v>-11.0622606316838</c:v>
                </c:pt>
                <c:pt idx="715">
                  <c:v>-11.0738016000439</c:v>
                </c:pt>
                <c:pt idx="716">
                  <c:v>-11.0853425934051</c:v>
                </c:pt>
                <c:pt idx="717">
                  <c:v>-11.0968836117671</c:v>
                </c:pt>
                <c:pt idx="718">
                  <c:v>-11.1084246551293</c:v>
                </c:pt>
                <c:pt idx="719">
                  <c:v>-11.1199657234915</c:v>
                </c:pt>
                <c:pt idx="720">
                  <c:v>-11.1315068168532</c:v>
                </c:pt>
                <c:pt idx="721">
                  <c:v>-11.143047935214</c:v>
                </c:pt>
                <c:pt idx="722">
                  <c:v>-11.1545890785736</c:v>
                </c:pt>
                <c:pt idx="723">
                  <c:v>-11.1661302469315</c:v>
                </c:pt>
                <c:pt idx="724">
                  <c:v>-11.1776714402874</c:v>
                </c:pt>
                <c:pt idx="725">
                  <c:v>-11.1892126586408</c:v>
                </c:pt>
                <c:pt idx="726">
                  <c:v>-11.2007539019914</c:v>
                </c:pt>
                <c:pt idx="727">
                  <c:v>-11.2122951703387</c:v>
                </c:pt>
                <c:pt idx="728">
                  <c:v>-11.2238364636824</c:v>
                </c:pt>
                <c:pt idx="729">
                  <c:v>-11.2353777820221</c:v>
                </c:pt>
                <c:pt idx="730">
                  <c:v>-11.2469191253574</c:v>
                </c:pt>
                <c:pt idx="731">
                  <c:v>-11.2584604936878</c:v>
                </c:pt>
                <c:pt idx="732">
                  <c:v>-11.2700018870131</c:v>
                </c:pt>
                <c:pt idx="733">
                  <c:v>-11.2815433053327</c:v>
                </c:pt>
                <c:pt idx="734">
                  <c:v>-11.2930847486463</c:v>
                </c:pt>
                <c:pt idx="735">
                  <c:v>-11.3046262169536</c:v>
                </c:pt>
                <c:pt idx="736">
                  <c:v>-11.316167710254</c:v>
                </c:pt>
                <c:pt idx="737">
                  <c:v>-11.3277092285472</c:v>
                </c:pt>
                <c:pt idx="738">
                  <c:v>-11.3392507718329</c:v>
                </c:pt>
                <c:pt idx="739">
                  <c:v>-11.3507923401106</c:v>
                </c:pt>
                <c:pt idx="740">
                  <c:v>-11.3623339333799</c:v>
                </c:pt>
                <c:pt idx="741">
                  <c:v>-11.3738755516405</c:v>
                </c:pt>
                <c:pt idx="742">
                  <c:v>-11.3854171948919</c:v>
                </c:pt>
                <c:pt idx="743">
                  <c:v>-11.3969588631337</c:v>
                </c:pt>
                <c:pt idx="744">
                  <c:v>-11.4085005563656</c:v>
                </c:pt>
                <c:pt idx="745">
                  <c:v>-11.4200422745872</c:v>
                </c:pt>
                <c:pt idx="746">
                  <c:v>-11.431584017798</c:v>
                </c:pt>
                <c:pt idx="747">
                  <c:v>-11.4431257859977</c:v>
                </c:pt>
                <c:pt idx="748">
                  <c:v>-11.4546675791858</c:v>
                </c:pt>
                <c:pt idx="749">
                  <c:v>-11.466209397362</c:v>
                </c:pt>
                <c:pt idx="750">
                  <c:v>-11.4777512405259</c:v>
                </c:pt>
                <c:pt idx="751">
                  <c:v>-11.4892931086771</c:v>
                </c:pt>
                <c:pt idx="752">
                  <c:v>-11.5008350018152</c:v>
                </c:pt>
                <c:pt idx="753">
                  <c:v>-11.5123769199398</c:v>
                </c:pt>
                <c:pt idx="754">
                  <c:v>-11.5239188630504</c:v>
                </c:pt>
                <c:pt idx="755">
                  <c:v>-11.5354608311468</c:v>
                </c:pt>
                <c:pt idx="756">
                  <c:v>-11.5470028242285</c:v>
                </c:pt>
                <c:pt idx="757">
                  <c:v>-11.5585448422951</c:v>
                </c:pt>
                <c:pt idx="758">
                  <c:v>-11.5700868853462</c:v>
                </c:pt>
                <c:pt idx="759">
                  <c:v>-11.5816289533815</c:v>
                </c:pt>
                <c:pt idx="760">
                  <c:v>-11.5931710464005</c:v>
                </c:pt>
                <c:pt idx="761">
                  <c:v>-11.6047131644028</c:v>
                </c:pt>
                <c:pt idx="762">
                  <c:v>-11.6162553073881</c:v>
                </c:pt>
                <c:pt idx="763">
                  <c:v>-11.6277974753559</c:v>
                </c:pt>
                <c:pt idx="764">
                  <c:v>-11.6393396683059</c:v>
                </c:pt>
                <c:pt idx="765">
                  <c:v>-11.6508818862376</c:v>
                </c:pt>
                <c:pt idx="766">
                  <c:v>-11.6624241291507</c:v>
                </c:pt>
                <c:pt idx="767">
                  <c:v>-11.6739663970447</c:v>
                </c:pt>
                <c:pt idx="768">
                  <c:v>-11.6855086899194</c:v>
                </c:pt>
                <c:pt idx="769">
                  <c:v>-11.6970510077742</c:v>
                </c:pt>
                <c:pt idx="770">
                  <c:v>-11.7085933506088</c:v>
                </c:pt>
                <c:pt idx="771">
                  <c:v>-11.7201357184227</c:v>
                </c:pt>
                <c:pt idx="772">
                  <c:v>-11.7316781112157</c:v>
                </c:pt>
                <c:pt idx="773">
                  <c:v>-11.7432205289873</c:v>
                </c:pt>
                <c:pt idx="774">
                  <c:v>-11.7547629717371</c:v>
                </c:pt>
                <c:pt idx="775">
                  <c:v>-11.7663054394646</c:v>
                </c:pt>
                <c:pt idx="776">
                  <c:v>-11.7778479321696</c:v>
                </c:pt>
                <c:pt idx="777">
                  <c:v>-11.7893904498517</c:v>
                </c:pt>
                <c:pt idx="778">
                  <c:v>-11.8009329925103</c:v>
                </c:pt>
                <c:pt idx="779">
                  <c:v>-11.8124755601452</c:v>
                </c:pt>
                <c:pt idx="780">
                  <c:v>-11.8240181527559</c:v>
                </c:pt>
                <c:pt idx="781">
                  <c:v>-11.8355607703421</c:v>
                </c:pt>
                <c:pt idx="782">
                  <c:v>-11.8471034129033</c:v>
                </c:pt>
                <c:pt idx="783">
                  <c:v>-11.8586460804391</c:v>
                </c:pt>
                <c:pt idx="784">
                  <c:v>-11.8701887729492</c:v>
                </c:pt>
                <c:pt idx="785">
                  <c:v>-11.8817314904332</c:v>
                </c:pt>
                <c:pt idx="786">
                  <c:v>-11.8932742328906</c:v>
                </c:pt>
                <c:pt idx="787">
                  <c:v>-11.9048170003211</c:v>
                </c:pt>
                <c:pt idx="788">
                  <c:v>-11.9163597927243</c:v>
                </c:pt>
                <c:pt idx="789">
                  <c:v>-11.9279026100998</c:v>
                </c:pt>
                <c:pt idx="790">
                  <c:v>-11.9394454524472</c:v>
                </c:pt>
                <c:pt idx="791">
                  <c:v>-11.950988319766</c:v>
                </c:pt>
                <c:pt idx="792">
                  <c:v>-11.962531212056</c:v>
                </c:pt>
                <c:pt idx="793">
                  <c:v>-11.9740741293166</c:v>
                </c:pt>
                <c:pt idx="794">
                  <c:v>-11.9856170715476</c:v>
                </c:pt>
                <c:pt idx="795">
                  <c:v>-11.9971600387485</c:v>
                </c:pt>
                <c:pt idx="796">
                  <c:v>-12.0087030309189</c:v>
                </c:pt>
                <c:pt idx="797">
                  <c:v>-12.0202460480584</c:v>
                </c:pt>
                <c:pt idx="798">
                  <c:v>-12.0317890901666</c:v>
                </c:pt>
                <c:pt idx="799">
                  <c:v>-12.0433321572432</c:v>
                </c:pt>
                <c:pt idx="800">
                  <c:v>-12.0548752492877</c:v>
                </c:pt>
                <c:pt idx="801">
                  <c:v>-12.0664183662998</c:v>
                </c:pt>
                <c:pt idx="802">
                  <c:v>-12.0779615082791</c:v>
                </c:pt>
                <c:pt idx="803">
                  <c:v>-12.089504675225</c:v>
                </c:pt>
                <c:pt idx="804">
                  <c:v>-12.1010478671374</c:v>
                </c:pt>
                <c:pt idx="805">
                  <c:v>-12.1125910840157</c:v>
                </c:pt>
                <c:pt idx="806">
                  <c:v>-12.1241343258596</c:v>
                </c:pt>
                <c:pt idx="807">
                  <c:v>-12.1356775926687</c:v>
                </c:pt>
                <c:pt idx="808">
                  <c:v>-12.1472208844425</c:v>
                </c:pt>
                <c:pt idx="809">
                  <c:v>-12.1587642011807</c:v>
                </c:pt>
                <c:pt idx="810">
                  <c:v>-12.170307542883</c:v>
                </c:pt>
                <c:pt idx="811">
                  <c:v>-12.1818509095488</c:v>
                </c:pt>
                <c:pt idx="812">
                  <c:v>-12.1933943011778</c:v>
                </c:pt>
                <c:pt idx="813">
                  <c:v>-12.2049377177697</c:v>
                </c:pt>
                <c:pt idx="814">
                  <c:v>-12.2164811593239</c:v>
                </c:pt>
                <c:pt idx="815">
                  <c:v>-12.2280246258402</c:v>
                </c:pt>
                <c:pt idx="816">
                  <c:v>-12.2395681173181</c:v>
                </c:pt>
                <c:pt idx="817">
                  <c:v>-12.2511116337573</c:v>
                </c:pt>
                <c:pt idx="818">
                  <c:v>-12.2626551751572</c:v>
                </c:pt>
                <c:pt idx="819">
                  <c:v>-12.2741987415177</c:v>
                </c:pt>
                <c:pt idx="820">
                  <c:v>-12.2857423328381</c:v>
                </c:pt>
                <c:pt idx="821">
                  <c:v>-12.2972859491182</c:v>
                </c:pt>
                <c:pt idx="822">
                  <c:v>-12.3088295903576</c:v>
                </c:pt>
                <c:pt idx="823">
                  <c:v>-12.3203732565558</c:v>
                </c:pt>
                <c:pt idx="824">
                  <c:v>-12.3319169477126</c:v>
                </c:pt>
                <c:pt idx="825">
                  <c:v>-12.3434606638273</c:v>
                </c:pt>
                <c:pt idx="826">
                  <c:v>-12.3550044048998</c:v>
                </c:pt>
                <c:pt idx="827">
                  <c:v>-12.3665481709295</c:v>
                </c:pt>
                <c:pt idx="828">
                  <c:v>-12.3780919619162</c:v>
                </c:pt>
                <c:pt idx="829">
                  <c:v>-12.3896357778593</c:v>
                </c:pt>
                <c:pt idx="830">
                  <c:v>-12.4011796187585</c:v>
                </c:pt>
                <c:pt idx="831">
                  <c:v>-12.4127234846135</c:v>
                </c:pt>
                <c:pt idx="832">
                  <c:v>-12.4242673754237</c:v>
                </c:pt>
                <c:pt idx="833">
                  <c:v>-12.4358112911889</c:v>
                </c:pt>
                <c:pt idx="834">
                  <c:v>-12.4473552319086</c:v>
                </c:pt>
                <c:pt idx="835">
                  <c:v>-12.4588991975824</c:v>
                </c:pt>
                <c:pt idx="836">
                  <c:v>-12.47044318821</c:v>
                </c:pt>
                <c:pt idx="837">
                  <c:v>-12.4819872037909</c:v>
                </c:pt>
                <c:pt idx="838">
                  <c:v>-12.4935312443247</c:v>
                </c:pt>
                <c:pt idx="839">
                  <c:v>-12.5050753098111</c:v>
                </c:pt>
                <c:pt idx="840">
                  <c:v>-12.5166194002496</c:v>
                </c:pt>
                <c:pt idx="841">
                  <c:v>-12.5281635156399</c:v>
                </c:pt>
                <c:pt idx="842">
                  <c:v>-12.5397076559816</c:v>
                </c:pt>
                <c:pt idx="843">
                  <c:v>-12.5512518212742</c:v>
                </c:pt>
                <c:pt idx="844">
                  <c:v>-12.5627960115174</c:v>
                </c:pt>
                <c:pt idx="845">
                  <c:v>-12.5743402267108</c:v>
                </c:pt>
                <c:pt idx="846">
                  <c:v>-12.585884466854</c:v>
                </c:pt>
                <c:pt idx="847">
                  <c:v>-12.5974287319466</c:v>
                </c:pt>
                <c:pt idx="848">
                  <c:v>-12.6089730219882</c:v>
                </c:pt>
                <c:pt idx="849">
                  <c:v>-12.6205173369784</c:v>
                </c:pt>
                <c:pt idx="850">
                  <c:v>-12.6320616769167</c:v>
                </c:pt>
                <c:pt idx="851">
                  <c:v>-12.643606041803</c:v>
                </c:pt>
                <c:pt idx="852">
                  <c:v>-12.6551504316366</c:v>
                </c:pt>
                <c:pt idx="853">
                  <c:v>-12.6666948464172</c:v>
                </c:pt>
                <c:pt idx="854">
                  <c:v>-12.6782392861445</c:v>
                </c:pt>
                <c:pt idx="855">
                  <c:v>-12.689783750818</c:v>
                </c:pt>
                <c:pt idx="856">
                  <c:v>-12.7013282404374</c:v>
                </c:pt>
                <c:pt idx="857">
                  <c:v>-12.7128727550022</c:v>
                </c:pt>
                <c:pt idx="858">
                  <c:v>-12.7244172945121</c:v>
                </c:pt>
                <c:pt idx="859">
                  <c:v>-12.7359618589666</c:v>
                </c:pt>
                <c:pt idx="860">
                  <c:v>-12.7475064483654</c:v>
                </c:pt>
                <c:pt idx="861">
                  <c:v>-12.759051062708</c:v>
                </c:pt>
                <c:pt idx="862">
                  <c:v>-12.7705957019942</c:v>
                </c:pt>
                <c:pt idx="863">
                  <c:v>-12.7821403662234</c:v>
                </c:pt>
                <c:pt idx="864">
                  <c:v>-12.7936850553953</c:v>
                </c:pt>
                <c:pt idx="865">
                  <c:v>-12.8052297695095</c:v>
                </c:pt>
                <c:pt idx="866">
                  <c:v>-12.8167745085655</c:v>
                </c:pt>
                <c:pt idx="867">
                  <c:v>-12.8283192725631</c:v>
                </c:pt>
                <c:pt idx="868">
                  <c:v>-12.8398640615018</c:v>
                </c:pt>
                <c:pt idx="869">
                  <c:v>-12.8514088753812</c:v>
                </c:pt>
                <c:pt idx="870">
                  <c:v>-12.862953714201</c:v>
                </c:pt>
                <c:pt idx="871">
                  <c:v>-12.8744985779606</c:v>
                </c:pt>
                <c:pt idx="872">
                  <c:v>-12.8860434666598</c:v>
                </c:pt>
                <c:pt idx="873">
                  <c:v>-12.8975883802981</c:v>
                </c:pt>
                <c:pt idx="874">
                  <c:v>-12.9091333188752</c:v>
                </c:pt>
                <c:pt idx="875">
                  <c:v>-12.9206782823906</c:v>
                </c:pt>
                <c:pt idx="876">
                  <c:v>-12.932223270844</c:v>
                </c:pt>
                <c:pt idx="877">
                  <c:v>-12.9437682842349</c:v>
                </c:pt>
                <c:pt idx="878">
                  <c:v>-12.955313322563</c:v>
                </c:pt>
                <c:pt idx="879">
                  <c:v>-12.9668583858278</c:v>
                </c:pt>
                <c:pt idx="880">
                  <c:v>-12.978403474029</c:v>
                </c:pt>
                <c:pt idx="881">
                  <c:v>-12.9899485871663</c:v>
                </c:pt>
                <c:pt idx="882">
                  <c:v>-13.001493725239</c:v>
                </c:pt>
                <c:pt idx="883">
                  <c:v>-13.013038888247</c:v>
                </c:pt>
                <c:pt idx="884">
                  <c:v>-13.0245840761898</c:v>
                </c:pt>
                <c:pt idx="885">
                  <c:v>-13.036129289067</c:v>
                </c:pt>
                <c:pt idx="886">
                  <c:v>-13.0476745268782</c:v>
                </c:pt>
                <c:pt idx="887">
                  <c:v>-13.059219789623</c:v>
                </c:pt>
                <c:pt idx="888">
                  <c:v>-13.070765077301</c:v>
                </c:pt>
                <c:pt idx="889">
                  <c:v>-13.0823103899119</c:v>
                </c:pt>
                <c:pt idx="890">
                  <c:v>-13.0938557274551</c:v>
                </c:pt>
                <c:pt idx="891">
                  <c:v>-13.1054010899305</c:v>
                </c:pt>
                <c:pt idx="892">
                  <c:v>-13.1169464773374</c:v>
                </c:pt>
                <c:pt idx="893">
                  <c:v>-13.1284918896756</c:v>
                </c:pt>
                <c:pt idx="894">
                  <c:v>-13.1400373269447</c:v>
                </c:pt>
                <c:pt idx="895">
                  <c:v>-13.1515827891442</c:v>
                </c:pt>
                <c:pt idx="896">
                  <c:v>-13.1631282762738</c:v>
                </c:pt>
                <c:pt idx="897">
                  <c:v>-13.174673788333</c:v>
                </c:pt>
                <c:pt idx="898">
                  <c:v>-13.1862193253215</c:v>
                </c:pt>
                <c:pt idx="899">
                  <c:v>-13.1977648872389</c:v>
                </c:pt>
                <c:pt idx="900">
                  <c:v>-13.2093104740848</c:v>
                </c:pt>
                <c:pt idx="901">
                  <c:v>-13.2208560858588</c:v>
                </c:pt>
                <c:pt idx="902">
                  <c:v>-13.2324017225605</c:v>
                </c:pt>
                <c:pt idx="903">
                  <c:v>-13.2439473841895</c:v>
                </c:pt>
                <c:pt idx="904">
                  <c:v>-13.2554930707453</c:v>
                </c:pt>
                <c:pt idx="905">
                  <c:v>-13.2670387822277</c:v>
                </c:pt>
                <c:pt idx="906">
                  <c:v>-13.2785845186363</c:v>
                </c:pt>
                <c:pt idx="907">
                  <c:v>-13.2901302799705</c:v>
                </c:pt>
                <c:pt idx="908">
                  <c:v>-13.3016760662301</c:v>
                </c:pt>
                <c:pt idx="909">
                  <c:v>-13.3132218774146</c:v>
                </c:pt>
                <c:pt idx="910">
                  <c:v>-13.3247677135237</c:v>
                </c:pt>
                <c:pt idx="911">
                  <c:v>-13.3363135745569</c:v>
                </c:pt>
                <c:pt idx="912">
                  <c:v>-13.3478594605138</c:v>
                </c:pt>
                <c:pt idx="913">
                  <c:v>-13.3594053713942</c:v>
                </c:pt>
                <c:pt idx="914">
                  <c:v>-13.3709513071975</c:v>
                </c:pt>
                <c:pt idx="915">
                  <c:v>-13.3824972679233</c:v>
                </c:pt>
                <c:pt idx="916">
                  <c:v>-13.3940432535714</c:v>
                </c:pt>
                <c:pt idx="917">
                  <c:v>-13.4055892641412</c:v>
                </c:pt>
                <c:pt idx="918">
                  <c:v>-13.4171352996324</c:v>
                </c:pt>
                <c:pt idx="919">
                  <c:v>-13.4286813600446</c:v>
                </c:pt>
                <c:pt idx="920">
                  <c:v>-13.4402274453774</c:v>
                </c:pt>
                <c:pt idx="921">
                  <c:v>-13.4517735556304</c:v>
                </c:pt>
                <c:pt idx="922">
                  <c:v>-13.4633196908032</c:v>
                </c:pt>
                <c:pt idx="923">
                  <c:v>-13.4748658508954</c:v>
                </c:pt>
                <c:pt idx="924">
                  <c:v>-13.4864120359067</c:v>
                </c:pt>
                <c:pt idx="925">
                  <c:v>-13.4979582458365</c:v>
                </c:pt>
                <c:pt idx="926">
                  <c:v>-13.5095044806847</c:v>
                </c:pt>
                <c:pt idx="927">
                  <c:v>-13.5210507404506</c:v>
                </c:pt>
                <c:pt idx="928">
                  <c:v>-13.532597025134</c:v>
                </c:pt>
                <c:pt idx="929">
                  <c:v>-13.5441433347344</c:v>
                </c:pt>
                <c:pt idx="930">
                  <c:v>-13.5556896692515</c:v>
                </c:pt>
                <c:pt idx="931">
                  <c:v>-13.5672360286849</c:v>
                </c:pt>
                <c:pt idx="932">
                  <c:v>-13.5787824130341</c:v>
                </c:pt>
                <c:pt idx="933">
                  <c:v>-13.5903288222988</c:v>
                </c:pt>
                <c:pt idx="934">
                  <c:v>-13.6018752564786</c:v>
                </c:pt>
                <c:pt idx="935">
                  <c:v>-13.6134217155731</c:v>
                </c:pt>
                <c:pt idx="936">
                  <c:v>-13.6249681995819</c:v>
                </c:pt>
                <c:pt idx="937">
                  <c:v>-13.6365147085045</c:v>
                </c:pt>
                <c:pt idx="938">
                  <c:v>-13.6480612423407</c:v>
                </c:pt>
                <c:pt idx="939">
                  <c:v>-13.6596078010899</c:v>
                </c:pt>
                <c:pt idx="940">
                  <c:v>-13.6711543847519</c:v>
                </c:pt>
                <c:pt idx="941">
                  <c:v>-13.6827009933262</c:v>
                </c:pt>
                <c:pt idx="942">
                  <c:v>-13.6942476268124</c:v>
                </c:pt>
                <c:pt idx="943">
                  <c:v>-13.7057942852102</c:v>
                </c:pt>
                <c:pt idx="944">
                  <c:v>-13.7173409685191</c:v>
                </c:pt>
                <c:pt idx="945">
                  <c:v>-13.7288876767387</c:v>
                </c:pt>
                <c:pt idx="946">
                  <c:v>-13.7404344098687</c:v>
                </c:pt>
                <c:pt idx="947">
                  <c:v>-13.7519811679086</c:v>
                </c:pt>
                <c:pt idx="948">
                  <c:v>-13.7635279508581</c:v>
                </c:pt>
                <c:pt idx="949">
                  <c:v>-13.7750747587168</c:v>
                </c:pt>
                <c:pt idx="950">
                  <c:v>-13.7866215914842</c:v>
                </c:pt>
                <c:pt idx="951">
                  <c:v>-13.79816844916</c:v>
                </c:pt>
                <c:pt idx="952">
                  <c:v>-13.8097153317438</c:v>
                </c:pt>
                <c:pt idx="953">
                  <c:v>-13.8212622392352</c:v>
                </c:pt>
                <c:pt idx="954">
                  <c:v>-13.8328091716338</c:v>
                </c:pt>
                <c:pt idx="955">
                  <c:v>-13.8443561289391</c:v>
                </c:pt>
                <c:pt idx="956">
                  <c:v>-13.8559031111509</c:v>
                </c:pt>
                <c:pt idx="957">
                  <c:v>-13.8674501182687</c:v>
                </c:pt>
                <c:pt idx="958">
                  <c:v>-13.8789971502921</c:v>
                </c:pt>
                <c:pt idx="959">
                  <c:v>-13.8905442072207</c:v>
                </c:pt>
                <c:pt idx="960">
                  <c:v>-13.9020912890542</c:v>
                </c:pt>
                <c:pt idx="961">
                  <c:v>-13.9136383957921</c:v>
                </c:pt>
                <c:pt idx="962">
                  <c:v>-13.925185527434</c:v>
                </c:pt>
                <c:pt idx="963">
                  <c:v>-13.9367326839796</c:v>
                </c:pt>
                <c:pt idx="964">
                  <c:v>-13.9482798654285</c:v>
                </c:pt>
                <c:pt idx="965">
                  <c:v>-13.9598270717801</c:v>
                </c:pt>
                <c:pt idx="966">
                  <c:v>-13.9713743030343</c:v>
                </c:pt>
                <c:pt idx="967">
                  <c:v>-13.9829215591905</c:v>
                </c:pt>
                <c:pt idx="968">
                  <c:v>-13.9944688402484</c:v>
                </c:pt>
                <c:pt idx="969">
                  <c:v>-14.0060161462076</c:v>
                </c:pt>
                <c:pt idx="970">
                  <c:v>-14.0175634770677</c:v>
                </c:pt>
                <c:pt idx="971">
                  <c:v>-14.0291108328283</c:v>
                </c:pt>
                <c:pt idx="972">
                  <c:v>-14.0406582134889</c:v>
                </c:pt>
                <c:pt idx="973">
                  <c:v>-14.0522056190493</c:v>
                </c:pt>
                <c:pt idx="974">
                  <c:v>-14.063753049509</c:v>
                </c:pt>
                <c:pt idx="975">
                  <c:v>-14.0753005048676</c:v>
                </c:pt>
                <c:pt idx="976">
                  <c:v>-14.0868479851247</c:v>
                </c:pt>
                <c:pt idx="977">
                  <c:v>-14.0983954902799</c:v>
                </c:pt>
                <c:pt idx="978">
                  <c:v>-14.1099430203329</c:v>
                </c:pt>
                <c:pt idx="979">
                  <c:v>-14.1214905752832</c:v>
                </c:pt>
                <c:pt idx="980">
                  <c:v>-14.1330381551305</c:v>
                </c:pt>
                <c:pt idx="981">
                  <c:v>-14.1445857598743</c:v>
                </c:pt>
                <c:pt idx="982">
                  <c:v>-14.1561333895143</c:v>
                </c:pt>
                <c:pt idx="983">
                  <c:v>-14.16768104405</c:v>
                </c:pt>
                <c:pt idx="984">
                  <c:v>-14.1792287234811</c:v>
                </c:pt>
                <c:pt idx="985">
                  <c:v>-14.1907764278072</c:v>
                </c:pt>
                <c:pt idx="986">
                  <c:v>-14.2023241570279</c:v>
                </c:pt>
                <c:pt idx="987">
                  <c:v>-14.2138719111427</c:v>
                </c:pt>
                <c:pt idx="988">
                  <c:v>-14.2254196901514</c:v>
                </c:pt>
                <c:pt idx="989">
                  <c:v>-14.2369674940534</c:v>
                </c:pt>
                <c:pt idx="990">
                  <c:v>-14.2485153228485</c:v>
                </c:pt>
                <c:pt idx="991">
                  <c:v>-14.2600631765361</c:v>
                </c:pt>
                <c:pt idx="992">
                  <c:v>-14.271611055116</c:v>
                </c:pt>
                <c:pt idx="993">
                  <c:v>-14.2831589585877</c:v>
                </c:pt>
                <c:pt idx="994">
                  <c:v>-14.2947068869509</c:v>
                </c:pt>
                <c:pt idx="995">
                  <c:v>-14.306254840205</c:v>
                </c:pt>
                <c:pt idx="996">
                  <c:v>-14.3178028183498</c:v>
                </c:pt>
                <c:pt idx="997">
                  <c:v>-14.3293508213849</c:v>
                </c:pt>
                <c:pt idx="998">
                  <c:v>-14.3408988493098</c:v>
                </c:pt>
                <c:pt idx="999">
                  <c:v>-14.3524469021241</c:v>
                </c:pt>
                <c:pt idx="1000">
                  <c:v>-14.3639949798276</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Calculs!$K$4:$K$1004</c:f>
              <c:numCache>
                <c:formatCode>General</c:formatCode>
                <c:ptCount val="1001"/>
                <c:pt idx="0">
                  <c:v>0</c:v>
                </c:pt>
                <c:pt idx="1">
                  <c:v>0.000809369121977596</c:v>
                </c:pt>
                <c:pt idx="2">
                  <c:v>0.00681497705424646</c:v>
                </c:pt>
                <c:pt idx="3">
                  <c:v>0.0237742342654421</c:v>
                </c:pt>
                <c:pt idx="4">
                  <c:v>0.0536390370688621</c:v>
                </c:pt>
                <c:pt idx="5">
                  <c:v>0.0959528173126447</c:v>
                </c:pt>
                <c:pt idx="6">
                  <c:v>0.150397298662818</c:v>
                </c:pt>
                <c:pt idx="7">
                  <c:v>0.216932234156586</c:v>
                </c:pt>
                <c:pt idx="8">
                  <c:v>0.295656592254106</c:v>
                </c:pt>
                <c:pt idx="9">
                  <c:v>0.386669378019447</c:v>
                </c:pt>
                <c:pt idx="10">
                  <c:v>0.490069630937058</c:v>
                </c:pt>
                <c:pt idx="11">
                  <c:v>0.605941961097425</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4.52381044693113</c:v>
                </c:pt>
                <c:pt idx="29">
                  <c:v>4.87051495281694</c:v>
                </c:pt>
                <c:pt idx="30">
                  <c:v>5.23023195522687</c:v>
                </c:pt>
                <c:pt idx="31">
                  <c:v>5.60297611074379</c:v>
                </c:pt>
                <c:pt idx="32">
                  <c:v>5.98876196007513</c:v>
                </c:pt>
                <c:pt idx="33">
                  <c:v>6.38760392523191</c:v>
                </c:pt>
                <c:pt idx="34">
                  <c:v>6.79951630690016</c:v>
                </c:pt>
                <c:pt idx="35">
                  <c:v>7.2245132819825</c:v>
                </c:pt>
                <c:pt idx="36">
                  <c:v>7.66260890129063</c:v>
                </c:pt>
                <c:pt idx="37">
                  <c:v>8.11381708737258</c:v>
                </c:pt>
                <c:pt idx="38">
                  <c:v>8.57815163246043</c:v>
                </c:pt>
                <c:pt idx="39">
                  <c:v>9.05562619652656</c:v>
                </c:pt>
                <c:pt idx="40">
                  <c:v>9.54625430543776</c:v>
                </c:pt>
                <c:pt idx="41">
                  <c:v>10.0500448353437</c:v>
                </c:pt>
                <c:pt idx="42">
                  <c:v>10.5669974874658</c:v>
                </c:pt>
                <c:pt idx="43">
                  <c:v>11.0971072870597</c:v>
                </c:pt>
                <c:pt idx="44">
                  <c:v>11.6403690924156</c:v>
                </c:pt>
                <c:pt idx="45">
                  <c:v>12.1967775939708</c:v>
                </c:pt>
                <c:pt idx="46">
                  <c:v>12.7663273134904</c:v>
                </c:pt>
                <c:pt idx="47">
                  <c:v>13.3490126033098</c:v>
                </c:pt>
                <c:pt idx="48">
                  <c:v>13.944827645637</c:v>
                </c:pt>
                <c:pt idx="49">
                  <c:v>14.5537664519077</c:v>
                </c:pt>
                <c:pt idx="50">
                  <c:v>15.1758228621925</c:v>
                </c:pt>
                <c:pt idx="51">
                  <c:v>15.8109905446507</c:v>
                </c:pt>
                <c:pt idx="52">
                  <c:v>16.4592629950292</c:v>
                </c:pt>
                <c:pt idx="53">
                  <c:v>17.1206335362031</c:v>
                </c:pt>
                <c:pt idx="54">
                  <c:v>17.795095317757</c:v>
                </c:pt>
                <c:pt idx="55">
                  <c:v>18.4826413156022</c:v>
                </c:pt>
                <c:pt idx="56">
                  <c:v>19.1832643316316</c:v>
                </c:pt>
                <c:pt idx="57">
                  <c:v>19.8969569934066</c:v>
                </c:pt>
                <c:pt idx="58">
                  <c:v>20.6237117538779</c:v>
                </c:pt>
                <c:pt idx="59">
                  <c:v>21.3635208911363</c:v>
                </c:pt>
                <c:pt idx="60">
                  <c:v>22.116376508193</c:v>
                </c:pt>
                <c:pt idx="61">
                  <c:v>22.8822705327891</c:v>
                </c:pt>
                <c:pt idx="62">
                  <c:v>23.6611947172314</c:v>
                </c:pt>
                <c:pt idx="63">
                  <c:v>24.4531406382549</c:v>
                </c:pt>
                <c:pt idx="64">
                  <c:v>25.2580996969102</c:v>
                </c:pt>
                <c:pt idx="65">
                  <c:v>26.0760631184758</c:v>
                </c:pt>
                <c:pt idx="66">
                  <c:v>26.9070219523937</c:v>
                </c:pt>
                <c:pt idx="67">
                  <c:v>27.7509670722276</c:v>
                </c:pt>
                <c:pt idx="68">
                  <c:v>28.6078891756439</c:v>
                </c:pt>
                <c:pt idx="69">
                  <c:v>29.4777787844132</c:v>
                </c:pt>
                <c:pt idx="70">
                  <c:v>30.3606262444339</c:v>
                </c:pt>
                <c:pt idx="71">
                  <c:v>31.2564217257753</c:v>
                </c:pt>
                <c:pt idx="72">
                  <c:v>32.1651552227409</c:v>
                </c:pt>
                <c:pt idx="73">
                  <c:v>33.0868165539511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47.3403191008921</c:v>
                </c:pt>
                <c:pt idx="88">
                  <c:v>48.4540382067721</c:v>
                </c:pt>
                <c:pt idx="89">
                  <c:v>49.5803513373839</c:v>
                </c:pt>
                <c:pt idx="90">
                  <c:v>50.7192268975048</c:v>
                </c:pt>
                <c:pt idx="91">
                  <c:v>51.8706310841689</c:v>
                </c:pt>
                <c:pt idx="92">
                  <c:v>53.0345258597699</c:v>
                </c:pt>
                <c:pt idx="93">
                  <c:v>54.2108709752172</c:v>
                </c:pt>
                <c:pt idx="94">
                  <c:v>55.3996259962981</c:v>
                </c:pt>
                <c:pt idx="95">
                  <c:v>56.6007503052889</c:v>
                </c:pt>
                <c:pt idx="96">
                  <c:v>57.8142031025794</c:v>
                </c:pt>
                <c:pt idx="97">
                  <c:v>59.0399434083093</c:v>
                </c:pt>
                <c:pt idx="98">
                  <c:v>60.2779300640165</c:v>
                </c:pt>
                <c:pt idx="99">
                  <c:v>61.5281217342969</c:v>
                </c:pt>
                <c:pt idx="100">
                  <c:v>62.7904769084752</c:v>
                </c:pt>
                <c:pt idx="101">
                  <c:v>64.0649535783243</c:v>
                </c:pt>
                <c:pt idx="102">
                  <c:v>65.3515089153761</c:v>
                </c:pt>
                <c:pt idx="103">
                  <c:v>66.6500995962024</c:v>
                </c:pt>
                <c:pt idx="104">
                  <c:v>67.9606821281556</c:v>
                </c:pt>
                <c:pt idx="105">
                  <c:v>69.2832128511519</c:v>
                </c:pt>
                <c:pt idx="106">
                  <c:v>70.617647939464</c:v>
                </c:pt>
                <c:pt idx="107">
                  <c:v>71.9639434035227</c:v>
                </c:pt>
                <c:pt idx="108">
                  <c:v>73.322055091726</c:v>
                </c:pt>
                <c:pt idx="109">
                  <c:v>74.6919386922565</c:v>
                </c:pt>
                <c:pt idx="110">
                  <c:v>76.0735497349065</c:v>
                </c:pt>
                <c:pt idx="111">
                  <c:v>77.4668473235084</c:v>
                </c:pt>
                <c:pt idx="112">
                  <c:v>78.8717978724917</c:v>
                </c:pt>
                <c:pt idx="113">
                  <c:v>80.2883713812461</c:v>
                </c:pt>
                <c:pt idx="114">
                  <c:v>81.7165377040319</c:v>
                </c:pt>
                <c:pt idx="115">
                  <c:v>83.1562665511598</c:v>
                </c:pt>
                <c:pt idx="116">
                  <c:v>84.6075274901793</c:v>
                </c:pt>
                <c:pt idx="117">
                  <c:v>86.070289947075</c:v>
                </c:pt>
                <c:pt idx="118">
                  <c:v>87.5445232074688</c:v>
                </c:pt>
                <c:pt idx="119">
                  <c:v>89.0301964178315</c:v>
                </c:pt>
                <c:pt idx="120">
                  <c:v>90.5272785866989</c:v>
                </c:pt>
                <c:pt idx="121">
                  <c:v>92.0357323971959</c:v>
                </c:pt>
                <c:pt idx="122">
                  <c:v>93.5555080137354</c:v>
                </c:pt>
                <c:pt idx="123">
                  <c:v>95.0865492687492</c:v>
                </c:pt>
                <c:pt idx="124">
                  <c:v>96.6287998558301</c:v>
                </c:pt>
                <c:pt idx="125">
                  <c:v>98.18220333213</c:v>
                </c:pt>
                <c:pt idx="126">
                  <c:v>99.7467031207575</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115.989223567471</c:v>
                </c:pt>
                <c:pt idx="137">
                  <c:v>117.671874993802</c:v>
                </c:pt>
                <c:pt idx="138">
                  <c:v>119.364888839612</c:v>
                </c:pt>
                <c:pt idx="139">
                  <c:v>121.068200522312</c:v>
                </c:pt>
                <c:pt idx="140">
                  <c:v>122.781745360408</c:v>
                </c:pt>
                <c:pt idx="141">
                  <c:v>124.505439197165</c:v>
                </c:pt>
                <c:pt idx="142">
                  <c:v>126.239159014771</c:v>
                </c:pt>
                <c:pt idx="143">
                  <c:v>127.982762322136</c:v>
                </c:pt>
                <c:pt idx="144">
                  <c:v>129.736106554507</c:v>
                </c:pt>
                <c:pt idx="145">
                  <c:v>131.499049080756</c:v>
                </c:pt>
                <c:pt idx="146">
                  <c:v>133.271447210596</c:v>
                </c:pt>
                <c:pt idx="147">
                  <c:v>135.053158201746</c:v>
                </c:pt>
                <c:pt idx="148">
                  <c:v>136.844039267026</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153.350498289288</c:v>
                </c:pt>
                <c:pt idx="158">
                  <c:v>155.224028762765</c:v>
                </c:pt>
                <c:pt idx="159">
                  <c:v>157.104056772517</c:v>
                </c:pt>
                <c:pt idx="160">
                  <c:v>158.99007313415</c:v>
                </c:pt>
                <c:pt idx="161">
                  <c:v>160.881452376397</c:v>
                </c:pt>
                <c:pt idx="162">
                  <c:v>162.777336189554</c:v>
                </c:pt>
                <c:pt idx="163">
                  <c:v>164.676761615208</c:v>
                </c:pt>
                <c:pt idx="164">
                  <c:v>166.578789170951</c:v>
                </c:pt>
                <c:pt idx="165">
                  <c:v>168.482603311807</c:v>
                </c:pt>
                <c:pt idx="166">
                  <c:v>170.387612715169</c:v>
                </c:pt>
                <c:pt idx="167">
                  <c:v>172.293253758675</c:v>
                </c:pt>
                <c:pt idx="168">
                  <c:v>174.198855599423</c:v>
                </c:pt>
                <c:pt idx="169">
                  <c:v>176.103550152462</c:v>
                </c:pt>
                <c:pt idx="170">
                  <c:v>178.00624363917</c:v>
                </c:pt>
                <c:pt idx="171">
                  <c:v>179.90617124101</c:v>
                </c:pt>
                <c:pt idx="172">
                  <c:v>181.803143928908</c:v>
                </c:pt>
                <c:pt idx="173">
                  <c:v>183.697168171124</c:v>
                </c:pt>
                <c:pt idx="174">
                  <c:v>185.588250410162</c:v>
                </c:pt>
                <c:pt idx="175">
                  <c:v>187.476397062908</c:v>
                </c:pt>
                <c:pt idx="176">
                  <c:v>189.361614520763</c:v>
                </c:pt>
                <c:pt idx="177">
                  <c:v>191.243909149777</c:v>
                </c:pt>
                <c:pt idx="178">
                  <c:v>193.123287290786</c:v>
                </c:pt>
                <c:pt idx="179">
                  <c:v>194.999755259537</c:v>
                </c:pt>
                <c:pt idx="180">
                  <c:v>196.873319346825</c:v>
                </c:pt>
                <c:pt idx="181">
                  <c:v>198.743985818621</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220.968216959713</c:v>
                </c:pt>
                <c:pt idx="194">
                  <c:v>222.801773570674</c:v>
                </c:pt>
                <c:pt idx="195">
                  <c:v>224.632517754234</c:v>
                </c:pt>
                <c:pt idx="196">
                  <c:v>226.460455419081</c:v>
                </c:pt>
                <c:pt idx="197">
                  <c:v>228.285592451052</c:v>
                </c:pt>
                <c:pt idx="198">
                  <c:v>230.107934713249</c:v>
                </c:pt>
                <c:pt idx="199">
                  <c:v>231.927488046157</c:v>
                </c:pt>
                <c:pt idx="200">
                  <c:v>233.744258267757</c:v>
                </c:pt>
                <c:pt idx="201">
                  <c:v>251.759338269024</c:v>
                </c:pt>
                <c:pt idx="202">
                  <c:v>269.499832784952</c:v>
                </c:pt>
                <c:pt idx="203">
                  <c:v>286.97134765305</c:v>
                </c:pt>
                <c:pt idx="204">
                  <c:v>304.179278247715</c:v>
                </c:pt>
                <c:pt idx="205">
                  <c:v>321.128819794228</c:v>
                </c:pt>
                <c:pt idx="206">
                  <c:v>337.824977049869</c:v>
                </c:pt>
                <c:pt idx="207">
                  <c:v>354.272573398403</c:v>
                </c:pt>
                <c:pt idx="208">
                  <c:v>370.476259400238</c:v>
                </c:pt>
                <c:pt idx="209">
                  <c:v>386.440520837068</c:v>
                </c:pt>
                <c:pt idx="210">
                  <c:v>402.169686286569</c:v>
                </c:pt>
                <c:pt idx="211">
                  <c:v>417.667934259837</c:v>
                </c:pt>
                <c:pt idx="212">
                  <c:v>432.939299931636</c:v>
                </c:pt>
                <c:pt idx="213">
                  <c:v>447.987681491085</c:v>
                </c:pt>
                <c:pt idx="214">
                  <c:v>462.816846138289</c:v>
                </c:pt>
                <c:pt idx="215">
                  <c:v>477.430435750407</c:v>
                </c:pt>
                <c:pt idx="216">
                  <c:v>491.831972238845</c:v>
                </c:pt>
                <c:pt idx="217">
                  <c:v>506.024862617608</c:v>
                </c:pt>
                <c:pt idx="218">
                  <c:v>520.012403801359</c:v>
                </c:pt>
                <c:pt idx="219">
                  <c:v>533.797787150326</c:v>
                </c:pt>
                <c:pt idx="220">
                  <c:v>547.384102777952</c:v>
                </c:pt>
                <c:pt idx="221">
                  <c:v>560.774343636018</c:v>
                </c:pt>
                <c:pt idx="222">
                  <c:v>573.971409390916</c:v>
                </c:pt>
                <c:pt idx="223">
                  <c:v>586.978110103761</c:v>
                </c:pt>
                <c:pt idx="224">
                  <c:v>599.797169726151</c:v>
                </c:pt>
                <c:pt idx="225">
                  <c:v>612.431229422539</c:v>
                </c:pt>
                <c:pt idx="226">
                  <c:v>624.882850729448</c:v>
                </c:pt>
                <c:pt idx="227">
                  <c:v>637.154518561036</c:v>
                </c:pt>
                <c:pt idx="228">
                  <c:v>649.248644069885</c:v>
                </c:pt>
                <c:pt idx="229">
                  <c:v>661.167567371297</c:v>
                </c:pt>
                <c:pt idx="230">
                  <c:v>672.913560138816</c:v>
                </c:pt>
                <c:pt idx="231">
                  <c:v>684.488828078198</c:v>
                </c:pt>
                <c:pt idx="232">
                  <c:v>695.895513286582</c:v>
                </c:pt>
                <c:pt idx="233">
                  <c:v>707.135696503156</c:v>
                </c:pt>
                <c:pt idx="234">
                  <c:v>718.211399257249</c:v>
                </c:pt>
                <c:pt idx="235">
                  <c:v>729.124585919368</c:v>
                </c:pt>
                <c:pt idx="236">
                  <c:v>739.877165660366</c:v>
                </c:pt>
                <c:pt idx="237">
                  <c:v>750.470994323609</c:v>
                </c:pt>
                <c:pt idx="238">
                  <c:v>760.907876214706</c:v>
                </c:pt>
                <c:pt idx="239">
                  <c:v>771.189565813081</c:v>
                </c:pt>
                <c:pt idx="240">
                  <c:v>781.317769409413</c:v>
                </c:pt>
                <c:pt idx="241">
                  <c:v>791.294146672729</c:v>
                </c:pt>
                <c:pt idx="242">
                  <c:v>801.120312150711</c:v>
                </c:pt>
                <c:pt idx="243">
                  <c:v>810.797836706551</c:v>
                </c:pt>
                <c:pt idx="244">
                  <c:v>820.328248895524</c:v>
                </c:pt>
                <c:pt idx="245">
                  <c:v>829.713036284235</c:v>
                </c:pt>
                <c:pt idx="246">
                  <c:v>838.953646715341</c:v>
                </c:pt>
                <c:pt idx="247">
                  <c:v>848.051489520393</c:v>
                </c:pt>
                <c:pt idx="248">
                  <c:v>857.007936683274</c:v>
                </c:pt>
                <c:pt idx="249">
                  <c:v>865.824323956595</c:v>
                </c:pt>
                <c:pt idx="250">
                  <c:v>874.501951933264</c:v>
                </c:pt>
                <c:pt idx="251">
                  <c:v>883.042087075321</c:v>
                </c:pt>
                <c:pt idx="252">
                  <c:v>891.445962702023</c:v>
                </c:pt>
                <c:pt idx="253">
                  <c:v>899.714779939057</c:v>
                </c:pt>
                <c:pt idx="254">
                  <c:v>907.849708630642</c:v>
                </c:pt>
                <c:pt idx="255">
                  <c:v>915.851888216219</c:v>
                </c:pt>
                <c:pt idx="256">
                  <c:v>923.722428573292</c:v>
                </c:pt>
                <c:pt idx="257">
                  <c:v>931.462410827955</c:v>
                </c:pt>
                <c:pt idx="258">
                  <c:v>939.072888134509</c:v>
                </c:pt>
                <c:pt idx="259">
                  <c:v>946.554886425535</c:v>
                </c:pt>
                <c:pt idx="260">
                  <c:v>953.909405133704</c:v>
                </c:pt>
                <c:pt idx="261">
                  <c:v>961.137417886551</c:v>
                </c:pt>
                <c:pt idx="262">
                  <c:v>968.239873175354</c:v>
                </c:pt>
                <c:pt idx="263">
                  <c:v>975.217694999242</c:v>
                </c:pt>
                <c:pt idx="264">
                  <c:v>982.071783485561</c:v>
                </c:pt>
                <c:pt idx="265">
                  <c:v>988.803015487493</c:v>
                </c:pt>
                <c:pt idx="266">
                  <c:v>995.412245159895</c:v>
                </c:pt>
                <c:pt idx="267">
                  <c:v>1001.90030451423</c:v>
                </c:pt>
                <c:pt idx="268">
                  <c:v>1008.26800395349</c:v>
                </c:pt>
                <c:pt idx="269">
                  <c:v>1014.51613278786</c:v>
                </c:pt>
                <c:pt idx="270">
                  <c:v>1020.64545973203</c:v>
                </c:pt>
                <c:pt idx="271">
                  <c:v>1026.65673338474</c:v>
                </c:pt>
                <c:pt idx="272">
                  <c:v>1032.55068269141</c:v>
                </c:pt>
                <c:pt idx="273">
                  <c:v>1038.32801739047</c:v>
                </c:pt>
                <c:pt idx="274">
                  <c:v>1043.98942844403</c:v>
                </c:pt>
                <c:pt idx="275">
                  <c:v>1049.53558845364</c:v>
                </c:pt>
                <c:pt idx="276">
                  <c:v>1054.96715206147</c:v>
                </c:pt>
                <c:pt idx="277">
                  <c:v>1060.28475633787</c:v>
                </c:pt>
                <c:pt idx="278">
                  <c:v>1065.48902115551</c:v>
                </c:pt>
                <c:pt idx="279">
                  <c:v>1070.58054955085</c:v>
                </c:pt>
                <c:pt idx="280">
                  <c:v>1075.55992807338</c:v>
                </c:pt>
                <c:pt idx="281">
                  <c:v>1080.42772712318</c:v>
                </c:pt>
                <c:pt idx="282">
                  <c:v>1085.18450127717</c:v>
                </c:pt>
                <c:pt idx="283">
                  <c:v>1089.83078960477</c:v>
                </c:pt>
                <c:pt idx="284">
                  <c:v>1094.36711597305</c:v>
                </c:pt>
                <c:pt idx="285">
                  <c:v>1098.79398934229</c:v>
                </c:pt>
                <c:pt idx="286">
                  <c:v>1103.11190405194</c:v>
                </c:pt>
                <c:pt idx="287">
                  <c:v>1107.32134009781</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1140.3971564499</c:v>
                </c:pt>
                <c:pt idx="297">
                  <c:v>1143.54523245974</c:v>
                </c:pt>
                <c:pt idx="298">
                  <c:v>1146.58923471149</c:v>
                </c:pt>
                <c:pt idx="299">
                  <c:v>1149.52949004743</c:v>
                </c:pt>
                <c:pt idx="300">
                  <c:v>1152.36631396239</c:v>
                </c:pt>
                <c:pt idx="301">
                  <c:v>1155.1000108056</c:v>
                </c:pt>
                <c:pt idx="302">
                  <c:v>1157.73087398174</c:v>
                </c:pt>
                <c:pt idx="303">
                  <c:v>1160.2591861519</c:v>
                </c:pt>
                <c:pt idx="304">
                  <c:v>1162.68521943538</c:v>
                </c:pt>
                <c:pt idx="305">
                  <c:v>1165.00923561341</c:v>
                </c:pt>
                <c:pt idx="306">
                  <c:v>1167.23148633575</c:v>
                </c:pt>
                <c:pt idx="307">
                  <c:v>1169.35221333152</c:v>
                </c:pt>
                <c:pt idx="308">
                  <c:v>1171.37164862532</c:v>
                </c:pt>
                <c:pt idx="309">
                  <c:v>1173.29001476041</c:v>
                </c:pt>
                <c:pt idx="310">
                  <c:v>1175.1075250301</c:v>
                </c:pt>
                <c:pt idx="311">
                  <c:v>1176.82438371933</c:v>
                </c:pt>
                <c:pt idx="312">
                  <c:v>1178.44078635796</c:v>
                </c:pt>
                <c:pt idx="313">
                  <c:v>1179.95691998779</c:v>
                </c:pt>
                <c:pt idx="314">
                  <c:v>1181.3729634453</c:v>
                </c:pt>
                <c:pt idx="315">
                  <c:v>1182.68908766194</c:v>
                </c:pt>
                <c:pt idx="316">
                  <c:v>1183.90545598429</c:v>
                </c:pt>
                <c:pt idx="317">
                  <c:v>1185.02222451576</c:v>
                </c:pt>
                <c:pt idx="318">
                  <c:v>1186.03954248212</c:v>
                </c:pt>
                <c:pt idx="319">
                  <c:v>1186.95755262217</c:v>
                </c:pt>
                <c:pt idx="320">
                  <c:v>1187.77639160531</c:v>
                </c:pt>
                <c:pt idx="321">
                  <c:v>1188.4961904768</c:v>
                </c:pt>
                <c:pt idx="322">
                  <c:v>1189.1170751314</c:v>
                </c:pt>
                <c:pt idx="323">
                  <c:v>1189.63916681507</c:v>
                </c:pt>
                <c:pt idx="324">
                  <c:v>1190.06258265402</c:v>
                </c:pt>
                <c:pt idx="325">
                  <c:v>1190.38743620944</c:v>
                </c:pt>
                <c:pt idx="326">
                  <c:v>1190.61383805511</c:v>
                </c:pt>
                <c:pt idx="327">
                  <c:v>1190.7418963748</c:v>
                </c:pt>
                <c:pt idx="328">
                  <c:v>1190.77171757483</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1182.26879748705</c:v>
                </c:pt>
                <c:pt idx="342">
                  <c:v>1180.93491877981</c:v>
                </c:pt>
                <c:pt idx="343">
                  <c:v>1179.50458700375</c:v>
                </c:pt>
                <c:pt idx="344">
                  <c:v>1177.97795584974</c:v>
                </c:pt>
                <c:pt idx="345">
                  <c:v>1176.35518532768</c:v>
                </c:pt>
                <c:pt idx="346">
                  <c:v>1174.6364419696</c:v>
                </c:pt>
                <c:pt idx="347">
                  <c:v>1172.82189900575</c:v>
                </c:pt>
                <c:pt idx="348">
                  <c:v>1170.91173651566</c:v>
                </c:pt>
                <c:pt idx="349">
                  <c:v>1168.90614155618</c:v>
                </c:pt>
                <c:pt idx="350">
                  <c:v>1166.8053082684</c:v>
                </c:pt>
                <c:pt idx="351">
                  <c:v>1164.60943796536</c:v>
                </c:pt>
                <c:pt idx="352">
                  <c:v>1162.31873920221</c:v>
                </c:pt>
                <c:pt idx="353">
                  <c:v>1159.93342783038</c:v>
                </c:pt>
                <c:pt idx="354">
                  <c:v>1157.4537270373</c:v>
                </c:pt>
                <c:pt idx="355">
                  <c:v>1154.87986737299</c:v>
                </c:pt>
                <c:pt idx="356">
                  <c:v>1152.2120867646</c:v>
                </c:pt>
                <c:pt idx="357">
                  <c:v>1149.45063052023</c:v>
                </c:pt>
                <c:pt idx="358">
                  <c:v>1146.59575132278</c:v>
                </c:pt>
                <c:pt idx="359">
                  <c:v>1143.6477092149</c:v>
                </c:pt>
                <c:pt idx="360">
                  <c:v>1140.60677157566</c:v>
                </c:pt>
                <c:pt idx="361">
                  <c:v>1137.47321308986</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1084.04899249818</c:v>
                </c:pt>
                <c:pt idx="376">
                  <c:v>1079.56389079921</c:v>
                </c:pt>
                <c:pt idx="377">
                  <c:v>1074.99151054388</c:v>
                </c:pt>
                <c:pt idx="378">
                  <c:v>1070.33224096776</c:v>
                </c:pt>
                <c:pt idx="379">
                  <c:v>1065.58647727694</c:v>
                </c:pt>
                <c:pt idx="380">
                  <c:v>1060.75462054727</c:v>
                </c:pt>
                <c:pt idx="381">
                  <c:v>1055.83707762198</c:v>
                </c:pt>
                <c:pt idx="382">
                  <c:v>1050.83426100772</c:v>
                </c:pt>
                <c:pt idx="383">
                  <c:v>1045.74658876908</c:v>
                </c:pt>
                <c:pt idx="384">
                  <c:v>1040.57448442188</c:v>
                </c:pt>
                <c:pt idx="385">
                  <c:v>1035.31837682509</c:v>
                </c:pt>
                <c:pt idx="386">
                  <c:v>1029.97870007167</c:v>
                </c:pt>
                <c:pt idx="387">
                  <c:v>1024.5558933783</c:v>
                </c:pt>
                <c:pt idx="388">
                  <c:v>1019.05040097411</c:v>
                </c:pt>
                <c:pt idx="389">
                  <c:v>1013.4626719886</c:v>
                </c:pt>
                <c:pt idx="390">
                  <c:v>1007.79316033861</c:v>
                </c:pt>
                <c:pt idx="391">
                  <c:v>1002.04232461467</c:v>
                </c:pt>
                <c:pt idx="392">
                  <c:v>996.210627966583</c:v>
                </c:pt>
                <c:pt idx="393">
                  <c:v>990.29853798852</c:v>
                </c:pt>
                <c:pt idx="394">
                  <c:v>984.306526603507</c:v>
                </c:pt>
                <c:pt idx="395">
                  <c:v>978.235069947512</c:v>
                </c:pt>
                <c:pt idx="396">
                  <c:v>972.084648253135</c:v>
                </c:pt>
                <c:pt idx="397">
                  <c:v>965.855745732987</c:v>
                </c:pt>
                <c:pt idx="398">
                  <c:v>959.548850462818</c:v>
                </c:pt>
                <c:pt idx="399">
                  <c:v>953.164454264457</c:v>
                </c:pt>
                <c:pt idx="400">
                  <c:v>946.703052588626</c:v>
                </c:pt>
                <c:pt idx="401">
                  <c:v>940.165144397693</c:v>
                </c:pt>
                <c:pt idx="402">
                  <c:v>933.551232048414</c:v>
                </c:pt>
                <c:pt idx="403">
                  <c:v>926.861821174727</c:v>
                </c:pt>
                <c:pt idx="404">
                  <c:v>920.097420570659</c:v>
                </c:pt>
                <c:pt idx="405">
                  <c:v>913.258542073387</c:v>
                </c:pt>
                <c:pt idx="406">
                  <c:v>906.345700446519</c:v>
                </c:pt>
                <c:pt idx="407">
                  <c:v>899.359413263647</c:v>
                </c:pt>
                <c:pt idx="408">
                  <c:v>892.300200792209</c:v>
                </c:pt>
                <c:pt idx="409">
                  <c:v>885.168585877736</c:v>
                </c:pt>
                <c:pt idx="410">
                  <c:v>877.965093828501</c:v>
                </c:pt>
                <c:pt idx="411">
                  <c:v>870.690252300642</c:v>
                </c:pt>
                <c:pt idx="412">
                  <c:v>863.344591183802</c:v>
                </c:pt>
                <c:pt idx="413">
                  <c:v>855.928642487311</c:v>
                </c:pt>
                <c:pt idx="414">
                  <c:v>848.442940226982</c:v>
                </c:pt>
                <c:pt idx="415">
                  <c:v>840.888020312549</c:v>
                </c:pt>
                <c:pt idx="416">
                  <c:v>833.264420435784</c:v>
                </c:pt>
                <c:pt idx="417">
                  <c:v>825.572679959345</c:v>
                </c:pt>
                <c:pt idx="418">
                  <c:v>817.813339806387</c:v>
                </c:pt>
                <c:pt idx="419">
                  <c:v>809.986942350978</c:v>
                </c:pt>
                <c:pt idx="420">
                  <c:v>802.094031309351</c:v>
                </c:pt>
                <c:pt idx="421">
                  <c:v>794.135151632036</c:v>
                </c:pt>
                <c:pt idx="422">
                  <c:v>786.110849396899</c:v>
                </c:pt>
                <c:pt idx="423">
                  <c:v>778.021671703125</c:v>
                </c:pt>
                <c:pt idx="424">
                  <c:v>769.868166566178</c:v>
                </c:pt>
                <c:pt idx="425">
                  <c:v>761.650882813765</c:v>
                </c:pt>
                <c:pt idx="426">
                  <c:v>753.370369982843</c:v>
                </c:pt>
                <c:pt idx="427">
                  <c:v>745.027178217683</c:v>
                </c:pt>
                <c:pt idx="428">
                  <c:v>736.621858169034</c:v>
                </c:pt>
                <c:pt idx="429">
                  <c:v>728.154960894401</c:v>
                </c:pt>
                <c:pt idx="430">
                  <c:v>719.627037759474</c:v>
                </c:pt>
                <c:pt idx="431">
                  <c:v>711.038640340723</c:v>
                </c:pt>
                <c:pt idx="432">
                  <c:v>702.390320329184</c:v>
                </c:pt>
                <c:pt idx="433">
                  <c:v>693.682629435462</c:v>
                </c:pt>
                <c:pt idx="434">
                  <c:v>684.916119295969</c:v>
                </c:pt>
                <c:pt idx="435">
                  <c:v>676.091341380416</c:v>
                </c:pt>
                <c:pt idx="436">
                  <c:v>667.208846900577</c:v>
                </c:pt>
                <c:pt idx="437">
                  <c:v>658.269186720353</c:v>
                </c:pt>
                <c:pt idx="438">
                  <c:v>649.272911267134</c:v>
                </c:pt>
                <c:pt idx="439">
                  <c:v>640.220570444489</c:v>
                </c:pt>
                <c:pt idx="440">
                  <c:v>631.112713546196</c:v>
                </c:pt>
                <c:pt idx="441">
                  <c:v>621.949889171623</c:v>
                </c:pt>
                <c:pt idx="442">
                  <c:v>612.73264514247</c:v>
                </c:pt>
                <c:pt idx="443">
                  <c:v>603.461528420892</c:v>
                </c:pt>
                <c:pt idx="444">
                  <c:v>594.137085029004</c:v>
                </c:pt>
                <c:pt idx="445">
                  <c:v>584.759859969784</c:v>
                </c:pt>
                <c:pt idx="446">
                  <c:v>575.330397149381</c:v>
                </c:pt>
                <c:pt idx="447">
                  <c:v>565.849239300835</c:v>
                </c:pt>
                <c:pt idx="448">
                  <c:v>556.31692790921</c:v>
                </c:pt>
                <c:pt idx="449">
                  <c:v>546.734003138163</c:v>
                </c:pt>
                <c:pt idx="450">
                  <c:v>537.101003757933</c:v>
                </c:pt>
                <c:pt idx="451">
                  <c:v>527.418467074768</c:v>
                </c:pt>
                <c:pt idx="452">
                  <c:v>517.686928861784</c:v>
                </c:pt>
                <c:pt idx="453">
                  <c:v>507.906923291271</c:v>
                </c:pt>
                <c:pt idx="454">
                  <c:v>498.078982868434</c:v>
                </c:pt>
                <c:pt idx="455">
                  <c:v>488.203638366576</c:v>
                </c:pt>
                <c:pt idx="456">
                  <c:v>478.281418763721</c:v>
                </c:pt>
                <c:pt idx="457">
                  <c:v>468.312851180684</c:v>
                </c:pt>
                <c:pt idx="458">
                  <c:v>458.298460820569</c:v>
                </c:pt>
                <c:pt idx="459">
                  <c:v>448.238770909716</c:v>
                </c:pt>
                <c:pt idx="460">
                  <c:v>438.134302640069</c:v>
                </c:pt>
                <c:pt idx="461">
                  <c:v>427.985575112982</c:v>
                </c:pt>
                <c:pt idx="462">
                  <c:v>417.79310528445</c:v>
                </c:pt>
                <c:pt idx="463">
                  <c:v>407.557407911754</c:v>
                </c:pt>
                <c:pt idx="464">
                  <c:v>397.278995501528</c:v>
                </c:pt>
                <c:pt idx="465">
                  <c:v>386.95837825923</c:v>
                </c:pt>
                <c:pt idx="466">
                  <c:v>376.596064040011</c:v>
                </c:pt>
                <c:pt idx="467">
                  <c:v>366.192558300989</c:v>
                </c:pt>
                <c:pt idx="468">
                  <c:v>355.748364054895</c:v>
                </c:pt>
                <c:pt idx="469">
                  <c:v>345.263981825105</c:v>
                </c:pt>
                <c:pt idx="470">
                  <c:v>334.739909602037</c:v>
                </c:pt>
                <c:pt idx="471">
                  <c:v>324.176642800906</c:v>
                </c:pt>
                <c:pt idx="472">
                  <c:v>313.574674220831</c:v>
                </c:pt>
                <c:pt idx="473">
                  <c:v>302.934494005271</c:v>
                </c:pt>
                <c:pt idx="474">
                  <c:v>292.256589603796</c:v>
                </c:pt>
                <c:pt idx="475">
                  <c:v>281.541445735168</c:v>
                </c:pt>
                <c:pt idx="476">
                  <c:v>270.789544351731</c:v>
                </c:pt>
                <c:pt idx="477">
                  <c:v>260.001364605083</c:v>
                </c:pt>
                <c:pt idx="478">
                  <c:v>249.177382813035</c:v>
                </c:pt>
                <c:pt idx="479">
                  <c:v>238.31807242783</c:v>
                </c:pt>
                <c:pt idx="480">
                  <c:v>227.423904005614</c:v>
                </c:pt>
                <c:pt idx="481">
                  <c:v>216.49534517715</c:v>
                </c:pt>
                <c:pt idx="482">
                  <c:v>205.53286061975</c:v>
                </c:pt>
                <c:pt idx="483">
                  <c:v>194.536912030422</c:v>
                </c:pt>
                <c:pt idx="484">
                  <c:v>183.507958100208</c:v>
                </c:pt>
                <c:pt idx="485">
                  <c:v>172.446454489711</c:v>
                </c:pt>
                <c:pt idx="486">
                  <c:v>161.352853805774</c:v>
                </c:pt>
                <c:pt idx="487">
                  <c:v>150.227605579323</c:v>
                </c:pt>
                <c:pt idx="488">
                  <c:v>139.071156244339</c:v>
                </c:pt>
                <c:pt idx="489">
                  <c:v>127.883949117947</c:v>
                </c:pt>
                <c:pt idx="490">
                  <c:v>116.666424381613</c:v>
                </c:pt>
                <c:pt idx="491">
                  <c:v>105.41901906343</c:v>
                </c:pt>
                <c:pt idx="492">
                  <c:v>94.1421670214652</c:v>
                </c:pt>
                <c:pt idx="493">
                  <c:v>82.8362989281763</c:v>
                </c:pt>
                <c:pt idx="494">
                  <c:v>71.5018422558558</c:v>
                </c:pt>
                <c:pt idx="495">
                  <c:v>60.1392212631031</c:v>
                </c:pt>
                <c:pt idx="496">
                  <c:v>48.7488569822998</c:v>
                </c:pt>
                <c:pt idx="497">
                  <c:v>37.3311672080754</c:v>
                </c:pt>
                <c:pt idx="498">
                  <c:v>25.8865664867444</c:v>
                </c:pt>
                <c:pt idx="499">
                  <c:v>14.4154661066991</c:v>
                </c:pt>
                <c:pt idx="500">
                  <c:v>2.91827408974138</c:v>
                </c:pt>
                <c:pt idx="501">
                  <c:v>-8.60460481666437</c:v>
                </c:pt>
                <c:pt idx="502">
                  <c:v>-8.61614045078113</c:v>
                </c:pt>
                <c:pt idx="503">
                  <c:v>-8.62767610998321</c:v>
                </c:pt>
                <c:pt idx="504">
                  <c:v>-8.63921179427021</c:v>
                </c:pt>
                <c:pt idx="505">
                  <c:v>-8.65074750364173</c:v>
                </c:pt>
                <c:pt idx="506">
                  <c:v>-8.66228323809738</c:v>
                </c:pt>
                <c:pt idx="507">
                  <c:v>-8.67381899763675</c:v>
                </c:pt>
                <c:pt idx="508">
                  <c:v>-8.68535478225947</c:v>
                </c:pt>
                <c:pt idx="509">
                  <c:v>-8.69689059196512</c:v>
                </c:pt>
                <c:pt idx="510">
                  <c:v>-8.70842642675331</c:v>
                </c:pt>
                <c:pt idx="511">
                  <c:v>-8.71996228662365</c:v>
                </c:pt>
                <c:pt idx="512">
                  <c:v>-8.73149817157575</c:v>
                </c:pt>
                <c:pt idx="513">
                  <c:v>-8.7430340816092</c:v>
                </c:pt>
                <c:pt idx="514">
                  <c:v>-8.75457001672361</c:v>
                </c:pt>
                <c:pt idx="515">
                  <c:v>-8.76610597691859</c:v>
                </c:pt>
                <c:pt idx="516">
                  <c:v>-8.77764196219374</c:v>
                </c:pt>
                <c:pt idx="517">
                  <c:v>-8.78917797254866</c:v>
                </c:pt>
                <c:pt idx="518">
                  <c:v>-8.80071400798296</c:v>
                </c:pt>
                <c:pt idx="519">
                  <c:v>-8.81225006849624</c:v>
                </c:pt>
                <c:pt idx="520">
                  <c:v>-8.82378615408811</c:v>
                </c:pt>
                <c:pt idx="521">
                  <c:v>-8.83532226475818</c:v>
                </c:pt>
                <c:pt idx="522">
                  <c:v>-8.84685840050604</c:v>
                </c:pt>
                <c:pt idx="523">
                  <c:v>-8.85839456133129</c:v>
                </c:pt>
                <c:pt idx="524">
                  <c:v>-8.86993074723356</c:v>
                </c:pt>
                <c:pt idx="525">
                  <c:v>-8.88146695821243</c:v>
                </c:pt>
                <c:pt idx="526">
                  <c:v>-8.89300319426752</c:v>
                </c:pt>
                <c:pt idx="527">
                  <c:v>-8.90453945539842</c:v>
                </c:pt>
                <c:pt idx="528">
                  <c:v>-8.91607574160475</c:v>
                </c:pt>
                <c:pt idx="529">
                  <c:v>-8.9276120528861</c:v>
                </c:pt>
                <c:pt idx="530">
                  <c:v>-8.93914838924208</c:v>
                </c:pt>
                <c:pt idx="531">
                  <c:v>-8.9506847506723</c:v>
                </c:pt>
                <c:pt idx="532">
                  <c:v>-8.96222113717636</c:v>
                </c:pt>
                <c:pt idx="533">
                  <c:v>-8.97375754875387</c:v>
                </c:pt>
                <c:pt idx="534">
                  <c:v>-8.98529398540442</c:v>
                </c:pt>
                <c:pt idx="535">
                  <c:v>-8.99683044712763</c:v>
                </c:pt>
                <c:pt idx="536">
                  <c:v>-9.00836693392309</c:v>
                </c:pt>
                <c:pt idx="537">
                  <c:v>-9.01990344579042</c:v>
                </c:pt>
                <c:pt idx="538">
                  <c:v>-9.03143998272921</c:v>
                </c:pt>
                <c:pt idx="539">
                  <c:v>-9.04297654473908</c:v>
                </c:pt>
                <c:pt idx="540">
                  <c:v>-9.05451313181962</c:v>
                </c:pt>
                <c:pt idx="541">
                  <c:v>-9.06604974397043</c:v>
                </c:pt>
                <c:pt idx="542">
                  <c:v>-9.07758638119114</c:v>
                </c:pt>
                <c:pt idx="543">
                  <c:v>-9.08912304348133</c:v>
                </c:pt>
                <c:pt idx="544">
                  <c:v>-9.10065973084062</c:v>
                </c:pt>
                <c:pt idx="545">
                  <c:v>-9.1121964432686</c:v>
                </c:pt>
                <c:pt idx="546">
                  <c:v>-9.12373318076488</c:v>
                </c:pt>
                <c:pt idx="547">
                  <c:v>-9.13526994332908</c:v>
                </c:pt>
                <c:pt idx="548">
                  <c:v>-9.14680673096078</c:v>
                </c:pt>
                <c:pt idx="549">
                  <c:v>-9.1583435436596</c:v>
                </c:pt>
                <c:pt idx="550">
                  <c:v>-9.16988038142514</c:v>
                </c:pt>
                <c:pt idx="551">
                  <c:v>-9.181417244257</c:v>
                </c:pt>
                <c:pt idx="552">
                  <c:v>-9.19295413215479</c:v>
                </c:pt>
                <c:pt idx="553">
                  <c:v>-9.20449104511812</c:v>
                </c:pt>
                <c:pt idx="554">
                  <c:v>-9.21602798314658</c:v>
                </c:pt>
                <c:pt idx="555">
                  <c:v>-9.22756494623979</c:v>
                </c:pt>
                <c:pt idx="556">
                  <c:v>-9.23910193439734</c:v>
                </c:pt>
                <c:pt idx="557">
                  <c:v>-9.25063894761885</c:v>
                </c:pt>
                <c:pt idx="558">
                  <c:v>-9.26217598590391</c:v>
                </c:pt>
                <c:pt idx="559">
                  <c:v>-9.27371304925213</c:v>
                </c:pt>
                <c:pt idx="560">
                  <c:v>-9.28525013766312</c:v>
                </c:pt>
                <c:pt idx="561">
                  <c:v>-9.29678725113647</c:v>
                </c:pt>
                <c:pt idx="562">
                  <c:v>-9.3083243896718</c:v>
                </c:pt>
                <c:pt idx="563">
                  <c:v>-9.31986155326871</c:v>
                </c:pt>
                <c:pt idx="564">
                  <c:v>-9.3313987419268</c:v>
                </c:pt>
                <c:pt idx="565">
                  <c:v>-9.34293595564568</c:v>
                </c:pt>
                <c:pt idx="566">
                  <c:v>-9.35447319442495</c:v>
                </c:pt>
                <c:pt idx="567">
                  <c:v>-9.36601045826422</c:v>
                </c:pt>
                <c:pt idx="568">
                  <c:v>-9.37754774716309</c:v>
                </c:pt>
                <c:pt idx="569">
                  <c:v>-9.38908506112117</c:v>
                </c:pt>
                <c:pt idx="570">
                  <c:v>-9.40062240013805</c:v>
                </c:pt>
                <c:pt idx="571">
                  <c:v>-9.41215976421335</c:v>
                </c:pt>
                <c:pt idx="572">
                  <c:v>-9.42369715334667</c:v>
                </c:pt>
                <c:pt idx="573">
                  <c:v>-9.43523456753761</c:v>
                </c:pt>
                <c:pt idx="574">
                  <c:v>-9.44677200678578</c:v>
                </c:pt>
                <c:pt idx="575">
                  <c:v>-9.45830947109079</c:v>
                </c:pt>
                <c:pt idx="576">
                  <c:v>-9.46984696045223</c:v>
                </c:pt>
                <c:pt idx="577">
                  <c:v>-9.48138447486971</c:v>
                </c:pt>
                <c:pt idx="578">
                  <c:v>-9.49292201434285</c:v>
                </c:pt>
                <c:pt idx="579">
                  <c:v>-9.50445957887123</c:v>
                </c:pt>
                <c:pt idx="580">
                  <c:v>-9.51599716845447</c:v>
                </c:pt>
                <c:pt idx="581">
                  <c:v>-9.52753478309216</c:v>
                </c:pt>
                <c:pt idx="582">
                  <c:v>-9.53907242278393</c:v>
                </c:pt>
                <c:pt idx="583">
                  <c:v>-9.55061008752936</c:v>
                </c:pt>
                <c:pt idx="584">
                  <c:v>-9.56214777732807</c:v>
                </c:pt>
                <c:pt idx="585">
                  <c:v>-9.57368549217965</c:v>
                </c:pt>
                <c:pt idx="586">
                  <c:v>-9.58522323208372</c:v>
                </c:pt>
                <c:pt idx="587">
                  <c:v>-9.59676099703988</c:v>
                </c:pt>
                <c:pt idx="588">
                  <c:v>-9.60829878704773</c:v>
                </c:pt>
                <c:pt idx="589">
                  <c:v>-9.61983660210688</c:v>
                </c:pt>
                <c:pt idx="590">
                  <c:v>-9.63137444221692</c:v>
                </c:pt>
                <c:pt idx="591">
                  <c:v>-9.64291230737748</c:v>
                </c:pt>
                <c:pt idx="592">
                  <c:v>-9.65445019758814</c:v>
                </c:pt>
                <c:pt idx="593">
                  <c:v>-9.66598811284853</c:v>
                </c:pt>
                <c:pt idx="594">
                  <c:v>-9.67752605315823</c:v>
                </c:pt>
                <c:pt idx="595">
                  <c:v>-9.68906401851685</c:v>
                </c:pt>
                <c:pt idx="596">
                  <c:v>-9.70060200892401</c:v>
                </c:pt>
                <c:pt idx="597">
                  <c:v>-9.7121400243793</c:v>
                </c:pt>
                <c:pt idx="598">
                  <c:v>-9.72367806488233</c:v>
                </c:pt>
                <c:pt idx="599">
                  <c:v>-9.7352161304327</c:v>
                </c:pt>
                <c:pt idx="600">
                  <c:v>-9.74675422103002</c:v>
                </c:pt>
                <c:pt idx="601">
                  <c:v>-9.75829233667389</c:v>
                </c:pt>
                <c:pt idx="602">
                  <c:v>-9.76983047736392</c:v>
                </c:pt>
                <c:pt idx="603">
                  <c:v>-9.78136864309971</c:v>
                </c:pt>
                <c:pt idx="604">
                  <c:v>-9.79290683388087</c:v>
                </c:pt>
                <c:pt idx="605">
                  <c:v>-9.804445049707</c:v>
                </c:pt>
                <c:pt idx="606">
                  <c:v>-9.8159832905777</c:v>
                </c:pt>
                <c:pt idx="607">
                  <c:v>-9.82752155649259</c:v>
                </c:pt>
                <c:pt idx="608">
                  <c:v>-9.83905984745126</c:v>
                </c:pt>
                <c:pt idx="609">
                  <c:v>-9.85059816345332</c:v>
                </c:pt>
                <c:pt idx="610">
                  <c:v>-9.86213650449837</c:v>
                </c:pt>
                <c:pt idx="611">
                  <c:v>-9.87367487058603</c:v>
                </c:pt>
                <c:pt idx="612">
                  <c:v>-9.88521326171589</c:v>
                </c:pt>
                <c:pt idx="613">
                  <c:v>-9.89675167788755</c:v>
                </c:pt>
                <c:pt idx="614">
                  <c:v>-9.90829011910063</c:v>
                </c:pt>
                <c:pt idx="615">
                  <c:v>-9.91982858535473</c:v>
                </c:pt>
                <c:pt idx="616">
                  <c:v>-9.93136707664945</c:v>
                </c:pt>
                <c:pt idx="617">
                  <c:v>-9.9429055929844</c:v>
                </c:pt>
                <c:pt idx="618">
                  <c:v>-9.95444413435918</c:v>
                </c:pt>
                <c:pt idx="619">
                  <c:v>-9.96598270077339</c:v>
                </c:pt>
                <c:pt idx="620">
                  <c:v>-9.97752129222665</c:v>
                </c:pt>
                <c:pt idx="621">
                  <c:v>-9.98905990871855</c:v>
                </c:pt>
                <c:pt idx="622">
                  <c:v>-10.0005985502487</c:v>
                </c:pt>
                <c:pt idx="623">
                  <c:v>-10.0121372168167</c:v>
                </c:pt>
                <c:pt idx="624">
                  <c:v>-10.0236759084222</c:v>
                </c:pt>
                <c:pt idx="625">
                  <c:v>-10.0352146250647</c:v>
                </c:pt>
                <c:pt idx="626">
                  <c:v>-10.0467533667439</c:v>
                </c:pt>
                <c:pt idx="627">
                  <c:v>-10.0582921334594</c:v>
                </c:pt>
                <c:pt idx="628">
                  <c:v>-10.0698309252108</c:v>
                </c:pt>
                <c:pt idx="629">
                  <c:v>-10.0813697419976</c:v>
                </c:pt>
                <c:pt idx="630">
                  <c:v>-10.0929085838195</c:v>
                </c:pt>
                <c:pt idx="631">
                  <c:v>-10.1044474506762</c:v>
                </c:pt>
                <c:pt idx="632">
                  <c:v>-10.1159863425671</c:v>
                </c:pt>
                <c:pt idx="633">
                  <c:v>-10.1275252594919</c:v>
                </c:pt>
                <c:pt idx="634">
                  <c:v>-10.1390642014502</c:v>
                </c:pt>
                <c:pt idx="635">
                  <c:v>-10.1506031684417</c:v>
                </c:pt>
                <c:pt idx="636">
                  <c:v>-10.1621421604658</c:v>
                </c:pt>
                <c:pt idx="637">
                  <c:v>-10.1736811775223</c:v>
                </c:pt>
                <c:pt idx="638">
                  <c:v>-10.1852202196107</c:v>
                </c:pt>
                <c:pt idx="639">
                  <c:v>-10.1967592867307</c:v>
                </c:pt>
                <c:pt idx="640">
                  <c:v>-10.2082983788818</c:v>
                </c:pt>
                <c:pt idx="641">
                  <c:v>-10.2198374960636</c:v>
                </c:pt>
                <c:pt idx="642">
                  <c:v>-10.2313766382757</c:v>
                </c:pt>
                <c:pt idx="643">
                  <c:v>-10.2429158055179</c:v>
                </c:pt>
                <c:pt idx="644">
                  <c:v>-10.2544549977895</c:v>
                </c:pt>
                <c:pt idx="645">
                  <c:v>-10.2659942150904</c:v>
                </c:pt>
                <c:pt idx="646">
                  <c:v>-10.27753345742</c:v>
                </c:pt>
                <c:pt idx="647">
                  <c:v>-10.2890727247779</c:v>
                </c:pt>
                <c:pt idx="648">
                  <c:v>-10.3006120171639</c:v>
                </c:pt>
                <c:pt idx="649">
                  <c:v>-10.3121513345774</c:v>
                </c:pt>
                <c:pt idx="650">
                  <c:v>-10.3236906770181</c:v>
                </c:pt>
                <c:pt idx="651">
                  <c:v>-10.3352300444856</c:v>
                </c:pt>
                <c:pt idx="652">
                  <c:v>-10.3467694369795</c:v>
                </c:pt>
                <c:pt idx="653">
                  <c:v>-10.3583088544993</c:v>
                </c:pt>
                <c:pt idx="654">
                  <c:v>-10.3698482970448</c:v>
                </c:pt>
                <c:pt idx="655">
                  <c:v>-10.3813877646155</c:v>
                </c:pt>
                <c:pt idx="656">
                  <c:v>-10.392927257211</c:v>
                </c:pt>
                <c:pt idx="657">
                  <c:v>-10.4044667748309</c:v>
                </c:pt>
                <c:pt idx="658">
                  <c:v>-10.4160063174749</c:v>
                </c:pt>
                <c:pt idx="659">
                  <c:v>-10.4275458851425</c:v>
                </c:pt>
                <c:pt idx="660">
                  <c:v>-10.4390854778333</c:v>
                </c:pt>
                <c:pt idx="661">
                  <c:v>-10.4506250955469</c:v>
                </c:pt>
                <c:pt idx="662">
                  <c:v>-10.462164738283</c:v>
                </c:pt>
                <c:pt idx="663">
                  <c:v>-10.4737044060411</c:v>
                </c:pt>
                <c:pt idx="664">
                  <c:v>-10.4852440988209</c:v>
                </c:pt>
                <c:pt idx="665">
                  <c:v>-10.496783816622</c:v>
                </c:pt>
                <c:pt idx="666">
                  <c:v>-10.5083235594439</c:v>
                </c:pt>
                <c:pt idx="667">
                  <c:v>-10.5198633272862</c:v>
                </c:pt>
                <c:pt idx="668">
                  <c:v>-10.5314031201487</c:v>
                </c:pt>
                <c:pt idx="669">
                  <c:v>-10.5429429380308</c:v>
                </c:pt>
                <c:pt idx="670">
                  <c:v>-10.5544827809322</c:v>
                </c:pt>
                <c:pt idx="671">
                  <c:v>-10.5660226488524</c:v>
                </c:pt>
                <c:pt idx="672">
                  <c:v>-10.5775625417912</c:v>
                </c:pt>
                <c:pt idx="673">
                  <c:v>-10.5891024597481</c:v>
                </c:pt>
                <c:pt idx="674">
                  <c:v>-10.6006424027226</c:v>
                </c:pt>
                <c:pt idx="675">
                  <c:v>-10.6121823707145</c:v>
                </c:pt>
                <c:pt idx="676">
                  <c:v>-10.6237223637233</c:v>
                </c:pt>
                <c:pt idx="677">
                  <c:v>-10.6352623817486</c:v>
                </c:pt>
                <c:pt idx="678">
                  <c:v>-10.64680242479</c:v>
                </c:pt>
                <c:pt idx="679">
                  <c:v>-10.6583424928471</c:v>
                </c:pt>
                <c:pt idx="680">
                  <c:v>-10.6698825859196</c:v>
                </c:pt>
                <c:pt idx="681">
                  <c:v>-10.681422704007</c:v>
                </c:pt>
                <c:pt idx="682">
                  <c:v>-10.692962847109</c:v>
                </c:pt>
                <c:pt idx="683">
                  <c:v>-10.7045030152251</c:v>
                </c:pt>
                <c:pt idx="684">
                  <c:v>-10.7160432083549</c:v>
                </c:pt>
                <c:pt idx="685">
                  <c:v>-10.7275834264981</c:v>
                </c:pt>
                <c:pt idx="686">
                  <c:v>-10.7391236696542</c:v>
                </c:pt>
                <c:pt idx="687">
                  <c:v>-10.7506639378229</c:v>
                </c:pt>
                <c:pt idx="688">
                  <c:v>-10.7622042310038</c:v>
                </c:pt>
                <c:pt idx="689">
                  <c:v>-10.7737445491965</c:v>
                </c:pt>
                <c:pt idx="690">
                  <c:v>-10.7852848924005</c:v>
                </c:pt>
                <c:pt idx="691">
                  <c:v>-10.7968252606155</c:v>
                </c:pt>
                <c:pt idx="692">
                  <c:v>-10.8083656538411</c:v>
                </c:pt>
                <c:pt idx="693">
                  <c:v>-10.8199060720769</c:v>
                </c:pt>
                <c:pt idx="694">
                  <c:v>-10.8314465153225</c:v>
                </c:pt>
                <c:pt idx="695">
                  <c:v>-10.8429869835775</c:v>
                </c:pt>
                <c:pt idx="696">
                  <c:v>-10.8545274768415</c:v>
                </c:pt>
                <c:pt idx="697">
                  <c:v>-10.8660679951142</c:v>
                </c:pt>
                <c:pt idx="698">
                  <c:v>-10.877608538395</c:v>
                </c:pt>
                <c:pt idx="699">
                  <c:v>-10.8891491066837</c:v>
                </c:pt>
                <c:pt idx="700">
                  <c:v>-10.9006896999798</c:v>
                </c:pt>
                <c:pt idx="701">
                  <c:v>-10.9122303182829</c:v>
                </c:pt>
                <c:pt idx="702">
                  <c:v>-10.9237709615927</c:v>
                </c:pt>
                <c:pt idx="703">
                  <c:v>-10.9353116299087</c:v>
                </c:pt>
                <c:pt idx="704">
                  <c:v>-10.9468523232305</c:v>
                </c:pt>
                <c:pt idx="705">
                  <c:v>-10.9583930415578</c:v>
                </c:pt>
                <c:pt idx="706">
                  <c:v>-10.9699337848902</c:v>
                </c:pt>
                <c:pt idx="707">
                  <c:v>-10.9814745532272</c:v>
                </c:pt>
                <c:pt idx="708">
                  <c:v>-10.9930153465685</c:v>
                </c:pt>
                <c:pt idx="709">
                  <c:v>-11.0045561649137</c:v>
                </c:pt>
                <c:pt idx="710">
                  <c:v>-11.0160970082623</c:v>
                </c:pt>
                <c:pt idx="711">
                  <c:v>-11.0276378766141</c:v>
                </c:pt>
                <c:pt idx="712">
                  <c:v>-11.0391787699685</c:v>
                </c:pt>
                <c:pt idx="713">
                  <c:v>-11.0507196883252</c:v>
                </c:pt>
                <c:pt idx="714">
                  <c:v>-11.0622606316838</c:v>
                </c:pt>
                <c:pt idx="715">
                  <c:v>-11.0738016000439</c:v>
                </c:pt>
                <c:pt idx="716">
                  <c:v>-11.0853425934051</c:v>
                </c:pt>
                <c:pt idx="717">
                  <c:v>-11.0968836117671</c:v>
                </c:pt>
                <c:pt idx="718">
                  <c:v>-11.1084246551293</c:v>
                </c:pt>
                <c:pt idx="719">
                  <c:v>-11.1199657234915</c:v>
                </c:pt>
                <c:pt idx="720">
                  <c:v>-11.1315068168532</c:v>
                </c:pt>
                <c:pt idx="721">
                  <c:v>-11.143047935214</c:v>
                </c:pt>
                <c:pt idx="722">
                  <c:v>-11.1545890785736</c:v>
                </c:pt>
                <c:pt idx="723">
                  <c:v>-11.1661302469315</c:v>
                </c:pt>
                <c:pt idx="724">
                  <c:v>-11.1776714402874</c:v>
                </c:pt>
                <c:pt idx="725">
                  <c:v>-11.1892126586408</c:v>
                </c:pt>
                <c:pt idx="726">
                  <c:v>-11.2007539019914</c:v>
                </c:pt>
                <c:pt idx="727">
                  <c:v>-11.2122951703387</c:v>
                </c:pt>
                <c:pt idx="728">
                  <c:v>-11.2238364636824</c:v>
                </c:pt>
                <c:pt idx="729">
                  <c:v>-11.2353777820221</c:v>
                </c:pt>
                <c:pt idx="730">
                  <c:v>-11.2469191253574</c:v>
                </c:pt>
                <c:pt idx="731">
                  <c:v>-11.2584604936878</c:v>
                </c:pt>
                <c:pt idx="732">
                  <c:v>-11.2700018870131</c:v>
                </c:pt>
                <c:pt idx="733">
                  <c:v>-11.2815433053327</c:v>
                </c:pt>
                <c:pt idx="734">
                  <c:v>-11.2930847486463</c:v>
                </c:pt>
                <c:pt idx="735">
                  <c:v>-11.3046262169536</c:v>
                </c:pt>
                <c:pt idx="736">
                  <c:v>-11.316167710254</c:v>
                </c:pt>
                <c:pt idx="737">
                  <c:v>-11.3277092285472</c:v>
                </c:pt>
                <c:pt idx="738">
                  <c:v>-11.3392507718329</c:v>
                </c:pt>
                <c:pt idx="739">
                  <c:v>-11.3507923401106</c:v>
                </c:pt>
                <c:pt idx="740">
                  <c:v>-11.3623339333799</c:v>
                </c:pt>
                <c:pt idx="741">
                  <c:v>-11.3738755516405</c:v>
                </c:pt>
                <c:pt idx="742">
                  <c:v>-11.3854171948919</c:v>
                </c:pt>
                <c:pt idx="743">
                  <c:v>-11.3969588631337</c:v>
                </c:pt>
                <c:pt idx="744">
                  <c:v>-11.4085005563656</c:v>
                </c:pt>
                <c:pt idx="745">
                  <c:v>-11.4200422745872</c:v>
                </c:pt>
                <c:pt idx="746">
                  <c:v>-11.431584017798</c:v>
                </c:pt>
                <c:pt idx="747">
                  <c:v>-11.4431257859977</c:v>
                </c:pt>
                <c:pt idx="748">
                  <c:v>-11.4546675791858</c:v>
                </c:pt>
                <c:pt idx="749">
                  <c:v>-11.466209397362</c:v>
                </c:pt>
                <c:pt idx="750">
                  <c:v>-11.4777512405259</c:v>
                </c:pt>
                <c:pt idx="751">
                  <c:v>-11.4892931086771</c:v>
                </c:pt>
                <c:pt idx="752">
                  <c:v>-11.5008350018152</c:v>
                </c:pt>
                <c:pt idx="753">
                  <c:v>-11.5123769199398</c:v>
                </c:pt>
                <c:pt idx="754">
                  <c:v>-11.5239188630504</c:v>
                </c:pt>
                <c:pt idx="755">
                  <c:v>-11.5354608311468</c:v>
                </c:pt>
                <c:pt idx="756">
                  <c:v>-11.5470028242285</c:v>
                </c:pt>
                <c:pt idx="757">
                  <c:v>-11.5585448422951</c:v>
                </c:pt>
                <c:pt idx="758">
                  <c:v>-11.5700868853462</c:v>
                </c:pt>
                <c:pt idx="759">
                  <c:v>-11.5816289533815</c:v>
                </c:pt>
                <c:pt idx="760">
                  <c:v>-11.5931710464005</c:v>
                </c:pt>
                <c:pt idx="761">
                  <c:v>-11.6047131644028</c:v>
                </c:pt>
                <c:pt idx="762">
                  <c:v>-11.6162553073881</c:v>
                </c:pt>
                <c:pt idx="763">
                  <c:v>-11.6277974753559</c:v>
                </c:pt>
                <c:pt idx="764">
                  <c:v>-11.6393396683059</c:v>
                </c:pt>
                <c:pt idx="765">
                  <c:v>-11.6508818862376</c:v>
                </c:pt>
                <c:pt idx="766">
                  <c:v>-11.6624241291507</c:v>
                </c:pt>
                <c:pt idx="767">
                  <c:v>-11.6739663970447</c:v>
                </c:pt>
                <c:pt idx="768">
                  <c:v>-11.6855086899194</c:v>
                </c:pt>
                <c:pt idx="769">
                  <c:v>-11.6970510077742</c:v>
                </c:pt>
                <c:pt idx="770">
                  <c:v>-11.7085933506088</c:v>
                </c:pt>
                <c:pt idx="771">
                  <c:v>-11.7201357184227</c:v>
                </c:pt>
                <c:pt idx="772">
                  <c:v>-11.7316781112157</c:v>
                </c:pt>
                <c:pt idx="773">
                  <c:v>-11.7432205289873</c:v>
                </c:pt>
                <c:pt idx="774">
                  <c:v>-11.7547629717371</c:v>
                </c:pt>
                <c:pt idx="775">
                  <c:v>-11.7663054394646</c:v>
                </c:pt>
                <c:pt idx="776">
                  <c:v>-11.7778479321696</c:v>
                </c:pt>
                <c:pt idx="777">
                  <c:v>-11.7893904498517</c:v>
                </c:pt>
                <c:pt idx="778">
                  <c:v>-11.8009329925103</c:v>
                </c:pt>
                <c:pt idx="779">
                  <c:v>-11.8124755601452</c:v>
                </c:pt>
                <c:pt idx="780">
                  <c:v>-11.8240181527559</c:v>
                </c:pt>
                <c:pt idx="781">
                  <c:v>-11.8355607703421</c:v>
                </c:pt>
                <c:pt idx="782">
                  <c:v>-11.8471034129033</c:v>
                </c:pt>
                <c:pt idx="783">
                  <c:v>-11.8586460804391</c:v>
                </c:pt>
                <c:pt idx="784">
                  <c:v>-11.8701887729492</c:v>
                </c:pt>
                <c:pt idx="785">
                  <c:v>-11.8817314904332</c:v>
                </c:pt>
                <c:pt idx="786">
                  <c:v>-11.8932742328906</c:v>
                </c:pt>
                <c:pt idx="787">
                  <c:v>-11.9048170003211</c:v>
                </c:pt>
                <c:pt idx="788">
                  <c:v>-11.9163597927243</c:v>
                </c:pt>
                <c:pt idx="789">
                  <c:v>-11.9279026100998</c:v>
                </c:pt>
                <c:pt idx="790">
                  <c:v>-11.9394454524472</c:v>
                </c:pt>
                <c:pt idx="791">
                  <c:v>-11.950988319766</c:v>
                </c:pt>
                <c:pt idx="792">
                  <c:v>-11.962531212056</c:v>
                </c:pt>
                <c:pt idx="793">
                  <c:v>-11.9740741293166</c:v>
                </c:pt>
                <c:pt idx="794">
                  <c:v>-11.9856170715476</c:v>
                </c:pt>
                <c:pt idx="795">
                  <c:v>-11.9971600387485</c:v>
                </c:pt>
                <c:pt idx="796">
                  <c:v>-12.0087030309189</c:v>
                </c:pt>
                <c:pt idx="797">
                  <c:v>-12.0202460480584</c:v>
                </c:pt>
                <c:pt idx="798">
                  <c:v>-12.0317890901666</c:v>
                </c:pt>
                <c:pt idx="799">
                  <c:v>-12.0433321572432</c:v>
                </c:pt>
                <c:pt idx="800">
                  <c:v>-12.0548752492877</c:v>
                </c:pt>
                <c:pt idx="801">
                  <c:v>-12.0664183662998</c:v>
                </c:pt>
                <c:pt idx="802">
                  <c:v>-12.0779615082791</c:v>
                </c:pt>
                <c:pt idx="803">
                  <c:v>-12.089504675225</c:v>
                </c:pt>
                <c:pt idx="804">
                  <c:v>-12.1010478671374</c:v>
                </c:pt>
                <c:pt idx="805">
                  <c:v>-12.1125910840157</c:v>
                </c:pt>
                <c:pt idx="806">
                  <c:v>-12.1241343258596</c:v>
                </c:pt>
                <c:pt idx="807">
                  <c:v>-12.1356775926687</c:v>
                </c:pt>
                <c:pt idx="808">
                  <c:v>-12.1472208844425</c:v>
                </c:pt>
                <c:pt idx="809">
                  <c:v>-12.1587642011807</c:v>
                </c:pt>
                <c:pt idx="810">
                  <c:v>-12.170307542883</c:v>
                </c:pt>
                <c:pt idx="811">
                  <c:v>-12.1818509095488</c:v>
                </c:pt>
                <c:pt idx="812">
                  <c:v>-12.1933943011778</c:v>
                </c:pt>
                <c:pt idx="813">
                  <c:v>-12.2049377177697</c:v>
                </c:pt>
                <c:pt idx="814">
                  <c:v>-12.2164811593239</c:v>
                </c:pt>
                <c:pt idx="815">
                  <c:v>-12.2280246258402</c:v>
                </c:pt>
                <c:pt idx="816">
                  <c:v>-12.2395681173181</c:v>
                </c:pt>
                <c:pt idx="817">
                  <c:v>-12.2511116337573</c:v>
                </c:pt>
                <c:pt idx="818">
                  <c:v>-12.2626551751572</c:v>
                </c:pt>
                <c:pt idx="819">
                  <c:v>-12.2741987415177</c:v>
                </c:pt>
                <c:pt idx="820">
                  <c:v>-12.2857423328381</c:v>
                </c:pt>
                <c:pt idx="821">
                  <c:v>-12.2972859491182</c:v>
                </c:pt>
                <c:pt idx="822">
                  <c:v>-12.3088295903576</c:v>
                </c:pt>
                <c:pt idx="823">
                  <c:v>-12.3203732565558</c:v>
                </c:pt>
                <c:pt idx="824">
                  <c:v>-12.3319169477126</c:v>
                </c:pt>
                <c:pt idx="825">
                  <c:v>-12.3434606638273</c:v>
                </c:pt>
                <c:pt idx="826">
                  <c:v>-12.3550044048998</c:v>
                </c:pt>
                <c:pt idx="827">
                  <c:v>-12.3665481709295</c:v>
                </c:pt>
                <c:pt idx="828">
                  <c:v>-12.3780919619162</c:v>
                </c:pt>
                <c:pt idx="829">
                  <c:v>-12.3896357778593</c:v>
                </c:pt>
                <c:pt idx="830">
                  <c:v>-12.4011796187585</c:v>
                </c:pt>
                <c:pt idx="831">
                  <c:v>-12.4127234846135</c:v>
                </c:pt>
                <c:pt idx="832">
                  <c:v>-12.4242673754237</c:v>
                </c:pt>
                <c:pt idx="833">
                  <c:v>-12.4358112911889</c:v>
                </c:pt>
                <c:pt idx="834">
                  <c:v>-12.4473552319086</c:v>
                </c:pt>
                <c:pt idx="835">
                  <c:v>-12.4588991975824</c:v>
                </c:pt>
                <c:pt idx="836">
                  <c:v>-12.47044318821</c:v>
                </c:pt>
                <c:pt idx="837">
                  <c:v>-12.4819872037909</c:v>
                </c:pt>
                <c:pt idx="838">
                  <c:v>-12.4935312443247</c:v>
                </c:pt>
                <c:pt idx="839">
                  <c:v>-12.5050753098111</c:v>
                </c:pt>
                <c:pt idx="840">
                  <c:v>-12.5166194002496</c:v>
                </c:pt>
                <c:pt idx="841">
                  <c:v>-12.5281635156399</c:v>
                </c:pt>
                <c:pt idx="842">
                  <c:v>-12.5397076559816</c:v>
                </c:pt>
                <c:pt idx="843">
                  <c:v>-12.5512518212742</c:v>
                </c:pt>
                <c:pt idx="844">
                  <c:v>-12.5627960115174</c:v>
                </c:pt>
                <c:pt idx="845">
                  <c:v>-12.5743402267108</c:v>
                </c:pt>
                <c:pt idx="846">
                  <c:v>-12.585884466854</c:v>
                </c:pt>
                <c:pt idx="847">
                  <c:v>-12.5974287319466</c:v>
                </c:pt>
                <c:pt idx="848">
                  <c:v>-12.6089730219882</c:v>
                </c:pt>
                <c:pt idx="849">
                  <c:v>-12.6205173369784</c:v>
                </c:pt>
                <c:pt idx="850">
                  <c:v>-12.6320616769167</c:v>
                </c:pt>
                <c:pt idx="851">
                  <c:v>-12.643606041803</c:v>
                </c:pt>
                <c:pt idx="852">
                  <c:v>-12.6551504316366</c:v>
                </c:pt>
                <c:pt idx="853">
                  <c:v>-12.6666948464172</c:v>
                </c:pt>
                <c:pt idx="854">
                  <c:v>-12.6782392861445</c:v>
                </c:pt>
                <c:pt idx="855">
                  <c:v>-12.689783750818</c:v>
                </c:pt>
                <c:pt idx="856">
                  <c:v>-12.7013282404374</c:v>
                </c:pt>
                <c:pt idx="857">
                  <c:v>-12.7128727550022</c:v>
                </c:pt>
                <c:pt idx="858">
                  <c:v>-12.7244172945121</c:v>
                </c:pt>
                <c:pt idx="859">
                  <c:v>-12.7359618589666</c:v>
                </c:pt>
                <c:pt idx="860">
                  <c:v>-12.7475064483654</c:v>
                </c:pt>
                <c:pt idx="861">
                  <c:v>-12.759051062708</c:v>
                </c:pt>
                <c:pt idx="862">
                  <c:v>-12.7705957019942</c:v>
                </c:pt>
                <c:pt idx="863">
                  <c:v>-12.7821403662234</c:v>
                </c:pt>
                <c:pt idx="864">
                  <c:v>-12.7936850553953</c:v>
                </c:pt>
                <c:pt idx="865">
                  <c:v>-12.8052297695095</c:v>
                </c:pt>
                <c:pt idx="866">
                  <c:v>-12.8167745085655</c:v>
                </c:pt>
                <c:pt idx="867">
                  <c:v>-12.8283192725631</c:v>
                </c:pt>
                <c:pt idx="868">
                  <c:v>-12.8398640615018</c:v>
                </c:pt>
                <c:pt idx="869">
                  <c:v>-12.8514088753812</c:v>
                </c:pt>
                <c:pt idx="870">
                  <c:v>-12.862953714201</c:v>
                </c:pt>
                <c:pt idx="871">
                  <c:v>-12.8744985779606</c:v>
                </c:pt>
                <c:pt idx="872">
                  <c:v>-12.8860434666598</c:v>
                </c:pt>
                <c:pt idx="873">
                  <c:v>-12.8975883802981</c:v>
                </c:pt>
                <c:pt idx="874">
                  <c:v>-12.9091333188752</c:v>
                </c:pt>
                <c:pt idx="875">
                  <c:v>-12.9206782823906</c:v>
                </c:pt>
                <c:pt idx="876">
                  <c:v>-12.932223270844</c:v>
                </c:pt>
                <c:pt idx="877">
                  <c:v>-12.9437682842349</c:v>
                </c:pt>
                <c:pt idx="878">
                  <c:v>-12.955313322563</c:v>
                </c:pt>
                <c:pt idx="879">
                  <c:v>-12.9668583858278</c:v>
                </c:pt>
                <c:pt idx="880">
                  <c:v>-12.978403474029</c:v>
                </c:pt>
                <c:pt idx="881">
                  <c:v>-12.9899485871663</c:v>
                </c:pt>
                <c:pt idx="882">
                  <c:v>-13.001493725239</c:v>
                </c:pt>
                <c:pt idx="883">
                  <c:v>-13.013038888247</c:v>
                </c:pt>
                <c:pt idx="884">
                  <c:v>-13.0245840761898</c:v>
                </c:pt>
                <c:pt idx="885">
                  <c:v>-13.036129289067</c:v>
                </c:pt>
                <c:pt idx="886">
                  <c:v>-13.0476745268782</c:v>
                </c:pt>
                <c:pt idx="887">
                  <c:v>-13.059219789623</c:v>
                </c:pt>
                <c:pt idx="888">
                  <c:v>-13.070765077301</c:v>
                </c:pt>
                <c:pt idx="889">
                  <c:v>-13.0823103899119</c:v>
                </c:pt>
                <c:pt idx="890">
                  <c:v>-13.0938557274551</c:v>
                </c:pt>
                <c:pt idx="891">
                  <c:v>-13.1054010899305</c:v>
                </c:pt>
                <c:pt idx="892">
                  <c:v>-13.1169464773374</c:v>
                </c:pt>
                <c:pt idx="893">
                  <c:v>-13.1284918896756</c:v>
                </c:pt>
                <c:pt idx="894">
                  <c:v>-13.1400373269447</c:v>
                </c:pt>
                <c:pt idx="895">
                  <c:v>-13.1515827891442</c:v>
                </c:pt>
                <c:pt idx="896">
                  <c:v>-13.1631282762738</c:v>
                </c:pt>
                <c:pt idx="897">
                  <c:v>-13.174673788333</c:v>
                </c:pt>
                <c:pt idx="898">
                  <c:v>-13.1862193253215</c:v>
                </c:pt>
                <c:pt idx="899">
                  <c:v>-13.1977648872389</c:v>
                </c:pt>
                <c:pt idx="900">
                  <c:v>-13.2093104740848</c:v>
                </c:pt>
                <c:pt idx="901">
                  <c:v>-13.2208560858588</c:v>
                </c:pt>
                <c:pt idx="902">
                  <c:v>-13.2324017225605</c:v>
                </c:pt>
                <c:pt idx="903">
                  <c:v>-13.2439473841895</c:v>
                </c:pt>
                <c:pt idx="904">
                  <c:v>-13.2554930707453</c:v>
                </c:pt>
                <c:pt idx="905">
                  <c:v>-13.2670387822277</c:v>
                </c:pt>
                <c:pt idx="906">
                  <c:v>-13.2785845186363</c:v>
                </c:pt>
                <c:pt idx="907">
                  <c:v>-13.2901302799705</c:v>
                </c:pt>
                <c:pt idx="908">
                  <c:v>-13.3016760662301</c:v>
                </c:pt>
                <c:pt idx="909">
                  <c:v>-13.3132218774146</c:v>
                </c:pt>
                <c:pt idx="910">
                  <c:v>-13.3247677135237</c:v>
                </c:pt>
                <c:pt idx="911">
                  <c:v>-13.3363135745569</c:v>
                </c:pt>
                <c:pt idx="912">
                  <c:v>-13.3478594605138</c:v>
                </c:pt>
                <c:pt idx="913">
                  <c:v>-13.3594053713942</c:v>
                </c:pt>
                <c:pt idx="914">
                  <c:v>-13.3709513071975</c:v>
                </c:pt>
                <c:pt idx="915">
                  <c:v>-13.3824972679233</c:v>
                </c:pt>
                <c:pt idx="916">
                  <c:v>-13.3940432535714</c:v>
                </c:pt>
                <c:pt idx="917">
                  <c:v>-13.4055892641412</c:v>
                </c:pt>
                <c:pt idx="918">
                  <c:v>-13.4171352996324</c:v>
                </c:pt>
                <c:pt idx="919">
                  <c:v>-13.4286813600446</c:v>
                </c:pt>
                <c:pt idx="920">
                  <c:v>-13.4402274453774</c:v>
                </c:pt>
                <c:pt idx="921">
                  <c:v>-13.4517735556304</c:v>
                </c:pt>
                <c:pt idx="922">
                  <c:v>-13.4633196908032</c:v>
                </c:pt>
                <c:pt idx="923">
                  <c:v>-13.4748658508954</c:v>
                </c:pt>
                <c:pt idx="924">
                  <c:v>-13.4864120359067</c:v>
                </c:pt>
                <c:pt idx="925">
                  <c:v>-13.4979582458365</c:v>
                </c:pt>
                <c:pt idx="926">
                  <c:v>-13.5095044806847</c:v>
                </c:pt>
                <c:pt idx="927">
                  <c:v>-13.5210507404506</c:v>
                </c:pt>
                <c:pt idx="928">
                  <c:v>-13.532597025134</c:v>
                </c:pt>
                <c:pt idx="929">
                  <c:v>-13.5441433347344</c:v>
                </c:pt>
                <c:pt idx="930">
                  <c:v>-13.5556896692515</c:v>
                </c:pt>
                <c:pt idx="931">
                  <c:v>-13.5672360286849</c:v>
                </c:pt>
                <c:pt idx="932">
                  <c:v>-13.5787824130341</c:v>
                </c:pt>
                <c:pt idx="933">
                  <c:v>-13.5903288222988</c:v>
                </c:pt>
                <c:pt idx="934">
                  <c:v>-13.6018752564786</c:v>
                </c:pt>
                <c:pt idx="935">
                  <c:v>-13.6134217155731</c:v>
                </c:pt>
                <c:pt idx="936">
                  <c:v>-13.6249681995819</c:v>
                </c:pt>
                <c:pt idx="937">
                  <c:v>-13.6365147085045</c:v>
                </c:pt>
                <c:pt idx="938">
                  <c:v>-13.6480612423407</c:v>
                </c:pt>
                <c:pt idx="939">
                  <c:v>-13.6596078010899</c:v>
                </c:pt>
                <c:pt idx="940">
                  <c:v>-13.6711543847519</c:v>
                </c:pt>
                <c:pt idx="941">
                  <c:v>-13.6827009933262</c:v>
                </c:pt>
                <c:pt idx="942">
                  <c:v>-13.6942476268124</c:v>
                </c:pt>
                <c:pt idx="943">
                  <c:v>-13.7057942852102</c:v>
                </c:pt>
                <c:pt idx="944">
                  <c:v>-13.7173409685191</c:v>
                </c:pt>
                <c:pt idx="945">
                  <c:v>-13.7288876767387</c:v>
                </c:pt>
                <c:pt idx="946">
                  <c:v>-13.7404344098687</c:v>
                </c:pt>
                <c:pt idx="947">
                  <c:v>-13.7519811679086</c:v>
                </c:pt>
                <c:pt idx="948">
                  <c:v>-13.7635279508581</c:v>
                </c:pt>
                <c:pt idx="949">
                  <c:v>-13.7750747587168</c:v>
                </c:pt>
                <c:pt idx="950">
                  <c:v>-13.7866215914842</c:v>
                </c:pt>
                <c:pt idx="951">
                  <c:v>-13.79816844916</c:v>
                </c:pt>
                <c:pt idx="952">
                  <c:v>-13.8097153317438</c:v>
                </c:pt>
                <c:pt idx="953">
                  <c:v>-13.8212622392352</c:v>
                </c:pt>
                <c:pt idx="954">
                  <c:v>-13.8328091716338</c:v>
                </c:pt>
                <c:pt idx="955">
                  <c:v>-13.8443561289391</c:v>
                </c:pt>
                <c:pt idx="956">
                  <c:v>-13.8559031111509</c:v>
                </c:pt>
                <c:pt idx="957">
                  <c:v>-13.8674501182687</c:v>
                </c:pt>
                <c:pt idx="958">
                  <c:v>-13.8789971502921</c:v>
                </c:pt>
                <c:pt idx="959">
                  <c:v>-13.8905442072207</c:v>
                </c:pt>
                <c:pt idx="960">
                  <c:v>-13.9020912890542</c:v>
                </c:pt>
                <c:pt idx="961">
                  <c:v>-13.9136383957921</c:v>
                </c:pt>
                <c:pt idx="962">
                  <c:v>-13.925185527434</c:v>
                </c:pt>
                <c:pt idx="963">
                  <c:v>-13.9367326839796</c:v>
                </c:pt>
                <c:pt idx="964">
                  <c:v>-13.9482798654285</c:v>
                </c:pt>
                <c:pt idx="965">
                  <c:v>-13.9598270717801</c:v>
                </c:pt>
                <c:pt idx="966">
                  <c:v>-13.9713743030343</c:v>
                </c:pt>
                <c:pt idx="967">
                  <c:v>-13.9829215591905</c:v>
                </c:pt>
                <c:pt idx="968">
                  <c:v>-13.9944688402484</c:v>
                </c:pt>
                <c:pt idx="969">
                  <c:v>-14.0060161462076</c:v>
                </c:pt>
                <c:pt idx="970">
                  <c:v>-14.0175634770677</c:v>
                </c:pt>
                <c:pt idx="971">
                  <c:v>-14.0291108328283</c:v>
                </c:pt>
                <c:pt idx="972">
                  <c:v>-14.0406582134889</c:v>
                </c:pt>
                <c:pt idx="973">
                  <c:v>-14.0522056190493</c:v>
                </c:pt>
                <c:pt idx="974">
                  <c:v>-14.063753049509</c:v>
                </c:pt>
                <c:pt idx="975">
                  <c:v>-14.0753005048676</c:v>
                </c:pt>
                <c:pt idx="976">
                  <c:v>-14.0868479851247</c:v>
                </c:pt>
                <c:pt idx="977">
                  <c:v>-14.0983954902799</c:v>
                </c:pt>
                <c:pt idx="978">
                  <c:v>-14.1099430203329</c:v>
                </c:pt>
                <c:pt idx="979">
                  <c:v>-14.1214905752832</c:v>
                </c:pt>
                <c:pt idx="980">
                  <c:v>-14.1330381551305</c:v>
                </c:pt>
                <c:pt idx="981">
                  <c:v>-14.1445857598743</c:v>
                </c:pt>
                <c:pt idx="982">
                  <c:v>-14.1561333895143</c:v>
                </c:pt>
                <c:pt idx="983">
                  <c:v>-14.16768104405</c:v>
                </c:pt>
                <c:pt idx="984">
                  <c:v>-14.1792287234811</c:v>
                </c:pt>
                <c:pt idx="985">
                  <c:v>-14.1907764278072</c:v>
                </c:pt>
                <c:pt idx="986">
                  <c:v>-14.2023241570279</c:v>
                </c:pt>
                <c:pt idx="987">
                  <c:v>-14.2138719111427</c:v>
                </c:pt>
                <c:pt idx="988">
                  <c:v>-14.2254196901514</c:v>
                </c:pt>
                <c:pt idx="989">
                  <c:v>-14.2369674940534</c:v>
                </c:pt>
                <c:pt idx="990">
                  <c:v>-14.2485153228485</c:v>
                </c:pt>
                <c:pt idx="991">
                  <c:v>-14.2600631765361</c:v>
                </c:pt>
                <c:pt idx="992">
                  <c:v>-14.271611055116</c:v>
                </c:pt>
                <c:pt idx="993">
                  <c:v>-14.2831589585877</c:v>
                </c:pt>
                <c:pt idx="994">
                  <c:v>-14.2947068869509</c:v>
                </c:pt>
                <c:pt idx="995">
                  <c:v>-14.306254840205</c:v>
                </c:pt>
                <c:pt idx="996">
                  <c:v>-14.3178028183498</c:v>
                </c:pt>
                <c:pt idx="997">
                  <c:v>-14.3293508213849</c:v>
                </c:pt>
                <c:pt idx="998">
                  <c:v>-14.3408988493098</c:v>
                </c:pt>
                <c:pt idx="999">
                  <c:v>-14.3524469021241</c:v>
                </c:pt>
                <c:pt idx="1000">
                  <c:v>-14.3639949798276</c:v>
                </c:pt>
              </c:numCache>
            </c:numRef>
          </c:yVal>
          <c:smooth val="1"/>
        </c:ser>
        <c:ser>
          <c:idx val="3"/>
          <c:order val="3"/>
          <c:tx>
            <c:strRef>
              <c:f>Trajecto!$B$108</c:f>
              <c:strCache>
                <c:ptCount val="1"/>
                <c:pt idx="0">
                  <c:v>Fusée sous parachute</c:v>
                </c:pt>
              </c:strCache>
            </c:strRef>
          </c:tx>
          <c:spPr>
            <a:solidFill>
              <a:srgbClr val="008000"/>
            </a:solidFill>
            <a:ln w="2556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r"/>
              <c:showLegendKey val="0"/>
              <c:showVal val="0"/>
              <c:showCatName val="0"/>
              <c:showSerName val="1"/>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Trajecto!$B$131:$B$137</c:f>
              <c:numCache>
                <c:formatCode>General</c:formatCode>
                <c:ptCount val="7"/>
                <c:pt idx="0">
                  <c:v>16</c:v>
                </c:pt>
                <c:pt idx="1">
                  <c:v>87.7558350100312</c:v>
                </c:pt>
                <c:pt idx="2">
                  <c:v>159.511670020062</c:v>
                </c:pt>
                <c:pt idx="3">
                  <c:v>158.228652731381</c:v>
                </c:pt>
                <c:pt idx="4">
                  <c:v>159.511670020062</c:v>
                </c:pt>
                <c:pt idx="5">
                  <c:v>155.018652731381</c:v>
                </c:pt>
                <c:pt idx="6">
                  <c:v>159.511670020062</c:v>
                </c:pt>
              </c:numCache>
            </c:numRef>
          </c:xVal>
          <c:yVal>
            <c:numRef>
              <c:f>Trajecto!$C$129:$C$135</c:f>
              <c:numCache>
                <c:formatCode>General</c:formatCode>
                <c:ptCount val="7"/>
                <c:pt idx="0">
                  <c:v>1183.5060755214</c:v>
                </c:pt>
                <c:pt idx="1">
                  <c:v>591.7530377607</c:v>
                </c:pt>
                <c:pt idx="2">
                  <c:v>0</c:v>
                </c:pt>
                <c:pt idx="3">
                  <c:v>34.7418033941344</c:v>
                </c:pt>
                <c:pt idx="4">
                  <c:v>0</c:v>
                </c:pt>
                <c:pt idx="5">
                  <c:v>13.1829846402757</c:v>
                </c:pt>
                <c:pt idx="6">
                  <c:v>0</c:v>
                </c:pt>
              </c:numCache>
            </c:numRef>
          </c:yVal>
          <c:smooth val="1"/>
        </c:ser>
        <c:ser>
          <c:idx val="4"/>
          <c:order val="4"/>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Trajecto!$B$148:$B$154</c:f>
              <c:numCache>
                <c:formatCode>General</c:formatCode>
                <c:ptCount val="7"/>
                <c:pt idx="0">
                  <c:v>0</c:v>
                </c:pt>
                <c:pt idx="1">
                  <c:v>0</c:v>
                </c:pt>
                <c:pt idx="2">
                  <c:v>0</c:v>
                </c:pt>
                <c:pt idx="3">
                  <c:v>0</c:v>
                </c:pt>
                <c:pt idx="4">
                  <c:v>0</c:v>
                </c:pt>
                <c:pt idx="5">
                  <c:v>0</c:v>
                </c:pt>
                <c:pt idx="6">
                  <c:v>0</c:v>
                </c:pt>
              </c:numCache>
            </c:numRef>
          </c:xVal>
          <c:yVal>
            <c:numRef>
              <c:f>Trajecto!$C$146:$C$152</c:f>
              <c:numCache>
                <c:formatCode>General</c:formatCode>
                <c:ptCount val="7"/>
                <c:pt idx="0">
                  <c:v>0</c:v>
                </c:pt>
                <c:pt idx="1">
                  <c:v>0</c:v>
                </c:pt>
                <c:pt idx="2">
                  <c:v>0</c:v>
                </c:pt>
                <c:pt idx="3">
                  <c:v>0</c:v>
                </c:pt>
                <c:pt idx="4">
                  <c:v>0</c:v>
                </c:pt>
                <c:pt idx="5">
                  <c:v>0</c:v>
                </c:pt>
                <c:pt idx="6">
                  <c:v>0</c:v>
                </c:pt>
              </c:numCache>
            </c:numRef>
          </c:yVal>
          <c:smooth val="1"/>
        </c:ser>
        <c:ser>
          <c:idx val="5"/>
          <c:order val="5"/>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Calculs!$AE$4:$AE$1004</c:f>
              <c:numCache>
                <c:formatCode>General</c:formatCode>
                <c:ptCount val="1001"/>
                <c:pt idx="0">
                  <c:v>0</c:v>
                </c:pt>
                <c:pt idx="1">
                  <c:v>0.000809369121977596</c:v>
                </c:pt>
                <c:pt idx="2">
                  <c:v>0.00681497705424646</c:v>
                </c:pt>
                <c:pt idx="3">
                  <c:v>0.0237742342654421</c:v>
                </c:pt>
                <c:pt idx="4">
                  <c:v>0.0536390370688621</c:v>
                </c:pt>
                <c:pt idx="5">
                  <c:v>0.0959528173126447</c:v>
                </c:pt>
                <c:pt idx="6">
                  <c:v>0.150397298662818</c:v>
                </c:pt>
                <c:pt idx="7">
                  <c:v>0.216932234156586</c:v>
                </c:pt>
                <c:pt idx="8">
                  <c:v>0.295656592254106</c:v>
                </c:pt>
                <c:pt idx="9">
                  <c:v>0.386669378019447</c:v>
                </c:pt>
                <c:pt idx="10">
                  <c:v>0.490069630937058</c:v>
                </c:pt>
                <c:pt idx="11">
                  <c:v>0.605941961097425</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4.52381044693113</c:v>
                </c:pt>
                <c:pt idx="29">
                  <c:v>4.87051495281694</c:v>
                </c:pt>
                <c:pt idx="30">
                  <c:v>5.23023195522687</c:v>
                </c:pt>
                <c:pt idx="31">
                  <c:v>5.60297611074379</c:v>
                </c:pt>
                <c:pt idx="32">
                  <c:v>5.98876196007513</c:v>
                </c:pt>
                <c:pt idx="33">
                  <c:v>6.38760392523191</c:v>
                </c:pt>
                <c:pt idx="34">
                  <c:v>6.79951630690016</c:v>
                </c:pt>
                <c:pt idx="35">
                  <c:v>7.2245132819825</c:v>
                </c:pt>
                <c:pt idx="36">
                  <c:v>7.66260890129063</c:v>
                </c:pt>
                <c:pt idx="37">
                  <c:v>8.11381708737258</c:v>
                </c:pt>
                <c:pt idx="38">
                  <c:v>8.57815163246043</c:v>
                </c:pt>
                <c:pt idx="39">
                  <c:v>9.05562619652656</c:v>
                </c:pt>
                <c:pt idx="40">
                  <c:v>9.54625430543776</c:v>
                </c:pt>
                <c:pt idx="41">
                  <c:v>10.0500448353437</c:v>
                </c:pt>
                <c:pt idx="42">
                  <c:v>10.5669974874658</c:v>
                </c:pt>
                <c:pt idx="43">
                  <c:v>11.0971072870597</c:v>
                </c:pt>
                <c:pt idx="44">
                  <c:v>11.6403690924156</c:v>
                </c:pt>
                <c:pt idx="45">
                  <c:v>12.1967775939708</c:v>
                </c:pt>
                <c:pt idx="46">
                  <c:v>12.7663273134904</c:v>
                </c:pt>
                <c:pt idx="47">
                  <c:v>13.3490126033098</c:v>
                </c:pt>
                <c:pt idx="48">
                  <c:v>13.944827645637</c:v>
                </c:pt>
                <c:pt idx="49">
                  <c:v>14.5537664519077</c:v>
                </c:pt>
                <c:pt idx="50">
                  <c:v>15.1758228621925</c:v>
                </c:pt>
                <c:pt idx="51">
                  <c:v>15.8109905446507</c:v>
                </c:pt>
                <c:pt idx="52">
                  <c:v>16.4592629950292</c:v>
                </c:pt>
                <c:pt idx="53">
                  <c:v>17.1206335362031</c:v>
                </c:pt>
                <c:pt idx="54">
                  <c:v>17.795095317757</c:v>
                </c:pt>
                <c:pt idx="55">
                  <c:v>18.4826413156022</c:v>
                </c:pt>
                <c:pt idx="56">
                  <c:v>19.1832643316316</c:v>
                </c:pt>
                <c:pt idx="57">
                  <c:v>19.8969569934066</c:v>
                </c:pt>
                <c:pt idx="58">
                  <c:v>20.6237117538779</c:v>
                </c:pt>
                <c:pt idx="59">
                  <c:v>21.3635208911363</c:v>
                </c:pt>
                <c:pt idx="60">
                  <c:v>22.116376508193</c:v>
                </c:pt>
                <c:pt idx="61">
                  <c:v>22.8822705327891</c:v>
                </c:pt>
                <c:pt idx="62">
                  <c:v>23.6611947172314</c:v>
                </c:pt>
                <c:pt idx="63">
                  <c:v>24.4531406382549</c:v>
                </c:pt>
                <c:pt idx="64">
                  <c:v>25.2580996969102</c:v>
                </c:pt>
                <c:pt idx="65">
                  <c:v>26.0760631184758</c:v>
                </c:pt>
                <c:pt idx="66">
                  <c:v>26.9070219523937</c:v>
                </c:pt>
                <c:pt idx="67">
                  <c:v>27.7509670722276</c:v>
                </c:pt>
                <c:pt idx="68">
                  <c:v>28.6078891756439</c:v>
                </c:pt>
                <c:pt idx="69">
                  <c:v>29.4777787844132</c:v>
                </c:pt>
                <c:pt idx="70">
                  <c:v>30.3606262444339</c:v>
                </c:pt>
                <c:pt idx="71">
                  <c:v>31.2564217257753</c:v>
                </c:pt>
                <c:pt idx="72">
                  <c:v>32.1651552227409</c:v>
                </c:pt>
                <c:pt idx="73">
                  <c:v>33.0868165539511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47.3403191008921</c:v>
                </c:pt>
                <c:pt idx="88">
                  <c:v>48.4540382067721</c:v>
                </c:pt>
                <c:pt idx="89">
                  <c:v>49.5803513373839</c:v>
                </c:pt>
                <c:pt idx="90">
                  <c:v>50.7192268975048</c:v>
                </c:pt>
                <c:pt idx="91">
                  <c:v>51.8706310841689</c:v>
                </c:pt>
                <c:pt idx="92">
                  <c:v>53.0345258597699</c:v>
                </c:pt>
                <c:pt idx="93">
                  <c:v>54.2108709752172</c:v>
                </c:pt>
                <c:pt idx="94">
                  <c:v>55.3996259962981</c:v>
                </c:pt>
                <c:pt idx="95">
                  <c:v>56.6007503052889</c:v>
                </c:pt>
                <c:pt idx="96">
                  <c:v>57.8142031025794</c:v>
                </c:pt>
                <c:pt idx="97">
                  <c:v>59.0399434083093</c:v>
                </c:pt>
                <c:pt idx="98">
                  <c:v>60.2779300640165</c:v>
                </c:pt>
                <c:pt idx="99">
                  <c:v>61.5281217342969</c:v>
                </c:pt>
                <c:pt idx="100">
                  <c:v>62.7904769084752</c:v>
                </c:pt>
                <c:pt idx="101">
                  <c:v>64.0649535783243</c:v>
                </c:pt>
                <c:pt idx="102">
                  <c:v>65.3515089153761</c:v>
                </c:pt>
                <c:pt idx="103">
                  <c:v>66.6500995962024</c:v>
                </c:pt>
                <c:pt idx="104">
                  <c:v>67.9606821281556</c:v>
                </c:pt>
                <c:pt idx="105">
                  <c:v>69.2832128511519</c:v>
                </c:pt>
                <c:pt idx="106">
                  <c:v>70.617647939464</c:v>
                </c:pt>
                <c:pt idx="107">
                  <c:v>71.9639434035227</c:v>
                </c:pt>
                <c:pt idx="108">
                  <c:v>73.322055091726</c:v>
                </c:pt>
                <c:pt idx="109">
                  <c:v>74.6919386922565</c:v>
                </c:pt>
                <c:pt idx="110">
                  <c:v>76.0735497349065</c:v>
                </c:pt>
                <c:pt idx="111">
                  <c:v>77.4668473235084</c:v>
                </c:pt>
                <c:pt idx="112">
                  <c:v>78.8717978724917</c:v>
                </c:pt>
                <c:pt idx="113">
                  <c:v>80.2883713812461</c:v>
                </c:pt>
                <c:pt idx="114">
                  <c:v>81.7165377040319</c:v>
                </c:pt>
                <c:pt idx="115">
                  <c:v>83.1562665511598</c:v>
                </c:pt>
                <c:pt idx="116">
                  <c:v>84.6075274901793</c:v>
                </c:pt>
                <c:pt idx="117">
                  <c:v>86.070289947075</c:v>
                </c:pt>
                <c:pt idx="118">
                  <c:v>87.5445232074688</c:v>
                </c:pt>
                <c:pt idx="119">
                  <c:v>89.0301964178315</c:v>
                </c:pt>
                <c:pt idx="120">
                  <c:v>90.5272785866989</c:v>
                </c:pt>
                <c:pt idx="121">
                  <c:v>92.0357323971959</c:v>
                </c:pt>
                <c:pt idx="122">
                  <c:v>93.5555080137354</c:v>
                </c:pt>
                <c:pt idx="123">
                  <c:v>95.0865492687492</c:v>
                </c:pt>
                <c:pt idx="124">
                  <c:v>96.6287998558301</c:v>
                </c:pt>
                <c:pt idx="125">
                  <c:v>98.18220333213</c:v>
                </c:pt>
                <c:pt idx="126">
                  <c:v>99.7467031207575</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115.989223567471</c:v>
                </c:pt>
                <c:pt idx="137">
                  <c:v>117.671874993802</c:v>
                </c:pt>
                <c:pt idx="138">
                  <c:v>119.364888839612</c:v>
                </c:pt>
                <c:pt idx="139">
                  <c:v>121.068200522312</c:v>
                </c:pt>
                <c:pt idx="140">
                  <c:v>122.781745360408</c:v>
                </c:pt>
                <c:pt idx="141">
                  <c:v>124.505439197165</c:v>
                </c:pt>
                <c:pt idx="142">
                  <c:v>126.239159014771</c:v>
                </c:pt>
                <c:pt idx="143">
                  <c:v>127.982762322136</c:v>
                </c:pt>
                <c:pt idx="144">
                  <c:v>129.736106554507</c:v>
                </c:pt>
                <c:pt idx="145">
                  <c:v>131.499049080756</c:v>
                </c:pt>
                <c:pt idx="146">
                  <c:v>133.271447210596</c:v>
                </c:pt>
                <c:pt idx="147">
                  <c:v>135.053158201746</c:v>
                </c:pt>
                <c:pt idx="148">
                  <c:v>136.844039267026</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153.350498289288</c:v>
                </c:pt>
                <c:pt idx="158">
                  <c:v>155.224028762765</c:v>
                </c:pt>
                <c:pt idx="159">
                  <c:v>157.104056772517</c:v>
                </c:pt>
                <c:pt idx="160">
                  <c:v>158.99007313415</c:v>
                </c:pt>
                <c:pt idx="161">
                  <c:v>160.881452376397</c:v>
                </c:pt>
                <c:pt idx="162">
                  <c:v>162.777336189554</c:v>
                </c:pt>
                <c:pt idx="163">
                  <c:v>164.676761615208</c:v>
                </c:pt>
                <c:pt idx="164">
                  <c:v>166.578789170951</c:v>
                </c:pt>
                <c:pt idx="165">
                  <c:v>168.482603311807</c:v>
                </c:pt>
                <c:pt idx="166">
                  <c:v>170.387612715169</c:v>
                </c:pt>
                <c:pt idx="167">
                  <c:v>172.293253758675</c:v>
                </c:pt>
                <c:pt idx="168">
                  <c:v>174.198855599423</c:v>
                </c:pt>
                <c:pt idx="169">
                  <c:v>176.103550152462</c:v>
                </c:pt>
                <c:pt idx="170">
                  <c:v>178.00624363917</c:v>
                </c:pt>
                <c:pt idx="171">
                  <c:v>179.90617124101</c:v>
                </c:pt>
                <c:pt idx="172">
                  <c:v>181.803143928908</c:v>
                </c:pt>
                <c:pt idx="173">
                  <c:v>183.697168171124</c:v>
                </c:pt>
                <c:pt idx="174">
                  <c:v>185.588250410162</c:v>
                </c:pt>
                <c:pt idx="175">
                  <c:v>187.476397062908</c:v>
                </c:pt>
                <c:pt idx="176">
                  <c:v>189.361614520763</c:v>
                </c:pt>
                <c:pt idx="177">
                  <c:v>191.243909149777</c:v>
                </c:pt>
                <c:pt idx="178">
                  <c:v>193.123287290786</c:v>
                </c:pt>
                <c:pt idx="179">
                  <c:v>194.999755259537</c:v>
                </c:pt>
                <c:pt idx="180">
                  <c:v>196.873319346825</c:v>
                </c:pt>
                <c:pt idx="181">
                  <c:v>198.743985818621</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220.968216959713</c:v>
                </c:pt>
                <c:pt idx="194">
                  <c:v>222.801773570674</c:v>
                </c:pt>
                <c:pt idx="195">
                  <c:v>224.632517754234</c:v>
                </c:pt>
                <c:pt idx="196">
                  <c:v>226.460455419081</c:v>
                </c:pt>
                <c:pt idx="197">
                  <c:v>228.285592451052</c:v>
                </c:pt>
                <c:pt idx="198">
                  <c:v>230.107934713249</c:v>
                </c:pt>
                <c:pt idx="199">
                  <c:v>231.927488046157</c:v>
                </c:pt>
                <c:pt idx="200">
                  <c:v>233.744258267757</c:v>
                </c:pt>
                <c:pt idx="201">
                  <c:v>251.759338269024</c:v>
                </c:pt>
                <c:pt idx="202">
                  <c:v>269.499832784952</c:v>
                </c:pt>
                <c:pt idx="203">
                  <c:v>286.97134765305</c:v>
                </c:pt>
                <c:pt idx="204">
                  <c:v>304.179278247715</c:v>
                </c:pt>
                <c:pt idx="205">
                  <c:v>321.128819794228</c:v>
                </c:pt>
                <c:pt idx="206">
                  <c:v>337.824977049869</c:v>
                </c:pt>
                <c:pt idx="207">
                  <c:v>354.272573398403</c:v>
                </c:pt>
                <c:pt idx="208">
                  <c:v>370.476259400238</c:v>
                </c:pt>
                <c:pt idx="209">
                  <c:v>386.440520837068</c:v>
                </c:pt>
                <c:pt idx="210">
                  <c:v>402.169686286569</c:v>
                </c:pt>
                <c:pt idx="211">
                  <c:v>417.667934259837</c:v>
                </c:pt>
                <c:pt idx="212">
                  <c:v>432.939299931636</c:v>
                </c:pt>
                <c:pt idx="213">
                  <c:v>447.987681491085</c:v>
                </c:pt>
                <c:pt idx="214">
                  <c:v>462.816846138289</c:v>
                </c:pt>
                <c:pt idx="215">
                  <c:v>477.430435750407</c:v>
                </c:pt>
                <c:pt idx="216">
                  <c:v>491.831972238845</c:v>
                </c:pt>
                <c:pt idx="217">
                  <c:v>506.024862617608</c:v>
                </c:pt>
                <c:pt idx="218">
                  <c:v>520.012403801359</c:v>
                </c:pt>
                <c:pt idx="219">
                  <c:v>533.797787150326</c:v>
                </c:pt>
                <c:pt idx="220">
                  <c:v>547.384102777952</c:v>
                </c:pt>
                <c:pt idx="221">
                  <c:v>560.774343636018</c:v>
                </c:pt>
                <c:pt idx="222">
                  <c:v>573.971409390916</c:v>
                </c:pt>
                <c:pt idx="223">
                  <c:v>586.978110103761</c:v>
                </c:pt>
                <c:pt idx="224">
                  <c:v>599.797169726151</c:v>
                </c:pt>
                <c:pt idx="225">
                  <c:v>612.431229422539</c:v>
                </c:pt>
                <c:pt idx="226">
                  <c:v>624.882850729448</c:v>
                </c:pt>
                <c:pt idx="227">
                  <c:v>637.154518561036</c:v>
                </c:pt>
                <c:pt idx="228">
                  <c:v>649.248644069885</c:v>
                </c:pt>
                <c:pt idx="229">
                  <c:v>661.167567371297</c:v>
                </c:pt>
                <c:pt idx="230">
                  <c:v>672.913560138816</c:v>
                </c:pt>
                <c:pt idx="231">
                  <c:v>684.488828078198</c:v>
                </c:pt>
                <c:pt idx="232">
                  <c:v>695.895513286582</c:v>
                </c:pt>
                <c:pt idx="233">
                  <c:v>707.135696503156</c:v>
                </c:pt>
                <c:pt idx="234">
                  <c:v>718.211399257249</c:v>
                </c:pt>
                <c:pt idx="235">
                  <c:v>729.124585919368</c:v>
                </c:pt>
                <c:pt idx="236">
                  <c:v>739.877165660366</c:v>
                </c:pt>
                <c:pt idx="237">
                  <c:v>750.470994323609</c:v>
                </c:pt>
                <c:pt idx="238">
                  <c:v>760.907876214706</c:v>
                </c:pt>
                <c:pt idx="239">
                  <c:v>771.189565813081</c:v>
                </c:pt>
                <c:pt idx="240">
                  <c:v>781.317769409413</c:v>
                </c:pt>
                <c:pt idx="241">
                  <c:v>791.294146672729</c:v>
                </c:pt>
                <c:pt idx="242">
                  <c:v>801.120312150711</c:v>
                </c:pt>
                <c:pt idx="243">
                  <c:v>810.797836706551</c:v>
                </c:pt>
                <c:pt idx="244">
                  <c:v>820.328248895524</c:v>
                </c:pt>
                <c:pt idx="245">
                  <c:v>829.713036284235</c:v>
                </c:pt>
                <c:pt idx="246">
                  <c:v>838.953646715341</c:v>
                </c:pt>
                <c:pt idx="247">
                  <c:v>848.051489520393</c:v>
                </c:pt>
                <c:pt idx="248">
                  <c:v>857.007936683274</c:v>
                </c:pt>
                <c:pt idx="249">
                  <c:v>865.824323956595</c:v>
                </c:pt>
                <c:pt idx="250">
                  <c:v>874.501951933264</c:v>
                </c:pt>
                <c:pt idx="251">
                  <c:v>883.042087075321</c:v>
                </c:pt>
                <c:pt idx="252">
                  <c:v>891.445962702023</c:v>
                </c:pt>
                <c:pt idx="253">
                  <c:v>899.714779939057</c:v>
                </c:pt>
                <c:pt idx="254">
                  <c:v>907.849708630642</c:v>
                </c:pt>
                <c:pt idx="255">
                  <c:v>915.851888216219</c:v>
                </c:pt>
                <c:pt idx="256">
                  <c:v>923.722428573292</c:v>
                </c:pt>
                <c:pt idx="257">
                  <c:v>931.462410827955</c:v>
                </c:pt>
                <c:pt idx="258">
                  <c:v>939.072888134509</c:v>
                </c:pt>
                <c:pt idx="259">
                  <c:v>946.554886425535</c:v>
                </c:pt>
                <c:pt idx="260">
                  <c:v>953.909405133704</c:v>
                </c:pt>
                <c:pt idx="261">
                  <c:v>961.137417886551</c:v>
                </c:pt>
                <c:pt idx="262">
                  <c:v>968.239873175354</c:v>
                </c:pt>
                <c:pt idx="263">
                  <c:v>975.217694999242</c:v>
                </c:pt>
                <c:pt idx="264">
                  <c:v>982.071783485561</c:v>
                </c:pt>
                <c:pt idx="265">
                  <c:v>988.803015487493</c:v>
                </c:pt>
                <c:pt idx="266">
                  <c:v>995.412245159895</c:v>
                </c:pt>
                <c:pt idx="267">
                  <c:v>1001.90030451423</c:v>
                </c:pt>
                <c:pt idx="268">
                  <c:v>1008.26800395349</c:v>
                </c:pt>
                <c:pt idx="269">
                  <c:v>1014.51613278786</c:v>
                </c:pt>
                <c:pt idx="270">
                  <c:v>1020.64545973203</c:v>
                </c:pt>
                <c:pt idx="271">
                  <c:v>1026.65673338474</c:v>
                </c:pt>
                <c:pt idx="272">
                  <c:v>1032.55068269141</c:v>
                </c:pt>
                <c:pt idx="273">
                  <c:v>1038.32801739047</c:v>
                </c:pt>
                <c:pt idx="274">
                  <c:v>1043.98942844403</c:v>
                </c:pt>
                <c:pt idx="275">
                  <c:v>1049.53558845364</c:v>
                </c:pt>
                <c:pt idx="276">
                  <c:v>1054.96715206147</c:v>
                </c:pt>
                <c:pt idx="277">
                  <c:v>1060.28475633787</c:v>
                </c:pt>
                <c:pt idx="278">
                  <c:v>1065.48902115551</c:v>
                </c:pt>
                <c:pt idx="279">
                  <c:v>1070.58054955085</c:v>
                </c:pt>
                <c:pt idx="280">
                  <c:v>1075.55992807338</c:v>
                </c:pt>
                <c:pt idx="281">
                  <c:v>1080.42772712318</c:v>
                </c:pt>
                <c:pt idx="282">
                  <c:v>1085.18450127717</c:v>
                </c:pt>
                <c:pt idx="283">
                  <c:v>1089.83078960477</c:v>
                </c:pt>
                <c:pt idx="284">
                  <c:v>1094.36711597305</c:v>
                </c:pt>
                <c:pt idx="285">
                  <c:v>1098.79398934229</c:v>
                </c:pt>
                <c:pt idx="286">
                  <c:v>1103.11190405194</c:v>
                </c:pt>
                <c:pt idx="287">
                  <c:v>1107.32134009781</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1140.3971564499</c:v>
                </c:pt>
                <c:pt idx="297">
                  <c:v>1143.54523245974</c:v>
                </c:pt>
                <c:pt idx="298">
                  <c:v>1146.58923471149</c:v>
                </c:pt>
                <c:pt idx="299">
                  <c:v>1149.52949004743</c:v>
                </c:pt>
                <c:pt idx="300">
                  <c:v>1152.36631396239</c:v>
                </c:pt>
                <c:pt idx="301">
                  <c:v>1155.1000108056</c:v>
                </c:pt>
                <c:pt idx="302">
                  <c:v>1157.73087398174</c:v>
                </c:pt>
                <c:pt idx="303">
                  <c:v>1160.2591861519</c:v>
                </c:pt>
                <c:pt idx="304">
                  <c:v>1162.68521943538</c:v>
                </c:pt>
                <c:pt idx="305">
                  <c:v>1165.00923561341</c:v>
                </c:pt>
                <c:pt idx="306">
                  <c:v>1167.23148633575</c:v>
                </c:pt>
                <c:pt idx="307">
                  <c:v>1169.35221333152</c:v>
                </c:pt>
                <c:pt idx="308">
                  <c:v>1171.37164862532</c:v>
                </c:pt>
                <c:pt idx="309">
                  <c:v>1173.29001476041</c:v>
                </c:pt>
                <c:pt idx="310">
                  <c:v>1175.1075250301</c:v>
                </c:pt>
                <c:pt idx="311">
                  <c:v>1176.82438371933</c:v>
                </c:pt>
                <c:pt idx="312">
                  <c:v>1178.44078635796</c:v>
                </c:pt>
                <c:pt idx="313">
                  <c:v>1179.95691998779</c:v>
                </c:pt>
                <c:pt idx="314">
                  <c:v>1181.3729634453</c:v>
                </c:pt>
                <c:pt idx="315">
                  <c:v>1182.68908766194</c:v>
                </c:pt>
                <c:pt idx="316">
                  <c:v>1183.90545598429</c:v>
                </c:pt>
                <c:pt idx="317">
                  <c:v>1185.02222451576</c:v>
                </c:pt>
                <c:pt idx="318">
                  <c:v>1186.03954248212</c:v>
                </c:pt>
                <c:pt idx="319">
                  <c:v>1186.95755262217</c:v>
                </c:pt>
                <c:pt idx="320">
                  <c:v>1187.77639160531</c:v>
                </c:pt>
                <c:pt idx="321">
                  <c:v>1188.4961904768</c:v>
                </c:pt>
                <c:pt idx="322">
                  <c:v>1189.1170751314</c:v>
                </c:pt>
                <c:pt idx="323">
                  <c:v>1189.63916681507</c:v>
                </c:pt>
                <c:pt idx="324">
                  <c:v>1190.06258265402</c:v>
                </c:pt>
                <c:pt idx="325">
                  <c:v>1190.38743620944</c:v>
                </c:pt>
                <c:pt idx="326">
                  <c:v>1190.61383805511</c:v>
                </c:pt>
                <c:pt idx="327">
                  <c:v>1190.7418963748</c:v>
                </c:pt>
                <c:pt idx="328">
                  <c:v>1190.77171757483</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numCache>
            </c:numRef>
          </c:yVal>
          <c:smooth val="1"/>
        </c:ser>
        <c:ser>
          <c:idx val="6"/>
          <c:order val="6"/>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Trajecto!$B$157</c:f>
              <c:numCache>
                <c:formatCode>General</c:formatCode>
                <c:ptCount val="1"/>
                <c:pt idx="0">
                  <c:v>4</c:v>
                </c:pt>
              </c:numCache>
            </c:numRef>
          </c:xVal>
          <c:yVal>
            <c:numRef>
              <c:f>Trajecto!$C$155</c:f>
              <c:numCache>
                <c:formatCode>General</c:formatCode>
                <c:ptCount val="1"/>
                <c:pt idx="0">
                  <c:v>591.7530377607</c:v>
                </c:pt>
              </c:numCache>
            </c:numRef>
          </c:yVal>
          <c:smooth val="1"/>
        </c:ser>
        <c:ser>
          <c:idx val="7"/>
          <c:order val="7"/>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Trajecto!$B$158</c:f>
              <c:numCache>
                <c:formatCode>General</c:formatCode>
                <c:ptCount val="1"/>
                <c:pt idx="0">
                  <c:v>23.4000000000001</c:v>
                </c:pt>
              </c:numCache>
            </c:numRef>
          </c:xVal>
          <c:yVal>
            <c:numRef>
              <c:f>Trajecto!$C$156</c:f>
              <c:numCache>
                <c:formatCode>General</c:formatCode>
                <c:ptCount val="1"/>
                <c:pt idx="0">
                  <c:v>595.370948187399</c:v>
                </c:pt>
              </c:numCache>
            </c:numRef>
          </c:yVal>
          <c:smooth val="1"/>
        </c:ser>
        <c:axId val="9683807"/>
        <c:axId val="92577041"/>
      </c:scatterChart>
      <c:valAx>
        <c:axId val="9683807"/>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Temps [s]</a:t>
                </a:r>
              </a:p>
            </c:rich>
          </c:tx>
          <c:layout>
            <c:manualLayout>
              <c:xMode val="edge"/>
              <c:yMode val="edge"/>
              <c:x val="0.605593742593032"/>
              <c:y val="0.851275450503159"/>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92577041"/>
        <c:crosses val="autoZero"/>
        <c:crossBetween val="midCat"/>
      </c:valAx>
      <c:valAx>
        <c:axId val="92577041"/>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99502251718417"/>
              <c:y val="0.067985022232623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9683807"/>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a:t>
            </a:r>
          </a:p>
        </c:rich>
      </c:tx>
      <c:overlay val="0"/>
      <c:spPr>
        <a:noFill/>
        <a:ln w="0">
          <a:noFill/>
        </a:ln>
      </c:spPr>
    </c:title>
    <c:autoTitleDeleted val="0"/>
    <c:plotArea>
      <c:layout>
        <c:manualLayout>
          <c:layoutTarget val="inner"/>
          <c:xMode val="edge"/>
          <c:yMode val="edge"/>
          <c:x val="0.116762310255461"/>
          <c:y val="0.0947381422924901"/>
          <c:w val="0.864355794150315"/>
          <c:h val="0.741724308300395"/>
        </c:manualLayout>
      </c:layout>
      <c:scatterChart>
        <c:scatterStyle val="line"/>
        <c:varyColors val="0"/>
        <c:ser>
          <c:idx val="0"/>
          <c:order val="0"/>
          <c:tx>
            <c:strRef>
              <c:f>Courbes!$B$134</c:f>
              <c:strCache>
                <c:ptCount val="1"/>
                <c:pt idx="0">
                  <c:v>Poussée</c:v>
                </c:pt>
              </c:strCache>
            </c:strRef>
          </c:tx>
          <c:spPr>
            <a:solidFill>
              <a:srgbClr val="008000"/>
            </a:solidFill>
            <a:ln w="25560">
              <a:solidFill>
                <a:srgbClr val="008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Calculs!$Q$4:$Q$1004</c:f>
              <c:numCache>
                <c:formatCode>General</c:formatCode>
                <c:ptCount val="1001"/>
                <c:pt idx="1">
                  <c:v>246.125</c:v>
                </c:pt>
                <c:pt idx="2">
                  <c:v>930.855</c:v>
                </c:pt>
                <c:pt idx="3">
                  <c:v>1347.21833333333</c:v>
                </c:pt>
                <c:pt idx="4">
                  <c:v>1302.735</c:v>
                </c:pt>
                <c:pt idx="5">
                  <c:v>1258.25166666667</c:v>
                </c:pt>
                <c:pt idx="6">
                  <c:v>1240.356</c:v>
                </c:pt>
                <c:pt idx="7">
                  <c:v>1249.048</c:v>
                </c:pt>
                <c:pt idx="8">
                  <c:v>1257.74</c:v>
                </c:pt>
                <c:pt idx="9">
                  <c:v>1266.432</c:v>
                </c:pt>
                <c:pt idx="10">
                  <c:v>1275.124</c:v>
                </c:pt>
                <c:pt idx="11">
                  <c:v>1281.066</c:v>
                </c:pt>
                <c:pt idx="12">
                  <c:v>1284.258</c:v>
                </c:pt>
                <c:pt idx="13">
                  <c:v>1287.45</c:v>
                </c:pt>
                <c:pt idx="14">
                  <c:v>1290.642</c:v>
                </c:pt>
                <c:pt idx="15">
                  <c:v>1293.834</c:v>
                </c:pt>
                <c:pt idx="16">
                  <c:v>1297.026</c:v>
                </c:pt>
                <c:pt idx="17">
                  <c:v>1300.218</c:v>
                </c:pt>
                <c:pt idx="18">
                  <c:v>1303.41</c:v>
                </c:pt>
                <c:pt idx="19">
                  <c:v>1306.602</c:v>
                </c:pt>
                <c:pt idx="20">
                  <c:v>1309.794</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c:v>
                </c:pt>
                <c:pt idx="42">
                  <c:v>1330.365875</c:v>
                </c:pt>
                <c:pt idx="43">
                  <c:v>1329.683125</c:v>
                </c:pt>
                <c:pt idx="44">
                  <c:v>1329.000375</c:v>
                </c:pt>
                <c:pt idx="45">
                  <c:v>1328.317625</c:v>
                </c:pt>
                <c:pt idx="46">
                  <c:v>1327.634875</c:v>
                </c:pt>
                <c:pt idx="47">
                  <c:v>1326.952125</c:v>
                </c:pt>
                <c:pt idx="48">
                  <c:v>1326.269375</c:v>
                </c:pt>
                <c:pt idx="49">
                  <c:v>1325.586625</c:v>
                </c:pt>
                <c:pt idx="50">
                  <c:v>1324.903875</c:v>
                </c:pt>
                <c:pt idx="51">
                  <c:v>1324.221125</c:v>
                </c:pt>
                <c:pt idx="52">
                  <c:v>1323.538375</c:v>
                </c:pt>
                <c:pt idx="53">
                  <c:v>1322.855625</c:v>
                </c:pt>
                <c:pt idx="54">
                  <c:v>1322.172875</c:v>
                </c:pt>
                <c:pt idx="55">
                  <c:v>1321.490125</c:v>
                </c:pt>
                <c:pt idx="56">
                  <c:v>1320.807375</c:v>
                </c:pt>
                <c:pt idx="57">
                  <c:v>1320.124625</c:v>
                </c:pt>
                <c:pt idx="58">
                  <c:v>1319.441875</c:v>
                </c:pt>
                <c:pt idx="59">
                  <c:v>1318.759125</c:v>
                </c:pt>
                <c:pt idx="60">
                  <c:v>1318.076375</c:v>
                </c:pt>
                <c:pt idx="61">
                  <c:v>1317.393625</c:v>
                </c:pt>
                <c:pt idx="62">
                  <c:v>1316.710875</c:v>
                </c:pt>
                <c:pt idx="63">
                  <c:v>1316.028125</c:v>
                </c:pt>
                <c:pt idx="64">
                  <c:v>1315.345375</c:v>
                </c:pt>
                <c:pt idx="65">
                  <c:v>1314.662625</c:v>
                </c:pt>
                <c:pt idx="66">
                  <c:v>1313.979875</c:v>
                </c:pt>
                <c:pt idx="67">
                  <c:v>1313.297125</c:v>
                </c:pt>
                <c:pt idx="68">
                  <c:v>1312.614375</c:v>
                </c:pt>
                <c:pt idx="69">
                  <c:v>1311.931625</c:v>
                </c:pt>
                <c:pt idx="70">
                  <c:v>1311.248875</c:v>
                </c:pt>
                <c:pt idx="71">
                  <c:v>1310.566125</c:v>
                </c:pt>
                <c:pt idx="72">
                  <c:v>1309.883375</c:v>
                </c:pt>
                <c:pt idx="73">
                  <c:v>1309.200625</c:v>
                </c:pt>
                <c:pt idx="74">
                  <c:v>1308.517875</c:v>
                </c:pt>
                <c:pt idx="75">
                  <c:v>1307.835125</c:v>
                </c:pt>
                <c:pt idx="76">
                  <c:v>1307.152375</c:v>
                </c:pt>
                <c:pt idx="77">
                  <c:v>1306.469625</c:v>
                </c:pt>
                <c:pt idx="78">
                  <c:v>1305.786875</c:v>
                </c:pt>
                <c:pt idx="79">
                  <c:v>1305.104125</c:v>
                </c:pt>
                <c:pt idx="80">
                  <c:v>1304.421375</c:v>
                </c:pt>
                <c:pt idx="81">
                  <c:v>1302.907</c:v>
                </c:pt>
                <c:pt idx="82">
                  <c:v>1300.561</c:v>
                </c:pt>
                <c:pt idx="83">
                  <c:v>1298.215</c:v>
                </c:pt>
                <c:pt idx="84">
                  <c:v>1295.869</c:v>
                </c:pt>
                <c:pt idx="85">
                  <c:v>1293.523</c:v>
                </c:pt>
                <c:pt idx="86">
                  <c:v>1291.177</c:v>
                </c:pt>
                <c:pt idx="87">
                  <c:v>1288.831</c:v>
                </c:pt>
                <c:pt idx="88">
                  <c:v>1286.485</c:v>
                </c:pt>
                <c:pt idx="89">
                  <c:v>1284.139</c:v>
                </c:pt>
                <c:pt idx="90">
                  <c:v>1281.793</c:v>
                </c:pt>
                <c:pt idx="91">
                  <c:v>1279.082</c:v>
                </c:pt>
                <c:pt idx="92">
                  <c:v>1276.006</c:v>
                </c:pt>
                <c:pt idx="93">
                  <c:v>1272.93</c:v>
                </c:pt>
                <c:pt idx="94">
                  <c:v>1269.854</c:v>
                </c:pt>
                <c:pt idx="95">
                  <c:v>1266.778</c:v>
                </c:pt>
                <c:pt idx="96">
                  <c:v>1263.702</c:v>
                </c:pt>
                <c:pt idx="97">
                  <c:v>1260.626</c:v>
                </c:pt>
                <c:pt idx="98">
                  <c:v>1257.55</c:v>
                </c:pt>
                <c:pt idx="99">
                  <c:v>1254.474</c:v>
                </c:pt>
                <c:pt idx="100">
                  <c:v>1251.398</c:v>
                </c:pt>
                <c:pt idx="101">
                  <c:v>1248.264</c:v>
                </c:pt>
                <c:pt idx="102">
                  <c:v>1245.072</c:v>
                </c:pt>
                <c:pt idx="103">
                  <c:v>1241.88</c:v>
                </c:pt>
                <c:pt idx="104">
                  <c:v>1238.688</c:v>
                </c:pt>
                <c:pt idx="105">
                  <c:v>1235.496</c:v>
                </c:pt>
                <c:pt idx="106">
                  <c:v>1232.304</c:v>
                </c:pt>
                <c:pt idx="107">
                  <c:v>1229.112</c:v>
                </c:pt>
                <c:pt idx="108">
                  <c:v>1225.92</c:v>
                </c:pt>
                <c:pt idx="109">
                  <c:v>1222.728</c:v>
                </c:pt>
                <c:pt idx="110">
                  <c:v>1219.536</c:v>
                </c:pt>
                <c:pt idx="111">
                  <c:v>1217.0075</c:v>
                </c:pt>
                <c:pt idx="112">
                  <c:v>1215.1425</c:v>
                </c:pt>
                <c:pt idx="113">
                  <c:v>1213.2775</c:v>
                </c:pt>
                <c:pt idx="114">
                  <c:v>1211.4125</c:v>
                </c:pt>
                <c:pt idx="115">
                  <c:v>1209.5475</c:v>
                </c:pt>
                <c:pt idx="116">
                  <c:v>1207.6825</c:v>
                </c:pt>
                <c:pt idx="117">
                  <c:v>1205.8175</c:v>
                </c:pt>
                <c:pt idx="118">
                  <c:v>1203.9525</c:v>
                </c:pt>
                <c:pt idx="119">
                  <c:v>1202.0875</c:v>
                </c:pt>
                <c:pt idx="120">
                  <c:v>1200.2225</c:v>
                </c:pt>
                <c:pt idx="121">
                  <c:v>1197.264</c:v>
                </c:pt>
                <c:pt idx="122">
                  <c:v>1193.212</c:v>
                </c:pt>
                <c:pt idx="123">
                  <c:v>1189.16</c:v>
                </c:pt>
                <c:pt idx="124">
                  <c:v>1185.108</c:v>
                </c:pt>
                <c:pt idx="125">
                  <c:v>1181.056</c:v>
                </c:pt>
                <c:pt idx="126">
                  <c:v>1177.004</c:v>
                </c:pt>
                <c:pt idx="127">
                  <c:v>1172.952</c:v>
                </c:pt>
                <c:pt idx="128">
                  <c:v>1168.9</c:v>
                </c:pt>
                <c:pt idx="129">
                  <c:v>1164.848</c:v>
                </c:pt>
                <c:pt idx="130">
                  <c:v>1160.796</c:v>
                </c:pt>
                <c:pt idx="131">
                  <c:v>1156.4595</c:v>
                </c:pt>
                <c:pt idx="132">
                  <c:v>1151.8385</c:v>
                </c:pt>
                <c:pt idx="133">
                  <c:v>1147.2175</c:v>
                </c:pt>
                <c:pt idx="134">
                  <c:v>1142.5965</c:v>
                </c:pt>
                <c:pt idx="135">
                  <c:v>1137.9755</c:v>
                </c:pt>
                <c:pt idx="136">
                  <c:v>1133.3545</c:v>
                </c:pt>
                <c:pt idx="137">
                  <c:v>1128.7335</c:v>
                </c:pt>
                <c:pt idx="138">
                  <c:v>1124.1125</c:v>
                </c:pt>
                <c:pt idx="139">
                  <c:v>1119.4915</c:v>
                </c:pt>
                <c:pt idx="140">
                  <c:v>1114.8705</c:v>
                </c:pt>
                <c:pt idx="141">
                  <c:v>1106.86833333333</c:v>
                </c:pt>
                <c:pt idx="142">
                  <c:v>1095.485</c:v>
                </c:pt>
                <c:pt idx="143">
                  <c:v>1084.10166666667</c:v>
                </c:pt>
                <c:pt idx="144">
                  <c:v>1072.71833333333</c:v>
                </c:pt>
                <c:pt idx="145">
                  <c:v>1061.335</c:v>
                </c:pt>
                <c:pt idx="146">
                  <c:v>1049.95166666667</c:v>
                </c:pt>
                <c:pt idx="147">
                  <c:v>1038.56833333333</c:v>
                </c:pt>
                <c:pt idx="148">
                  <c:v>1027.185</c:v>
                </c:pt>
                <c:pt idx="149">
                  <c:v>1015.80166666667</c:v>
                </c:pt>
                <c:pt idx="150">
                  <c:v>1004.41833333333</c:v>
                </c:pt>
                <c:pt idx="151">
                  <c:v>993.034999999999</c:v>
                </c:pt>
                <c:pt idx="152">
                  <c:v>981.651666666665</c:v>
                </c:pt>
                <c:pt idx="153">
                  <c:v>970.268333333332</c:v>
                </c:pt>
                <c:pt idx="154">
                  <c:v>958.884999999999</c:v>
                </c:pt>
                <c:pt idx="155">
                  <c:v>947.501666666665</c:v>
                </c:pt>
                <c:pt idx="156">
                  <c:v>920.235999999995</c:v>
                </c:pt>
                <c:pt idx="157">
                  <c:v>877.087999999995</c:v>
                </c:pt>
                <c:pt idx="158">
                  <c:v>833.939999999995</c:v>
                </c:pt>
                <c:pt idx="159">
                  <c:v>790.791999999995</c:v>
                </c:pt>
                <c:pt idx="160">
                  <c:v>747.643999999995</c:v>
                </c:pt>
                <c:pt idx="161">
                  <c:v>684.34499999999</c:v>
                </c:pt>
                <c:pt idx="162">
                  <c:v>600.89499999999</c:v>
                </c:pt>
                <c:pt idx="163">
                  <c:v>519.36499999999</c:v>
                </c:pt>
                <c:pt idx="164">
                  <c:v>439.754999999989</c:v>
                </c:pt>
                <c:pt idx="165">
                  <c:v>379.377499999994</c:v>
                </c:pt>
                <c:pt idx="166">
                  <c:v>338.232499999994</c:v>
                </c:pt>
                <c:pt idx="167">
                  <c:v>282.46999999999</c:v>
                </c:pt>
                <c:pt idx="168">
                  <c:v>222.664999999993</c:v>
                </c:pt>
                <c:pt idx="169">
                  <c:v>132.674999999981</c:v>
                </c:pt>
                <c:pt idx="170">
                  <c:v>33.6499999999903</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1"/>
          <c:order val="1"/>
          <c:tx>
            <c:strRef>
              <c:f>Courbes!$B$135</c:f>
              <c:strCache>
                <c:ptCount val="1"/>
                <c:pt idx="0">
                  <c:v>Poids</c:v>
                </c:pt>
              </c:strCache>
            </c:strRef>
          </c:tx>
          <c:spPr>
            <a:solidFill>
              <a:srgbClr val="0000ff"/>
            </a:solidFill>
            <a:ln w="25560">
              <a:solidFill>
                <a:srgbClr val="0000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Calculs!$T$4:$T$1004</c:f>
              <c:numCache>
                <c:formatCode>General</c:formatCode>
                <c:ptCount val="1001"/>
                <c:pt idx="0">
                  <c:v>92.52792</c:v>
                </c:pt>
                <c:pt idx="1">
                  <c:v>92.5160544480318</c:v>
                </c:pt>
                <c:pt idx="2">
                  <c:v>92.4711784363413</c:v>
                </c:pt>
                <c:pt idx="3">
                  <c:v>92.4062297755118</c:v>
                </c:pt>
                <c:pt idx="4">
                  <c:v>92.3434256319129</c:v>
                </c:pt>
                <c:pt idx="5">
                  <c:v>92.2827660055447</c:v>
                </c:pt>
                <c:pt idx="6">
                  <c:v>92.2229691195029</c:v>
                </c:pt>
                <c:pt idx="7">
                  <c:v>92.1627531968832</c:v>
                </c:pt>
                <c:pt idx="8">
                  <c:v>92.1021182376858</c:v>
                </c:pt>
                <c:pt idx="9">
                  <c:v>92.0410642419106</c:v>
                </c:pt>
                <c:pt idx="10">
                  <c:v>91.9795912095577</c:v>
                </c:pt>
                <c:pt idx="11">
                  <c:v>91.9178317166266</c:v>
                </c:pt>
                <c:pt idx="12">
                  <c:v>91.8559183391169</c:v>
                </c:pt>
                <c:pt idx="13">
                  <c:v>91.7938510770288</c:v>
                </c:pt>
                <c:pt idx="14">
                  <c:v>91.7316299303622</c:v>
                </c:pt>
                <c:pt idx="15">
                  <c:v>91.6692548991171</c:v>
                </c:pt>
                <c:pt idx="16">
                  <c:v>91.6067259832935</c:v>
                </c:pt>
                <c:pt idx="17">
                  <c:v>91.5440431828914</c:v>
                </c:pt>
                <c:pt idx="18">
                  <c:v>91.4812064979108</c:v>
                </c:pt>
                <c:pt idx="19">
                  <c:v>91.4182159283518</c:v>
                </c:pt>
                <c:pt idx="20">
                  <c:v>91.3550714742142</c:v>
                </c:pt>
                <c:pt idx="21">
                  <c:v>91.2918259730601</c:v>
                </c:pt>
                <c:pt idx="22">
                  <c:v>91.2285322624517</c:v>
                </c:pt>
                <c:pt idx="23">
                  <c:v>91.1651903423888</c:v>
                </c:pt>
                <c:pt idx="24">
                  <c:v>91.1018002128715</c:v>
                </c:pt>
                <c:pt idx="25">
                  <c:v>91.0383618738998</c:v>
                </c:pt>
                <c:pt idx="26">
                  <c:v>90.9748753254737</c:v>
                </c:pt>
                <c:pt idx="27">
                  <c:v>90.9113405675932</c:v>
                </c:pt>
                <c:pt idx="28">
                  <c:v>90.8477576002582</c:v>
                </c:pt>
                <c:pt idx="29">
                  <c:v>90.7841264234689</c:v>
                </c:pt>
                <c:pt idx="30">
                  <c:v>90.7204470372251</c:v>
                </c:pt>
                <c:pt idx="31">
                  <c:v>90.6567194415269</c:v>
                </c:pt>
                <c:pt idx="32">
                  <c:v>90.5929436363742</c:v>
                </c:pt>
                <c:pt idx="33">
                  <c:v>90.5291196217672</c:v>
                </c:pt>
                <c:pt idx="34">
                  <c:v>90.4652473977058</c:v>
                </c:pt>
                <c:pt idx="35">
                  <c:v>90.4013269641899</c:v>
                </c:pt>
                <c:pt idx="36">
                  <c:v>90.3373583212196</c:v>
                </c:pt>
                <c:pt idx="37">
                  <c:v>90.2733414687949</c:v>
                </c:pt>
                <c:pt idx="38">
                  <c:v>90.2092764069158</c:v>
                </c:pt>
                <c:pt idx="39">
                  <c:v>90.1451631355823</c:v>
                </c:pt>
                <c:pt idx="40">
                  <c:v>90.0810016547943</c:v>
                </c:pt>
                <c:pt idx="41">
                  <c:v>90.0168325267817</c:v>
                </c:pt>
                <c:pt idx="42">
                  <c:v>89.952696313774</c:v>
                </c:pt>
                <c:pt idx="43">
                  <c:v>89.8885930157714</c:v>
                </c:pt>
                <c:pt idx="44">
                  <c:v>89.8245226327737</c:v>
                </c:pt>
                <c:pt idx="45">
                  <c:v>89.7604851647811</c:v>
                </c:pt>
                <c:pt idx="46">
                  <c:v>89.6964806117934</c:v>
                </c:pt>
                <c:pt idx="47">
                  <c:v>89.6325089738108</c:v>
                </c:pt>
                <c:pt idx="48">
                  <c:v>89.5685702508332</c:v>
                </c:pt>
                <c:pt idx="49">
                  <c:v>89.5046644428605</c:v>
                </c:pt>
                <c:pt idx="50">
                  <c:v>89.4407915498929</c:v>
                </c:pt>
                <c:pt idx="51">
                  <c:v>89.3769515719303</c:v>
                </c:pt>
                <c:pt idx="52">
                  <c:v>89.3131445089726</c:v>
                </c:pt>
                <c:pt idx="53">
                  <c:v>89.24937036102</c:v>
                </c:pt>
                <c:pt idx="54">
                  <c:v>89.1856291280724</c:v>
                </c:pt>
                <c:pt idx="55">
                  <c:v>89.1219208101298</c:v>
                </c:pt>
                <c:pt idx="56">
                  <c:v>89.0582454071922</c:v>
                </c:pt>
                <c:pt idx="57">
                  <c:v>88.9946029192596</c:v>
                </c:pt>
                <c:pt idx="58">
                  <c:v>88.930993346332</c:v>
                </c:pt>
                <c:pt idx="59">
                  <c:v>88.8674166884093</c:v>
                </c:pt>
                <c:pt idx="60">
                  <c:v>88.8038729454917</c:v>
                </c:pt>
                <c:pt idx="61">
                  <c:v>88.7403621175791</c:v>
                </c:pt>
                <c:pt idx="62">
                  <c:v>88.6768842046715</c:v>
                </c:pt>
                <c:pt idx="63">
                  <c:v>88.6134392067689</c:v>
                </c:pt>
                <c:pt idx="64">
                  <c:v>88.5500271238714</c:v>
                </c:pt>
                <c:pt idx="65">
                  <c:v>88.4866479559788</c:v>
                </c:pt>
                <c:pt idx="66">
                  <c:v>88.4233017030912</c:v>
                </c:pt>
                <c:pt idx="67">
                  <c:v>88.3599883652086</c:v>
                </c:pt>
                <c:pt idx="68">
                  <c:v>88.296707942331</c:v>
                </c:pt>
                <c:pt idx="69">
                  <c:v>88.2334604344584</c:v>
                </c:pt>
                <c:pt idx="70">
                  <c:v>88.1702458415908</c:v>
                </c:pt>
                <c:pt idx="71">
                  <c:v>88.1070641637283</c:v>
                </c:pt>
                <c:pt idx="72">
                  <c:v>88.0439154008707</c:v>
                </c:pt>
                <c:pt idx="73">
                  <c:v>87.9807995530181</c:v>
                </c:pt>
                <c:pt idx="74">
                  <c:v>87.9177166201706</c:v>
                </c:pt>
                <c:pt idx="75">
                  <c:v>87.854666602328</c:v>
                </c:pt>
                <c:pt idx="76">
                  <c:v>87.7916494994905</c:v>
                </c:pt>
                <c:pt idx="77">
                  <c:v>87.7286653116579</c:v>
                </c:pt>
                <c:pt idx="78">
                  <c:v>87.6657140388303</c:v>
                </c:pt>
                <c:pt idx="79">
                  <c:v>87.6027956810078</c:v>
                </c:pt>
                <c:pt idx="80">
                  <c:v>87.5399102381902</c:v>
                </c:pt>
                <c:pt idx="81">
                  <c:v>87.4770978025652</c:v>
                </c:pt>
                <c:pt idx="82">
                  <c:v>87.4143984663202</c:v>
                </c:pt>
                <c:pt idx="83">
                  <c:v>87.3518122294553</c:v>
                </c:pt>
                <c:pt idx="84">
                  <c:v>87.2893390919705</c:v>
                </c:pt>
                <c:pt idx="85">
                  <c:v>87.2269790538657</c:v>
                </c:pt>
                <c:pt idx="86">
                  <c:v>87.164732115141</c:v>
                </c:pt>
                <c:pt idx="87">
                  <c:v>87.1025982757964</c:v>
                </c:pt>
                <c:pt idx="88">
                  <c:v>87.0405775358318</c:v>
                </c:pt>
                <c:pt idx="89">
                  <c:v>86.9786698952472</c:v>
                </c:pt>
                <c:pt idx="90">
                  <c:v>86.9168753540428</c:v>
                </c:pt>
                <c:pt idx="91">
                  <c:v>86.8552115086692</c:v>
                </c:pt>
                <c:pt idx="92">
                  <c:v>86.7936959555774</c:v>
                </c:pt>
                <c:pt idx="93">
                  <c:v>86.7323286947675</c:v>
                </c:pt>
                <c:pt idx="94">
                  <c:v>86.6711097262392</c:v>
                </c:pt>
                <c:pt idx="95">
                  <c:v>86.6100390499928</c:v>
                </c:pt>
                <c:pt idx="96">
                  <c:v>86.5491166660282</c:v>
                </c:pt>
                <c:pt idx="97">
                  <c:v>86.4883425743454</c:v>
                </c:pt>
                <c:pt idx="98">
                  <c:v>86.4277167749443</c:v>
                </c:pt>
                <c:pt idx="99">
                  <c:v>86.367239267825</c:v>
                </c:pt>
                <c:pt idx="100">
                  <c:v>86.3069100529875</c:v>
                </c:pt>
                <c:pt idx="101">
                  <c:v>86.2467319265802</c:v>
                </c:pt>
                <c:pt idx="102">
                  <c:v>86.1867076847513</c:v>
                </c:pt>
                <c:pt idx="103">
                  <c:v>86.1268373275009</c:v>
                </c:pt>
                <c:pt idx="104">
                  <c:v>86.0671208548291</c:v>
                </c:pt>
                <c:pt idx="105">
                  <c:v>86.0075582667357</c:v>
                </c:pt>
                <c:pt idx="106">
                  <c:v>85.9481495632208</c:v>
                </c:pt>
                <c:pt idx="107">
                  <c:v>85.8888947442845</c:v>
                </c:pt>
                <c:pt idx="108">
                  <c:v>85.8297938099266</c:v>
                </c:pt>
                <c:pt idx="109">
                  <c:v>85.7708467601472</c:v>
                </c:pt>
                <c:pt idx="110">
                  <c:v>85.7120535949463</c:v>
                </c:pt>
                <c:pt idx="111">
                  <c:v>85.6533823273509</c:v>
                </c:pt>
                <c:pt idx="112">
                  <c:v>85.594800970388</c:v>
                </c:pt>
                <c:pt idx="113">
                  <c:v>85.5363095240576</c:v>
                </c:pt>
                <c:pt idx="114">
                  <c:v>85.4779079883596</c:v>
                </c:pt>
                <c:pt idx="115">
                  <c:v>85.4195963632942</c:v>
                </c:pt>
                <c:pt idx="116">
                  <c:v>85.3613746488612</c:v>
                </c:pt>
                <c:pt idx="117">
                  <c:v>85.3032428450608</c:v>
                </c:pt>
                <c:pt idx="118">
                  <c:v>85.2452009518927</c:v>
                </c:pt>
                <c:pt idx="119">
                  <c:v>85.1872489693572</c:v>
                </c:pt>
                <c:pt idx="120">
                  <c:v>85.1293868974542</c:v>
                </c:pt>
                <c:pt idx="121">
                  <c:v>85.0716674532221</c:v>
                </c:pt>
                <c:pt idx="122">
                  <c:v>85.0141433536993</c:v>
                </c:pt>
                <c:pt idx="123">
                  <c:v>84.9568145988857</c:v>
                </c:pt>
                <c:pt idx="124">
                  <c:v>84.8996811887815</c:v>
                </c:pt>
                <c:pt idx="125">
                  <c:v>84.8427431233865</c:v>
                </c:pt>
                <c:pt idx="126">
                  <c:v>84.7860004027009</c:v>
                </c:pt>
                <c:pt idx="127">
                  <c:v>84.7294530267245</c:v>
                </c:pt>
                <c:pt idx="128">
                  <c:v>84.6731009954574</c:v>
                </c:pt>
                <c:pt idx="129">
                  <c:v>84.6169443088997</c:v>
                </c:pt>
                <c:pt idx="130">
                  <c:v>84.5609829670512</c:v>
                </c:pt>
                <c:pt idx="131">
                  <c:v>84.5052306855018</c:v>
                </c:pt>
                <c:pt idx="132">
                  <c:v>84.4497011798412</c:v>
                </c:pt>
                <c:pt idx="133">
                  <c:v>84.3943944500695</c:v>
                </c:pt>
                <c:pt idx="134">
                  <c:v>84.3393104961867</c:v>
                </c:pt>
                <c:pt idx="135">
                  <c:v>84.2844493181927</c:v>
                </c:pt>
                <c:pt idx="136">
                  <c:v>84.2298109160876</c:v>
                </c:pt>
                <c:pt idx="137">
                  <c:v>84.1753952898713</c:v>
                </c:pt>
                <c:pt idx="138">
                  <c:v>84.1212024395439</c:v>
                </c:pt>
                <c:pt idx="139">
                  <c:v>84.0672323651054</c:v>
                </c:pt>
                <c:pt idx="140">
                  <c:v>84.0134850665557</c:v>
                </c:pt>
                <c:pt idx="141">
                  <c:v>83.9601235480952</c:v>
                </c:pt>
                <c:pt idx="142">
                  <c:v>83.907310813924</c:v>
                </c:pt>
                <c:pt idx="143">
                  <c:v>83.8550468640424</c:v>
                </c:pt>
                <c:pt idx="144">
                  <c:v>83.8033316984502</c:v>
                </c:pt>
                <c:pt idx="145">
                  <c:v>83.7521653171474</c:v>
                </c:pt>
                <c:pt idx="146">
                  <c:v>83.701547720134</c:v>
                </c:pt>
                <c:pt idx="147">
                  <c:v>83.6514789074101</c:v>
                </c:pt>
                <c:pt idx="148">
                  <c:v>83.6019588789756</c:v>
                </c:pt>
                <c:pt idx="149">
                  <c:v>83.5529876348306</c:v>
                </c:pt>
                <c:pt idx="150">
                  <c:v>83.504565174975</c:v>
                </c:pt>
                <c:pt idx="151">
                  <c:v>83.4566914994088</c:v>
                </c:pt>
                <c:pt idx="152">
                  <c:v>83.4093666081321</c:v>
                </c:pt>
                <c:pt idx="153">
                  <c:v>83.3625905011448</c:v>
                </c:pt>
                <c:pt idx="154">
                  <c:v>83.3163631784469</c:v>
                </c:pt>
                <c:pt idx="155">
                  <c:v>83.2706846400385</c:v>
                </c:pt>
                <c:pt idx="156">
                  <c:v>83.2263205645444</c:v>
                </c:pt>
                <c:pt idx="157">
                  <c:v>83.1840366305894</c:v>
                </c:pt>
                <c:pt idx="158">
                  <c:v>83.1438328381736</c:v>
                </c:pt>
                <c:pt idx="159">
                  <c:v>83.1057091872969</c:v>
                </c:pt>
                <c:pt idx="160">
                  <c:v>83.0696656779594</c:v>
                </c:pt>
                <c:pt idx="161">
                  <c:v>83.0366737788769</c:v>
                </c:pt>
                <c:pt idx="162">
                  <c:v>83.0077049587655</c:v>
                </c:pt>
                <c:pt idx="163">
                  <c:v>82.9826666554726</c:v>
                </c:pt>
                <c:pt idx="164">
                  <c:v>82.9614663068459</c:v>
                </c:pt>
                <c:pt idx="165">
                  <c:v>82.9431767245531</c:v>
                </c:pt>
                <c:pt idx="166">
                  <c:v>82.9268707202623</c:v>
                </c:pt>
                <c:pt idx="167">
                  <c:v>82.9132529956733</c:v>
                </c:pt>
                <c:pt idx="168">
                  <c:v>82.9025184375058</c:v>
                </c:pt>
                <c:pt idx="169">
                  <c:v>82.8961222481411</c:v>
                </c:pt>
                <c:pt idx="170">
                  <c:v>82.8945</c:v>
                </c:pt>
                <c:pt idx="171">
                  <c:v>82.8945</c:v>
                </c:pt>
                <c:pt idx="172">
                  <c:v>82.8945</c:v>
                </c:pt>
                <c:pt idx="173">
                  <c:v>82.8945</c:v>
                </c:pt>
                <c:pt idx="174">
                  <c:v>82.8945</c:v>
                </c:pt>
                <c:pt idx="175">
                  <c:v>82.8945</c:v>
                </c:pt>
                <c:pt idx="176">
                  <c:v>82.8945</c:v>
                </c:pt>
                <c:pt idx="177">
                  <c:v>82.8945</c:v>
                </c:pt>
                <c:pt idx="178">
                  <c:v>82.8945</c:v>
                </c:pt>
                <c:pt idx="179">
                  <c:v>82.8945</c:v>
                </c:pt>
                <c:pt idx="180">
                  <c:v>82.8945</c:v>
                </c:pt>
                <c:pt idx="181">
                  <c:v>82.8945</c:v>
                </c:pt>
                <c:pt idx="182">
                  <c:v>82.8945</c:v>
                </c:pt>
                <c:pt idx="183">
                  <c:v>82.8945</c:v>
                </c:pt>
                <c:pt idx="184">
                  <c:v>82.8945</c:v>
                </c:pt>
                <c:pt idx="185">
                  <c:v>82.8945</c:v>
                </c:pt>
                <c:pt idx="186">
                  <c:v>82.8945</c:v>
                </c:pt>
                <c:pt idx="187">
                  <c:v>82.8945</c:v>
                </c:pt>
                <c:pt idx="188">
                  <c:v>82.8945</c:v>
                </c:pt>
                <c:pt idx="189">
                  <c:v>82.8945</c:v>
                </c:pt>
                <c:pt idx="190">
                  <c:v>82.8945</c:v>
                </c:pt>
                <c:pt idx="191">
                  <c:v>82.8945</c:v>
                </c:pt>
                <c:pt idx="192">
                  <c:v>82.8945</c:v>
                </c:pt>
                <c:pt idx="193">
                  <c:v>82.8945</c:v>
                </c:pt>
                <c:pt idx="194">
                  <c:v>82.8945</c:v>
                </c:pt>
                <c:pt idx="195">
                  <c:v>82.8945</c:v>
                </c:pt>
                <c:pt idx="196">
                  <c:v>82.8945</c:v>
                </c:pt>
                <c:pt idx="197">
                  <c:v>82.8945</c:v>
                </c:pt>
                <c:pt idx="198">
                  <c:v>82.8945</c:v>
                </c:pt>
                <c:pt idx="199">
                  <c:v>82.8945</c:v>
                </c:pt>
                <c:pt idx="200">
                  <c:v>82.8945</c:v>
                </c:pt>
                <c:pt idx="201">
                  <c:v>82.8945</c:v>
                </c:pt>
                <c:pt idx="202">
                  <c:v>82.8945</c:v>
                </c:pt>
                <c:pt idx="203">
                  <c:v>82.8945</c:v>
                </c:pt>
                <c:pt idx="204">
                  <c:v>82.8945</c:v>
                </c:pt>
                <c:pt idx="205">
                  <c:v>82.8945</c:v>
                </c:pt>
                <c:pt idx="206">
                  <c:v>82.8945</c:v>
                </c:pt>
                <c:pt idx="207">
                  <c:v>82.8945</c:v>
                </c:pt>
                <c:pt idx="208">
                  <c:v>82.8945</c:v>
                </c:pt>
                <c:pt idx="209">
                  <c:v>82.8945</c:v>
                </c:pt>
                <c:pt idx="210">
                  <c:v>82.8945</c:v>
                </c:pt>
                <c:pt idx="211">
                  <c:v>82.8945</c:v>
                </c:pt>
                <c:pt idx="212">
                  <c:v>82.8945</c:v>
                </c:pt>
                <c:pt idx="213">
                  <c:v>82.8945</c:v>
                </c:pt>
                <c:pt idx="214">
                  <c:v>82.8945</c:v>
                </c:pt>
                <c:pt idx="215">
                  <c:v>82.8945</c:v>
                </c:pt>
                <c:pt idx="216">
                  <c:v>82.8945</c:v>
                </c:pt>
                <c:pt idx="217">
                  <c:v>82.8945</c:v>
                </c:pt>
                <c:pt idx="218">
                  <c:v>82.8945</c:v>
                </c:pt>
                <c:pt idx="219">
                  <c:v>82.8945</c:v>
                </c:pt>
                <c:pt idx="220">
                  <c:v>82.8945</c:v>
                </c:pt>
                <c:pt idx="221">
                  <c:v>82.8945</c:v>
                </c:pt>
                <c:pt idx="222">
                  <c:v>82.8945</c:v>
                </c:pt>
                <c:pt idx="223">
                  <c:v>82.8945</c:v>
                </c:pt>
                <c:pt idx="224">
                  <c:v>82.8945</c:v>
                </c:pt>
                <c:pt idx="225">
                  <c:v>82.8945</c:v>
                </c:pt>
                <c:pt idx="226">
                  <c:v>82.8945</c:v>
                </c:pt>
                <c:pt idx="227">
                  <c:v>82.8945</c:v>
                </c:pt>
                <c:pt idx="228">
                  <c:v>82.8945</c:v>
                </c:pt>
                <c:pt idx="229">
                  <c:v>82.8945</c:v>
                </c:pt>
                <c:pt idx="230">
                  <c:v>82.8945</c:v>
                </c:pt>
                <c:pt idx="231">
                  <c:v>82.8945</c:v>
                </c:pt>
                <c:pt idx="232">
                  <c:v>82.8945</c:v>
                </c:pt>
                <c:pt idx="233">
                  <c:v>82.8945</c:v>
                </c:pt>
                <c:pt idx="234">
                  <c:v>82.8945</c:v>
                </c:pt>
                <c:pt idx="235">
                  <c:v>82.8945</c:v>
                </c:pt>
                <c:pt idx="236">
                  <c:v>82.8945</c:v>
                </c:pt>
                <c:pt idx="237">
                  <c:v>82.8945</c:v>
                </c:pt>
                <c:pt idx="238">
                  <c:v>82.8945</c:v>
                </c:pt>
                <c:pt idx="239">
                  <c:v>82.8945</c:v>
                </c:pt>
                <c:pt idx="240">
                  <c:v>82.8945</c:v>
                </c:pt>
                <c:pt idx="241">
                  <c:v>82.8945</c:v>
                </c:pt>
                <c:pt idx="242">
                  <c:v>82.8945</c:v>
                </c:pt>
                <c:pt idx="243">
                  <c:v>82.8945</c:v>
                </c:pt>
                <c:pt idx="244">
                  <c:v>82.8945</c:v>
                </c:pt>
                <c:pt idx="245">
                  <c:v>82.8945</c:v>
                </c:pt>
                <c:pt idx="246">
                  <c:v>82.8945</c:v>
                </c:pt>
                <c:pt idx="247">
                  <c:v>82.8945</c:v>
                </c:pt>
                <c:pt idx="248">
                  <c:v>82.8945</c:v>
                </c:pt>
                <c:pt idx="249">
                  <c:v>82.8945</c:v>
                </c:pt>
                <c:pt idx="250">
                  <c:v>82.8945</c:v>
                </c:pt>
                <c:pt idx="251">
                  <c:v>82.8945</c:v>
                </c:pt>
                <c:pt idx="252">
                  <c:v>82.8945</c:v>
                </c:pt>
                <c:pt idx="253">
                  <c:v>82.8945</c:v>
                </c:pt>
                <c:pt idx="254">
                  <c:v>82.8945</c:v>
                </c:pt>
                <c:pt idx="255">
                  <c:v>82.8945</c:v>
                </c:pt>
                <c:pt idx="256">
                  <c:v>82.8945</c:v>
                </c:pt>
                <c:pt idx="257">
                  <c:v>82.8945</c:v>
                </c:pt>
                <c:pt idx="258">
                  <c:v>82.8945</c:v>
                </c:pt>
                <c:pt idx="259">
                  <c:v>82.8945</c:v>
                </c:pt>
                <c:pt idx="260">
                  <c:v>82.8945</c:v>
                </c:pt>
                <c:pt idx="261">
                  <c:v>82.8945</c:v>
                </c:pt>
                <c:pt idx="262">
                  <c:v>82.8945</c:v>
                </c:pt>
                <c:pt idx="263">
                  <c:v>82.8945</c:v>
                </c:pt>
                <c:pt idx="264">
                  <c:v>82.8945</c:v>
                </c:pt>
                <c:pt idx="265">
                  <c:v>82.8945</c:v>
                </c:pt>
                <c:pt idx="266">
                  <c:v>82.8945</c:v>
                </c:pt>
                <c:pt idx="267">
                  <c:v>82.8945</c:v>
                </c:pt>
                <c:pt idx="268">
                  <c:v>82.8945</c:v>
                </c:pt>
                <c:pt idx="269">
                  <c:v>82.8945</c:v>
                </c:pt>
                <c:pt idx="270">
                  <c:v>82.8945</c:v>
                </c:pt>
                <c:pt idx="271">
                  <c:v>82.8945</c:v>
                </c:pt>
                <c:pt idx="272">
                  <c:v>82.8945</c:v>
                </c:pt>
                <c:pt idx="273">
                  <c:v>82.8945</c:v>
                </c:pt>
                <c:pt idx="274">
                  <c:v>82.8945</c:v>
                </c:pt>
                <c:pt idx="275">
                  <c:v>82.8945</c:v>
                </c:pt>
                <c:pt idx="276">
                  <c:v>82.8945</c:v>
                </c:pt>
                <c:pt idx="277">
                  <c:v>82.8945</c:v>
                </c:pt>
                <c:pt idx="278">
                  <c:v>82.8945</c:v>
                </c:pt>
                <c:pt idx="279">
                  <c:v>82.8945</c:v>
                </c:pt>
                <c:pt idx="280">
                  <c:v>82.8945</c:v>
                </c:pt>
                <c:pt idx="281">
                  <c:v>82.8945</c:v>
                </c:pt>
                <c:pt idx="282">
                  <c:v>82.8945</c:v>
                </c:pt>
                <c:pt idx="283">
                  <c:v>82.8945</c:v>
                </c:pt>
                <c:pt idx="284">
                  <c:v>82.8945</c:v>
                </c:pt>
                <c:pt idx="285">
                  <c:v>82.8945</c:v>
                </c:pt>
                <c:pt idx="286">
                  <c:v>82.8945</c:v>
                </c:pt>
                <c:pt idx="287">
                  <c:v>82.8945</c:v>
                </c:pt>
                <c:pt idx="288">
                  <c:v>82.8945</c:v>
                </c:pt>
                <c:pt idx="289">
                  <c:v>82.8945</c:v>
                </c:pt>
                <c:pt idx="290">
                  <c:v>82.8945</c:v>
                </c:pt>
                <c:pt idx="291">
                  <c:v>82.8945</c:v>
                </c:pt>
                <c:pt idx="292">
                  <c:v>82.8945</c:v>
                </c:pt>
                <c:pt idx="293">
                  <c:v>82.8945</c:v>
                </c:pt>
                <c:pt idx="294">
                  <c:v>82.8945</c:v>
                </c:pt>
                <c:pt idx="295">
                  <c:v>82.8945</c:v>
                </c:pt>
                <c:pt idx="296">
                  <c:v>82.8945</c:v>
                </c:pt>
                <c:pt idx="297">
                  <c:v>82.8945</c:v>
                </c:pt>
                <c:pt idx="298">
                  <c:v>82.8945</c:v>
                </c:pt>
                <c:pt idx="299">
                  <c:v>82.8945</c:v>
                </c:pt>
                <c:pt idx="300">
                  <c:v>82.8945</c:v>
                </c:pt>
                <c:pt idx="301">
                  <c:v>82.8945</c:v>
                </c:pt>
                <c:pt idx="302">
                  <c:v>82.8945</c:v>
                </c:pt>
                <c:pt idx="303">
                  <c:v>82.8945</c:v>
                </c:pt>
                <c:pt idx="304">
                  <c:v>82.8945</c:v>
                </c:pt>
                <c:pt idx="305">
                  <c:v>82.8945</c:v>
                </c:pt>
                <c:pt idx="306">
                  <c:v>82.8945</c:v>
                </c:pt>
                <c:pt idx="307">
                  <c:v>82.8945</c:v>
                </c:pt>
                <c:pt idx="308">
                  <c:v>82.8945</c:v>
                </c:pt>
                <c:pt idx="309">
                  <c:v>82.8945</c:v>
                </c:pt>
                <c:pt idx="310">
                  <c:v>82.8945</c:v>
                </c:pt>
                <c:pt idx="311">
                  <c:v>82.8945</c:v>
                </c:pt>
                <c:pt idx="312">
                  <c:v>82.8945</c:v>
                </c:pt>
                <c:pt idx="313">
                  <c:v>82.8945</c:v>
                </c:pt>
                <c:pt idx="314">
                  <c:v>82.8945</c:v>
                </c:pt>
                <c:pt idx="315">
                  <c:v>82.8945</c:v>
                </c:pt>
                <c:pt idx="316">
                  <c:v>82.8945</c:v>
                </c:pt>
                <c:pt idx="317">
                  <c:v>82.8945</c:v>
                </c:pt>
                <c:pt idx="318">
                  <c:v>82.8945</c:v>
                </c:pt>
                <c:pt idx="319">
                  <c:v>82.8945</c:v>
                </c:pt>
                <c:pt idx="320">
                  <c:v>82.8945</c:v>
                </c:pt>
                <c:pt idx="321">
                  <c:v>82.8945</c:v>
                </c:pt>
                <c:pt idx="322">
                  <c:v>82.8945</c:v>
                </c:pt>
                <c:pt idx="323">
                  <c:v>82.8945</c:v>
                </c:pt>
                <c:pt idx="324">
                  <c:v>82.8945</c:v>
                </c:pt>
                <c:pt idx="325">
                  <c:v>82.8945</c:v>
                </c:pt>
                <c:pt idx="326">
                  <c:v>82.8945</c:v>
                </c:pt>
                <c:pt idx="327">
                  <c:v>82.8945</c:v>
                </c:pt>
                <c:pt idx="328">
                  <c:v>82.8945</c:v>
                </c:pt>
                <c:pt idx="329">
                  <c:v>82.8945</c:v>
                </c:pt>
                <c:pt idx="330">
                  <c:v>82.8945</c:v>
                </c:pt>
                <c:pt idx="331">
                  <c:v>82.8945</c:v>
                </c:pt>
                <c:pt idx="332">
                  <c:v>82.8945</c:v>
                </c:pt>
                <c:pt idx="333">
                  <c:v>82.8945</c:v>
                </c:pt>
                <c:pt idx="334">
                  <c:v>82.8945</c:v>
                </c:pt>
                <c:pt idx="335">
                  <c:v>82.8945</c:v>
                </c:pt>
                <c:pt idx="336">
                  <c:v>82.8945</c:v>
                </c:pt>
                <c:pt idx="337">
                  <c:v>82.8945</c:v>
                </c:pt>
                <c:pt idx="338">
                  <c:v>82.8945</c:v>
                </c:pt>
                <c:pt idx="339">
                  <c:v>82.8945</c:v>
                </c:pt>
                <c:pt idx="340">
                  <c:v>82.8945</c:v>
                </c:pt>
                <c:pt idx="341">
                  <c:v>82.8945</c:v>
                </c:pt>
                <c:pt idx="342">
                  <c:v>82.8945</c:v>
                </c:pt>
                <c:pt idx="343">
                  <c:v>82.8945</c:v>
                </c:pt>
                <c:pt idx="344">
                  <c:v>82.8945</c:v>
                </c:pt>
                <c:pt idx="345">
                  <c:v>82.8945</c:v>
                </c:pt>
                <c:pt idx="346">
                  <c:v>82.8945</c:v>
                </c:pt>
                <c:pt idx="347">
                  <c:v>82.8945</c:v>
                </c:pt>
                <c:pt idx="348">
                  <c:v>82.8945</c:v>
                </c:pt>
                <c:pt idx="349">
                  <c:v>82.8945</c:v>
                </c:pt>
                <c:pt idx="350">
                  <c:v>82.8945</c:v>
                </c:pt>
                <c:pt idx="351">
                  <c:v>82.8945</c:v>
                </c:pt>
                <c:pt idx="352">
                  <c:v>82.8945</c:v>
                </c:pt>
                <c:pt idx="353">
                  <c:v>82.8945</c:v>
                </c:pt>
                <c:pt idx="354">
                  <c:v>82.8945</c:v>
                </c:pt>
                <c:pt idx="355">
                  <c:v>82.8945</c:v>
                </c:pt>
                <c:pt idx="356">
                  <c:v>82.8945</c:v>
                </c:pt>
                <c:pt idx="357">
                  <c:v>82.8945</c:v>
                </c:pt>
                <c:pt idx="358">
                  <c:v>82.8945</c:v>
                </c:pt>
                <c:pt idx="359">
                  <c:v>82.8945</c:v>
                </c:pt>
                <c:pt idx="360">
                  <c:v>82.8945</c:v>
                </c:pt>
                <c:pt idx="361">
                  <c:v>82.8945</c:v>
                </c:pt>
                <c:pt idx="362">
                  <c:v>82.8945</c:v>
                </c:pt>
                <c:pt idx="363">
                  <c:v>82.8945</c:v>
                </c:pt>
                <c:pt idx="364">
                  <c:v>82.8945</c:v>
                </c:pt>
                <c:pt idx="365">
                  <c:v>82.8945</c:v>
                </c:pt>
                <c:pt idx="366">
                  <c:v>82.8945</c:v>
                </c:pt>
                <c:pt idx="367">
                  <c:v>82.8945</c:v>
                </c:pt>
                <c:pt idx="368">
                  <c:v>82.8945</c:v>
                </c:pt>
                <c:pt idx="369">
                  <c:v>82.8945</c:v>
                </c:pt>
                <c:pt idx="370">
                  <c:v>82.8945</c:v>
                </c:pt>
                <c:pt idx="371">
                  <c:v>82.8945</c:v>
                </c:pt>
                <c:pt idx="372">
                  <c:v>82.8945</c:v>
                </c:pt>
                <c:pt idx="373">
                  <c:v>82.8945</c:v>
                </c:pt>
                <c:pt idx="374">
                  <c:v>82.8945</c:v>
                </c:pt>
                <c:pt idx="375">
                  <c:v>82.8945</c:v>
                </c:pt>
                <c:pt idx="376">
                  <c:v>82.8945</c:v>
                </c:pt>
                <c:pt idx="377">
                  <c:v>82.8945</c:v>
                </c:pt>
                <c:pt idx="378">
                  <c:v>82.8945</c:v>
                </c:pt>
                <c:pt idx="379">
                  <c:v>82.8945</c:v>
                </c:pt>
                <c:pt idx="380">
                  <c:v>82.8945</c:v>
                </c:pt>
                <c:pt idx="381">
                  <c:v>82.8945</c:v>
                </c:pt>
                <c:pt idx="382">
                  <c:v>82.8945</c:v>
                </c:pt>
                <c:pt idx="383">
                  <c:v>82.8945</c:v>
                </c:pt>
                <c:pt idx="384">
                  <c:v>82.8945</c:v>
                </c:pt>
                <c:pt idx="385">
                  <c:v>82.8945</c:v>
                </c:pt>
                <c:pt idx="386">
                  <c:v>82.8945</c:v>
                </c:pt>
                <c:pt idx="387">
                  <c:v>82.8945</c:v>
                </c:pt>
                <c:pt idx="388">
                  <c:v>82.8945</c:v>
                </c:pt>
                <c:pt idx="389">
                  <c:v>82.8945</c:v>
                </c:pt>
                <c:pt idx="390">
                  <c:v>82.8945</c:v>
                </c:pt>
                <c:pt idx="391">
                  <c:v>82.8945</c:v>
                </c:pt>
                <c:pt idx="392">
                  <c:v>82.8945</c:v>
                </c:pt>
                <c:pt idx="393">
                  <c:v>82.8945</c:v>
                </c:pt>
                <c:pt idx="394">
                  <c:v>82.8945</c:v>
                </c:pt>
                <c:pt idx="395">
                  <c:v>82.8945</c:v>
                </c:pt>
                <c:pt idx="396">
                  <c:v>82.8945</c:v>
                </c:pt>
                <c:pt idx="397">
                  <c:v>82.8945</c:v>
                </c:pt>
                <c:pt idx="398">
                  <c:v>82.8945</c:v>
                </c:pt>
                <c:pt idx="399">
                  <c:v>82.8945</c:v>
                </c:pt>
                <c:pt idx="400">
                  <c:v>82.8945</c:v>
                </c:pt>
                <c:pt idx="401">
                  <c:v>82.8945</c:v>
                </c:pt>
                <c:pt idx="402">
                  <c:v>82.8945</c:v>
                </c:pt>
                <c:pt idx="403">
                  <c:v>82.8945</c:v>
                </c:pt>
                <c:pt idx="404">
                  <c:v>82.8945</c:v>
                </c:pt>
                <c:pt idx="405">
                  <c:v>82.8945</c:v>
                </c:pt>
                <c:pt idx="406">
                  <c:v>82.8945</c:v>
                </c:pt>
                <c:pt idx="407">
                  <c:v>82.8945</c:v>
                </c:pt>
                <c:pt idx="408">
                  <c:v>82.8945</c:v>
                </c:pt>
                <c:pt idx="409">
                  <c:v>82.8945</c:v>
                </c:pt>
                <c:pt idx="410">
                  <c:v>82.8945</c:v>
                </c:pt>
                <c:pt idx="411">
                  <c:v>82.8945</c:v>
                </c:pt>
                <c:pt idx="412">
                  <c:v>82.8945</c:v>
                </c:pt>
                <c:pt idx="413">
                  <c:v>82.8945</c:v>
                </c:pt>
                <c:pt idx="414">
                  <c:v>82.8945</c:v>
                </c:pt>
                <c:pt idx="415">
                  <c:v>82.8945</c:v>
                </c:pt>
                <c:pt idx="416">
                  <c:v>82.8945</c:v>
                </c:pt>
                <c:pt idx="417">
                  <c:v>82.8945</c:v>
                </c:pt>
                <c:pt idx="418">
                  <c:v>82.8945</c:v>
                </c:pt>
                <c:pt idx="419">
                  <c:v>82.8945</c:v>
                </c:pt>
                <c:pt idx="420">
                  <c:v>82.8945</c:v>
                </c:pt>
                <c:pt idx="421">
                  <c:v>82.8945</c:v>
                </c:pt>
                <c:pt idx="422">
                  <c:v>82.8945</c:v>
                </c:pt>
                <c:pt idx="423">
                  <c:v>82.8945</c:v>
                </c:pt>
                <c:pt idx="424">
                  <c:v>82.8945</c:v>
                </c:pt>
                <c:pt idx="425">
                  <c:v>82.8945</c:v>
                </c:pt>
                <c:pt idx="426">
                  <c:v>82.8945</c:v>
                </c:pt>
                <c:pt idx="427">
                  <c:v>82.8945</c:v>
                </c:pt>
                <c:pt idx="428">
                  <c:v>82.8945</c:v>
                </c:pt>
                <c:pt idx="429">
                  <c:v>82.8945</c:v>
                </c:pt>
                <c:pt idx="430">
                  <c:v>82.8945</c:v>
                </c:pt>
                <c:pt idx="431">
                  <c:v>82.8945</c:v>
                </c:pt>
                <c:pt idx="432">
                  <c:v>82.8945</c:v>
                </c:pt>
                <c:pt idx="433">
                  <c:v>82.8945</c:v>
                </c:pt>
                <c:pt idx="434">
                  <c:v>82.8945</c:v>
                </c:pt>
                <c:pt idx="435">
                  <c:v>82.8945</c:v>
                </c:pt>
                <c:pt idx="436">
                  <c:v>82.8945</c:v>
                </c:pt>
                <c:pt idx="437">
                  <c:v>82.8945</c:v>
                </c:pt>
                <c:pt idx="438">
                  <c:v>82.8945</c:v>
                </c:pt>
                <c:pt idx="439">
                  <c:v>82.8945</c:v>
                </c:pt>
                <c:pt idx="440">
                  <c:v>82.8945</c:v>
                </c:pt>
                <c:pt idx="441">
                  <c:v>82.8945</c:v>
                </c:pt>
                <c:pt idx="442">
                  <c:v>82.8945</c:v>
                </c:pt>
                <c:pt idx="443">
                  <c:v>82.8945</c:v>
                </c:pt>
                <c:pt idx="444">
                  <c:v>82.8945</c:v>
                </c:pt>
                <c:pt idx="445">
                  <c:v>82.8945</c:v>
                </c:pt>
                <c:pt idx="446">
                  <c:v>82.8945</c:v>
                </c:pt>
                <c:pt idx="447">
                  <c:v>82.8945</c:v>
                </c:pt>
                <c:pt idx="448">
                  <c:v>82.8945</c:v>
                </c:pt>
                <c:pt idx="449">
                  <c:v>82.8945</c:v>
                </c:pt>
                <c:pt idx="450">
                  <c:v>82.8945</c:v>
                </c:pt>
                <c:pt idx="451">
                  <c:v>82.8945</c:v>
                </c:pt>
                <c:pt idx="452">
                  <c:v>82.8945</c:v>
                </c:pt>
                <c:pt idx="453">
                  <c:v>82.8945</c:v>
                </c:pt>
                <c:pt idx="454">
                  <c:v>82.8945</c:v>
                </c:pt>
                <c:pt idx="455">
                  <c:v>82.8945</c:v>
                </c:pt>
                <c:pt idx="456">
                  <c:v>82.8945</c:v>
                </c:pt>
                <c:pt idx="457">
                  <c:v>82.8945</c:v>
                </c:pt>
                <c:pt idx="458">
                  <c:v>82.8945</c:v>
                </c:pt>
                <c:pt idx="459">
                  <c:v>82.8945</c:v>
                </c:pt>
                <c:pt idx="460">
                  <c:v>82.8945</c:v>
                </c:pt>
                <c:pt idx="461">
                  <c:v>82.8945</c:v>
                </c:pt>
                <c:pt idx="462">
                  <c:v>82.8945</c:v>
                </c:pt>
                <c:pt idx="463">
                  <c:v>82.8945</c:v>
                </c:pt>
                <c:pt idx="464">
                  <c:v>82.8945</c:v>
                </c:pt>
                <c:pt idx="465">
                  <c:v>82.8945</c:v>
                </c:pt>
                <c:pt idx="466">
                  <c:v>82.8945</c:v>
                </c:pt>
                <c:pt idx="467">
                  <c:v>82.8945</c:v>
                </c:pt>
                <c:pt idx="468">
                  <c:v>82.8945</c:v>
                </c:pt>
                <c:pt idx="469">
                  <c:v>82.8945</c:v>
                </c:pt>
                <c:pt idx="470">
                  <c:v>82.8945</c:v>
                </c:pt>
                <c:pt idx="471">
                  <c:v>82.8945</c:v>
                </c:pt>
                <c:pt idx="472">
                  <c:v>82.8945</c:v>
                </c:pt>
                <c:pt idx="473">
                  <c:v>82.8945</c:v>
                </c:pt>
                <c:pt idx="474">
                  <c:v>82.8945</c:v>
                </c:pt>
                <c:pt idx="475">
                  <c:v>82.8945</c:v>
                </c:pt>
                <c:pt idx="476">
                  <c:v>82.8945</c:v>
                </c:pt>
                <c:pt idx="477">
                  <c:v>82.8945</c:v>
                </c:pt>
                <c:pt idx="478">
                  <c:v>82.8945</c:v>
                </c:pt>
                <c:pt idx="479">
                  <c:v>82.8945</c:v>
                </c:pt>
                <c:pt idx="480">
                  <c:v>82.8945</c:v>
                </c:pt>
                <c:pt idx="481">
                  <c:v>82.8945</c:v>
                </c:pt>
                <c:pt idx="482">
                  <c:v>82.8945</c:v>
                </c:pt>
                <c:pt idx="483">
                  <c:v>82.8945</c:v>
                </c:pt>
                <c:pt idx="484">
                  <c:v>82.8945</c:v>
                </c:pt>
                <c:pt idx="485">
                  <c:v>82.8945</c:v>
                </c:pt>
                <c:pt idx="486">
                  <c:v>82.8945</c:v>
                </c:pt>
                <c:pt idx="487">
                  <c:v>82.8945</c:v>
                </c:pt>
                <c:pt idx="488">
                  <c:v>82.8945</c:v>
                </c:pt>
                <c:pt idx="489">
                  <c:v>82.8945</c:v>
                </c:pt>
                <c:pt idx="490">
                  <c:v>82.8945</c:v>
                </c:pt>
                <c:pt idx="491">
                  <c:v>82.8945</c:v>
                </c:pt>
                <c:pt idx="492">
                  <c:v>82.8945</c:v>
                </c:pt>
                <c:pt idx="493">
                  <c:v>82.8945</c:v>
                </c:pt>
                <c:pt idx="494">
                  <c:v>82.8945</c:v>
                </c:pt>
                <c:pt idx="495">
                  <c:v>82.8945</c:v>
                </c:pt>
                <c:pt idx="496">
                  <c:v>82.8945</c:v>
                </c:pt>
                <c:pt idx="497">
                  <c:v>82.8945</c:v>
                </c:pt>
                <c:pt idx="498">
                  <c:v>82.8945</c:v>
                </c:pt>
                <c:pt idx="499">
                  <c:v>82.8945</c:v>
                </c:pt>
                <c:pt idx="500">
                  <c:v>82.8945</c:v>
                </c:pt>
                <c:pt idx="501">
                  <c:v>82.8945</c:v>
                </c:pt>
                <c:pt idx="502">
                  <c:v>82.8945</c:v>
                </c:pt>
                <c:pt idx="503">
                  <c:v>82.8945</c:v>
                </c:pt>
                <c:pt idx="504">
                  <c:v>82.8945</c:v>
                </c:pt>
                <c:pt idx="505">
                  <c:v>82.8945</c:v>
                </c:pt>
                <c:pt idx="506">
                  <c:v>82.8945</c:v>
                </c:pt>
                <c:pt idx="507">
                  <c:v>82.8945</c:v>
                </c:pt>
                <c:pt idx="508">
                  <c:v>82.8945</c:v>
                </c:pt>
                <c:pt idx="509">
                  <c:v>82.8945</c:v>
                </c:pt>
                <c:pt idx="510">
                  <c:v>82.8945</c:v>
                </c:pt>
                <c:pt idx="511">
                  <c:v>82.8945</c:v>
                </c:pt>
                <c:pt idx="512">
                  <c:v>82.8945</c:v>
                </c:pt>
                <c:pt idx="513">
                  <c:v>82.8945</c:v>
                </c:pt>
                <c:pt idx="514">
                  <c:v>82.8945</c:v>
                </c:pt>
                <c:pt idx="515">
                  <c:v>82.8945</c:v>
                </c:pt>
                <c:pt idx="516">
                  <c:v>82.8945</c:v>
                </c:pt>
                <c:pt idx="517">
                  <c:v>82.8945</c:v>
                </c:pt>
                <c:pt idx="518">
                  <c:v>82.8945</c:v>
                </c:pt>
                <c:pt idx="519">
                  <c:v>82.8945</c:v>
                </c:pt>
                <c:pt idx="520">
                  <c:v>82.8945</c:v>
                </c:pt>
                <c:pt idx="521">
                  <c:v>82.8945</c:v>
                </c:pt>
                <c:pt idx="522">
                  <c:v>82.8945</c:v>
                </c:pt>
                <c:pt idx="523">
                  <c:v>82.8945</c:v>
                </c:pt>
                <c:pt idx="524">
                  <c:v>82.8945</c:v>
                </c:pt>
                <c:pt idx="525">
                  <c:v>82.8945</c:v>
                </c:pt>
                <c:pt idx="526">
                  <c:v>82.8945</c:v>
                </c:pt>
                <c:pt idx="527">
                  <c:v>82.8945</c:v>
                </c:pt>
                <c:pt idx="528">
                  <c:v>82.8945</c:v>
                </c:pt>
                <c:pt idx="529">
                  <c:v>82.8945</c:v>
                </c:pt>
                <c:pt idx="530">
                  <c:v>82.8945</c:v>
                </c:pt>
                <c:pt idx="531">
                  <c:v>82.8945</c:v>
                </c:pt>
                <c:pt idx="532">
                  <c:v>82.8945</c:v>
                </c:pt>
                <c:pt idx="533">
                  <c:v>82.8945</c:v>
                </c:pt>
                <c:pt idx="534">
                  <c:v>82.8945</c:v>
                </c:pt>
                <c:pt idx="535">
                  <c:v>82.8945</c:v>
                </c:pt>
                <c:pt idx="536">
                  <c:v>82.8945</c:v>
                </c:pt>
                <c:pt idx="537">
                  <c:v>82.8945</c:v>
                </c:pt>
                <c:pt idx="538">
                  <c:v>82.8945</c:v>
                </c:pt>
                <c:pt idx="539">
                  <c:v>82.8945</c:v>
                </c:pt>
                <c:pt idx="540">
                  <c:v>82.8945</c:v>
                </c:pt>
                <c:pt idx="541">
                  <c:v>82.8945</c:v>
                </c:pt>
                <c:pt idx="542">
                  <c:v>82.8945</c:v>
                </c:pt>
                <c:pt idx="543">
                  <c:v>82.8945</c:v>
                </c:pt>
                <c:pt idx="544">
                  <c:v>82.8945</c:v>
                </c:pt>
                <c:pt idx="545">
                  <c:v>82.8945</c:v>
                </c:pt>
                <c:pt idx="546">
                  <c:v>82.8945</c:v>
                </c:pt>
                <c:pt idx="547">
                  <c:v>82.8945</c:v>
                </c:pt>
                <c:pt idx="548">
                  <c:v>82.8945</c:v>
                </c:pt>
                <c:pt idx="549">
                  <c:v>82.8945</c:v>
                </c:pt>
                <c:pt idx="550">
                  <c:v>82.8945</c:v>
                </c:pt>
                <c:pt idx="551">
                  <c:v>82.8945</c:v>
                </c:pt>
                <c:pt idx="552">
                  <c:v>82.8945</c:v>
                </c:pt>
                <c:pt idx="553">
                  <c:v>82.8945</c:v>
                </c:pt>
                <c:pt idx="554">
                  <c:v>82.8945</c:v>
                </c:pt>
                <c:pt idx="555">
                  <c:v>82.8945</c:v>
                </c:pt>
                <c:pt idx="556">
                  <c:v>82.8945</c:v>
                </c:pt>
                <c:pt idx="557">
                  <c:v>82.8945</c:v>
                </c:pt>
                <c:pt idx="558">
                  <c:v>82.8945</c:v>
                </c:pt>
                <c:pt idx="559">
                  <c:v>82.8945</c:v>
                </c:pt>
                <c:pt idx="560">
                  <c:v>82.8945</c:v>
                </c:pt>
                <c:pt idx="561">
                  <c:v>82.8945</c:v>
                </c:pt>
                <c:pt idx="562">
                  <c:v>82.8945</c:v>
                </c:pt>
                <c:pt idx="563">
                  <c:v>82.8945</c:v>
                </c:pt>
                <c:pt idx="564">
                  <c:v>82.8945</c:v>
                </c:pt>
                <c:pt idx="565">
                  <c:v>82.8945</c:v>
                </c:pt>
                <c:pt idx="566">
                  <c:v>82.8945</c:v>
                </c:pt>
                <c:pt idx="567">
                  <c:v>82.8945</c:v>
                </c:pt>
                <c:pt idx="568">
                  <c:v>82.8945</c:v>
                </c:pt>
                <c:pt idx="569">
                  <c:v>82.8945</c:v>
                </c:pt>
                <c:pt idx="570">
                  <c:v>82.8945</c:v>
                </c:pt>
                <c:pt idx="571">
                  <c:v>82.8945</c:v>
                </c:pt>
                <c:pt idx="572">
                  <c:v>82.8945</c:v>
                </c:pt>
                <c:pt idx="573">
                  <c:v>82.8945</c:v>
                </c:pt>
                <c:pt idx="574">
                  <c:v>82.8945</c:v>
                </c:pt>
                <c:pt idx="575">
                  <c:v>82.8945</c:v>
                </c:pt>
                <c:pt idx="576">
                  <c:v>82.8945</c:v>
                </c:pt>
                <c:pt idx="577">
                  <c:v>82.8945</c:v>
                </c:pt>
                <c:pt idx="578">
                  <c:v>82.8945</c:v>
                </c:pt>
                <c:pt idx="579">
                  <c:v>82.8945</c:v>
                </c:pt>
                <c:pt idx="580">
                  <c:v>82.8945</c:v>
                </c:pt>
                <c:pt idx="581">
                  <c:v>82.8945</c:v>
                </c:pt>
                <c:pt idx="582">
                  <c:v>82.8945</c:v>
                </c:pt>
                <c:pt idx="583">
                  <c:v>82.8945</c:v>
                </c:pt>
                <c:pt idx="584">
                  <c:v>82.8945</c:v>
                </c:pt>
                <c:pt idx="585">
                  <c:v>82.8945</c:v>
                </c:pt>
                <c:pt idx="586">
                  <c:v>82.8945</c:v>
                </c:pt>
                <c:pt idx="587">
                  <c:v>82.8945</c:v>
                </c:pt>
                <c:pt idx="588">
                  <c:v>82.8945</c:v>
                </c:pt>
                <c:pt idx="589">
                  <c:v>82.8945</c:v>
                </c:pt>
                <c:pt idx="590">
                  <c:v>82.8945</c:v>
                </c:pt>
                <c:pt idx="591">
                  <c:v>82.8945</c:v>
                </c:pt>
                <c:pt idx="592">
                  <c:v>82.8945</c:v>
                </c:pt>
                <c:pt idx="593">
                  <c:v>82.8945</c:v>
                </c:pt>
                <c:pt idx="594">
                  <c:v>82.8945</c:v>
                </c:pt>
                <c:pt idx="595">
                  <c:v>82.8945</c:v>
                </c:pt>
                <c:pt idx="596">
                  <c:v>82.8945</c:v>
                </c:pt>
                <c:pt idx="597">
                  <c:v>82.8945</c:v>
                </c:pt>
                <c:pt idx="598">
                  <c:v>82.8945</c:v>
                </c:pt>
                <c:pt idx="599">
                  <c:v>82.8945</c:v>
                </c:pt>
                <c:pt idx="600">
                  <c:v>82.8945</c:v>
                </c:pt>
                <c:pt idx="601">
                  <c:v>82.8945</c:v>
                </c:pt>
                <c:pt idx="602">
                  <c:v>82.8945</c:v>
                </c:pt>
                <c:pt idx="603">
                  <c:v>82.8945</c:v>
                </c:pt>
                <c:pt idx="604">
                  <c:v>82.8945</c:v>
                </c:pt>
                <c:pt idx="605">
                  <c:v>82.8945</c:v>
                </c:pt>
                <c:pt idx="606">
                  <c:v>82.8945</c:v>
                </c:pt>
                <c:pt idx="607">
                  <c:v>82.8945</c:v>
                </c:pt>
                <c:pt idx="608">
                  <c:v>82.8945</c:v>
                </c:pt>
                <c:pt idx="609">
                  <c:v>82.8945</c:v>
                </c:pt>
                <c:pt idx="610">
                  <c:v>82.8945</c:v>
                </c:pt>
                <c:pt idx="611">
                  <c:v>82.8945</c:v>
                </c:pt>
                <c:pt idx="612">
                  <c:v>82.8945</c:v>
                </c:pt>
                <c:pt idx="613">
                  <c:v>82.8945</c:v>
                </c:pt>
                <c:pt idx="614">
                  <c:v>82.8945</c:v>
                </c:pt>
                <c:pt idx="615">
                  <c:v>82.8945</c:v>
                </c:pt>
                <c:pt idx="616">
                  <c:v>82.8945</c:v>
                </c:pt>
                <c:pt idx="617">
                  <c:v>82.8945</c:v>
                </c:pt>
                <c:pt idx="618">
                  <c:v>82.8945</c:v>
                </c:pt>
                <c:pt idx="619">
                  <c:v>82.8945</c:v>
                </c:pt>
                <c:pt idx="620">
                  <c:v>82.8945</c:v>
                </c:pt>
                <c:pt idx="621">
                  <c:v>82.8945</c:v>
                </c:pt>
                <c:pt idx="622">
                  <c:v>82.8945</c:v>
                </c:pt>
                <c:pt idx="623">
                  <c:v>82.8945</c:v>
                </c:pt>
                <c:pt idx="624">
                  <c:v>82.8945</c:v>
                </c:pt>
                <c:pt idx="625">
                  <c:v>82.8945</c:v>
                </c:pt>
                <c:pt idx="626">
                  <c:v>82.8945</c:v>
                </c:pt>
                <c:pt idx="627">
                  <c:v>82.8945</c:v>
                </c:pt>
                <c:pt idx="628">
                  <c:v>82.8945</c:v>
                </c:pt>
                <c:pt idx="629">
                  <c:v>82.8945</c:v>
                </c:pt>
                <c:pt idx="630">
                  <c:v>82.8945</c:v>
                </c:pt>
                <c:pt idx="631">
                  <c:v>82.8945</c:v>
                </c:pt>
                <c:pt idx="632">
                  <c:v>82.8945</c:v>
                </c:pt>
                <c:pt idx="633">
                  <c:v>82.8945</c:v>
                </c:pt>
                <c:pt idx="634">
                  <c:v>82.8945</c:v>
                </c:pt>
                <c:pt idx="635">
                  <c:v>82.8945</c:v>
                </c:pt>
                <c:pt idx="636">
                  <c:v>82.8945</c:v>
                </c:pt>
                <c:pt idx="637">
                  <c:v>82.8945</c:v>
                </c:pt>
                <c:pt idx="638">
                  <c:v>82.8945</c:v>
                </c:pt>
                <c:pt idx="639">
                  <c:v>82.8945</c:v>
                </c:pt>
                <c:pt idx="640">
                  <c:v>82.8945</c:v>
                </c:pt>
                <c:pt idx="641">
                  <c:v>82.8945</c:v>
                </c:pt>
                <c:pt idx="642">
                  <c:v>82.8945</c:v>
                </c:pt>
                <c:pt idx="643">
                  <c:v>82.8945</c:v>
                </c:pt>
                <c:pt idx="644">
                  <c:v>82.8945</c:v>
                </c:pt>
                <c:pt idx="645">
                  <c:v>82.8945</c:v>
                </c:pt>
                <c:pt idx="646">
                  <c:v>82.8945</c:v>
                </c:pt>
                <c:pt idx="647">
                  <c:v>82.8945</c:v>
                </c:pt>
                <c:pt idx="648">
                  <c:v>82.8945</c:v>
                </c:pt>
                <c:pt idx="649">
                  <c:v>82.8945</c:v>
                </c:pt>
                <c:pt idx="650">
                  <c:v>82.8945</c:v>
                </c:pt>
                <c:pt idx="651">
                  <c:v>82.8945</c:v>
                </c:pt>
                <c:pt idx="652">
                  <c:v>82.8945</c:v>
                </c:pt>
                <c:pt idx="653">
                  <c:v>82.8945</c:v>
                </c:pt>
                <c:pt idx="654">
                  <c:v>82.8945</c:v>
                </c:pt>
                <c:pt idx="655">
                  <c:v>82.8945</c:v>
                </c:pt>
                <c:pt idx="656">
                  <c:v>82.8945</c:v>
                </c:pt>
                <c:pt idx="657">
                  <c:v>82.8945</c:v>
                </c:pt>
                <c:pt idx="658">
                  <c:v>82.8945</c:v>
                </c:pt>
                <c:pt idx="659">
                  <c:v>82.8945</c:v>
                </c:pt>
                <c:pt idx="660">
                  <c:v>82.8945</c:v>
                </c:pt>
                <c:pt idx="661">
                  <c:v>82.8945</c:v>
                </c:pt>
                <c:pt idx="662">
                  <c:v>82.8945</c:v>
                </c:pt>
                <c:pt idx="663">
                  <c:v>82.8945</c:v>
                </c:pt>
                <c:pt idx="664">
                  <c:v>82.8945</c:v>
                </c:pt>
                <c:pt idx="665">
                  <c:v>82.8945</c:v>
                </c:pt>
                <c:pt idx="666">
                  <c:v>82.8945</c:v>
                </c:pt>
                <c:pt idx="667">
                  <c:v>82.8945</c:v>
                </c:pt>
                <c:pt idx="668">
                  <c:v>82.8945</c:v>
                </c:pt>
                <c:pt idx="669">
                  <c:v>82.8945</c:v>
                </c:pt>
                <c:pt idx="670">
                  <c:v>82.8945</c:v>
                </c:pt>
                <c:pt idx="671">
                  <c:v>82.8945</c:v>
                </c:pt>
                <c:pt idx="672">
                  <c:v>82.8945</c:v>
                </c:pt>
                <c:pt idx="673">
                  <c:v>82.8945</c:v>
                </c:pt>
                <c:pt idx="674">
                  <c:v>82.8945</c:v>
                </c:pt>
                <c:pt idx="675">
                  <c:v>82.8945</c:v>
                </c:pt>
                <c:pt idx="676">
                  <c:v>82.8945</c:v>
                </c:pt>
                <c:pt idx="677">
                  <c:v>82.8945</c:v>
                </c:pt>
                <c:pt idx="678">
                  <c:v>82.8945</c:v>
                </c:pt>
                <c:pt idx="679">
                  <c:v>82.8945</c:v>
                </c:pt>
                <c:pt idx="680">
                  <c:v>82.8945</c:v>
                </c:pt>
                <c:pt idx="681">
                  <c:v>82.8945</c:v>
                </c:pt>
                <c:pt idx="682">
                  <c:v>82.8945</c:v>
                </c:pt>
                <c:pt idx="683">
                  <c:v>82.8945</c:v>
                </c:pt>
                <c:pt idx="684">
                  <c:v>82.8945</c:v>
                </c:pt>
                <c:pt idx="685">
                  <c:v>82.8945</c:v>
                </c:pt>
                <c:pt idx="686">
                  <c:v>82.8945</c:v>
                </c:pt>
                <c:pt idx="687">
                  <c:v>82.8945</c:v>
                </c:pt>
                <c:pt idx="688">
                  <c:v>82.8945</c:v>
                </c:pt>
                <c:pt idx="689">
                  <c:v>82.8945</c:v>
                </c:pt>
                <c:pt idx="690">
                  <c:v>82.8945</c:v>
                </c:pt>
                <c:pt idx="691">
                  <c:v>82.8945</c:v>
                </c:pt>
                <c:pt idx="692">
                  <c:v>82.8945</c:v>
                </c:pt>
                <c:pt idx="693">
                  <c:v>82.8945</c:v>
                </c:pt>
                <c:pt idx="694">
                  <c:v>82.8945</c:v>
                </c:pt>
                <c:pt idx="695">
                  <c:v>82.8945</c:v>
                </c:pt>
                <c:pt idx="696">
                  <c:v>82.8945</c:v>
                </c:pt>
                <c:pt idx="697">
                  <c:v>82.8945</c:v>
                </c:pt>
                <c:pt idx="698">
                  <c:v>82.8945</c:v>
                </c:pt>
                <c:pt idx="699">
                  <c:v>82.8945</c:v>
                </c:pt>
                <c:pt idx="700">
                  <c:v>82.8945</c:v>
                </c:pt>
                <c:pt idx="701">
                  <c:v>82.8945</c:v>
                </c:pt>
                <c:pt idx="702">
                  <c:v>82.8945</c:v>
                </c:pt>
                <c:pt idx="703">
                  <c:v>82.8945</c:v>
                </c:pt>
                <c:pt idx="704">
                  <c:v>82.8945</c:v>
                </c:pt>
                <c:pt idx="705">
                  <c:v>82.8945</c:v>
                </c:pt>
                <c:pt idx="706">
                  <c:v>82.8945</c:v>
                </c:pt>
                <c:pt idx="707">
                  <c:v>82.8945</c:v>
                </c:pt>
                <c:pt idx="708">
                  <c:v>82.8945</c:v>
                </c:pt>
                <c:pt idx="709">
                  <c:v>82.8945</c:v>
                </c:pt>
                <c:pt idx="710">
                  <c:v>82.8945</c:v>
                </c:pt>
                <c:pt idx="711">
                  <c:v>82.8945</c:v>
                </c:pt>
                <c:pt idx="712">
                  <c:v>82.8945</c:v>
                </c:pt>
                <c:pt idx="713">
                  <c:v>82.8945</c:v>
                </c:pt>
                <c:pt idx="714">
                  <c:v>82.8945</c:v>
                </c:pt>
                <c:pt idx="715">
                  <c:v>82.8945</c:v>
                </c:pt>
                <c:pt idx="716">
                  <c:v>82.8945</c:v>
                </c:pt>
                <c:pt idx="717">
                  <c:v>82.8945</c:v>
                </c:pt>
                <c:pt idx="718">
                  <c:v>82.8945</c:v>
                </c:pt>
                <c:pt idx="719">
                  <c:v>82.8945</c:v>
                </c:pt>
                <c:pt idx="720">
                  <c:v>82.8945</c:v>
                </c:pt>
                <c:pt idx="721">
                  <c:v>82.8945</c:v>
                </c:pt>
                <c:pt idx="722">
                  <c:v>82.8945</c:v>
                </c:pt>
                <c:pt idx="723">
                  <c:v>82.8945</c:v>
                </c:pt>
                <c:pt idx="724">
                  <c:v>82.8945</c:v>
                </c:pt>
                <c:pt idx="725">
                  <c:v>82.8945</c:v>
                </c:pt>
                <c:pt idx="726">
                  <c:v>82.8945</c:v>
                </c:pt>
                <c:pt idx="727">
                  <c:v>82.8945</c:v>
                </c:pt>
                <c:pt idx="728">
                  <c:v>82.8945</c:v>
                </c:pt>
                <c:pt idx="729">
                  <c:v>82.8945</c:v>
                </c:pt>
                <c:pt idx="730">
                  <c:v>82.8945</c:v>
                </c:pt>
                <c:pt idx="731">
                  <c:v>82.8945</c:v>
                </c:pt>
                <c:pt idx="732">
                  <c:v>82.8945</c:v>
                </c:pt>
                <c:pt idx="733">
                  <c:v>82.8945</c:v>
                </c:pt>
                <c:pt idx="734">
                  <c:v>82.8945</c:v>
                </c:pt>
                <c:pt idx="735">
                  <c:v>82.8945</c:v>
                </c:pt>
                <c:pt idx="736">
                  <c:v>82.8945</c:v>
                </c:pt>
                <c:pt idx="737">
                  <c:v>82.8945</c:v>
                </c:pt>
                <c:pt idx="738">
                  <c:v>82.8945</c:v>
                </c:pt>
                <c:pt idx="739">
                  <c:v>82.8945</c:v>
                </c:pt>
                <c:pt idx="740">
                  <c:v>82.8945</c:v>
                </c:pt>
                <c:pt idx="741">
                  <c:v>82.8945</c:v>
                </c:pt>
                <c:pt idx="742">
                  <c:v>82.8945</c:v>
                </c:pt>
                <c:pt idx="743">
                  <c:v>82.8945</c:v>
                </c:pt>
                <c:pt idx="744">
                  <c:v>82.8945</c:v>
                </c:pt>
                <c:pt idx="745">
                  <c:v>82.8945</c:v>
                </c:pt>
                <c:pt idx="746">
                  <c:v>82.8945</c:v>
                </c:pt>
                <c:pt idx="747">
                  <c:v>82.8945</c:v>
                </c:pt>
                <c:pt idx="748">
                  <c:v>82.8945</c:v>
                </c:pt>
                <c:pt idx="749">
                  <c:v>82.8945</c:v>
                </c:pt>
                <c:pt idx="750">
                  <c:v>82.8945</c:v>
                </c:pt>
                <c:pt idx="751">
                  <c:v>82.8945</c:v>
                </c:pt>
                <c:pt idx="752">
                  <c:v>82.8945</c:v>
                </c:pt>
                <c:pt idx="753">
                  <c:v>82.8945</c:v>
                </c:pt>
                <c:pt idx="754">
                  <c:v>82.8945</c:v>
                </c:pt>
                <c:pt idx="755">
                  <c:v>82.8945</c:v>
                </c:pt>
                <c:pt idx="756">
                  <c:v>82.8945</c:v>
                </c:pt>
                <c:pt idx="757">
                  <c:v>82.8945</c:v>
                </c:pt>
                <c:pt idx="758">
                  <c:v>82.8945</c:v>
                </c:pt>
                <c:pt idx="759">
                  <c:v>82.8945</c:v>
                </c:pt>
                <c:pt idx="760">
                  <c:v>82.8945</c:v>
                </c:pt>
                <c:pt idx="761">
                  <c:v>82.8945</c:v>
                </c:pt>
                <c:pt idx="762">
                  <c:v>82.8945</c:v>
                </c:pt>
                <c:pt idx="763">
                  <c:v>82.8945</c:v>
                </c:pt>
                <c:pt idx="764">
                  <c:v>82.8945</c:v>
                </c:pt>
                <c:pt idx="765">
                  <c:v>82.8945</c:v>
                </c:pt>
                <c:pt idx="766">
                  <c:v>82.8945</c:v>
                </c:pt>
                <c:pt idx="767">
                  <c:v>82.8945</c:v>
                </c:pt>
                <c:pt idx="768">
                  <c:v>82.8945</c:v>
                </c:pt>
                <c:pt idx="769">
                  <c:v>82.8945</c:v>
                </c:pt>
                <c:pt idx="770">
                  <c:v>82.8945</c:v>
                </c:pt>
                <c:pt idx="771">
                  <c:v>82.8945</c:v>
                </c:pt>
                <c:pt idx="772">
                  <c:v>82.8945</c:v>
                </c:pt>
                <c:pt idx="773">
                  <c:v>82.8945</c:v>
                </c:pt>
                <c:pt idx="774">
                  <c:v>82.8945</c:v>
                </c:pt>
                <c:pt idx="775">
                  <c:v>82.8945</c:v>
                </c:pt>
                <c:pt idx="776">
                  <c:v>82.8945</c:v>
                </c:pt>
                <c:pt idx="777">
                  <c:v>82.8945</c:v>
                </c:pt>
                <c:pt idx="778">
                  <c:v>82.8945</c:v>
                </c:pt>
                <c:pt idx="779">
                  <c:v>82.8945</c:v>
                </c:pt>
                <c:pt idx="780">
                  <c:v>82.8945</c:v>
                </c:pt>
                <c:pt idx="781">
                  <c:v>82.8945</c:v>
                </c:pt>
                <c:pt idx="782">
                  <c:v>82.8945</c:v>
                </c:pt>
                <c:pt idx="783">
                  <c:v>82.8945</c:v>
                </c:pt>
                <c:pt idx="784">
                  <c:v>82.8945</c:v>
                </c:pt>
                <c:pt idx="785">
                  <c:v>82.8945</c:v>
                </c:pt>
                <c:pt idx="786">
                  <c:v>82.8945</c:v>
                </c:pt>
                <c:pt idx="787">
                  <c:v>82.8945</c:v>
                </c:pt>
                <c:pt idx="788">
                  <c:v>82.8945</c:v>
                </c:pt>
                <c:pt idx="789">
                  <c:v>82.8945</c:v>
                </c:pt>
                <c:pt idx="790">
                  <c:v>82.8945</c:v>
                </c:pt>
                <c:pt idx="791">
                  <c:v>82.8945</c:v>
                </c:pt>
                <c:pt idx="792">
                  <c:v>82.8945</c:v>
                </c:pt>
                <c:pt idx="793">
                  <c:v>82.8945</c:v>
                </c:pt>
                <c:pt idx="794">
                  <c:v>82.8945</c:v>
                </c:pt>
                <c:pt idx="795">
                  <c:v>82.8945</c:v>
                </c:pt>
                <c:pt idx="796">
                  <c:v>82.8945</c:v>
                </c:pt>
                <c:pt idx="797">
                  <c:v>82.8945</c:v>
                </c:pt>
                <c:pt idx="798">
                  <c:v>82.8945</c:v>
                </c:pt>
                <c:pt idx="799">
                  <c:v>82.8945</c:v>
                </c:pt>
                <c:pt idx="800">
                  <c:v>82.8945</c:v>
                </c:pt>
                <c:pt idx="801">
                  <c:v>82.8945</c:v>
                </c:pt>
                <c:pt idx="802">
                  <c:v>82.8945</c:v>
                </c:pt>
                <c:pt idx="803">
                  <c:v>82.8945</c:v>
                </c:pt>
                <c:pt idx="804">
                  <c:v>82.8945</c:v>
                </c:pt>
                <c:pt idx="805">
                  <c:v>82.8945</c:v>
                </c:pt>
                <c:pt idx="806">
                  <c:v>82.8945</c:v>
                </c:pt>
                <c:pt idx="807">
                  <c:v>82.8945</c:v>
                </c:pt>
                <c:pt idx="808">
                  <c:v>82.8945</c:v>
                </c:pt>
                <c:pt idx="809">
                  <c:v>82.8945</c:v>
                </c:pt>
                <c:pt idx="810">
                  <c:v>82.8945</c:v>
                </c:pt>
                <c:pt idx="811">
                  <c:v>82.8945</c:v>
                </c:pt>
                <c:pt idx="812">
                  <c:v>82.8945</c:v>
                </c:pt>
                <c:pt idx="813">
                  <c:v>82.8945</c:v>
                </c:pt>
                <c:pt idx="814">
                  <c:v>82.8945</c:v>
                </c:pt>
                <c:pt idx="815">
                  <c:v>82.8945</c:v>
                </c:pt>
                <c:pt idx="816">
                  <c:v>82.8945</c:v>
                </c:pt>
                <c:pt idx="817">
                  <c:v>82.8945</c:v>
                </c:pt>
                <c:pt idx="818">
                  <c:v>82.8945</c:v>
                </c:pt>
                <c:pt idx="819">
                  <c:v>82.8945</c:v>
                </c:pt>
                <c:pt idx="820">
                  <c:v>82.8945</c:v>
                </c:pt>
                <c:pt idx="821">
                  <c:v>82.8945</c:v>
                </c:pt>
                <c:pt idx="822">
                  <c:v>82.8945</c:v>
                </c:pt>
                <c:pt idx="823">
                  <c:v>82.8945</c:v>
                </c:pt>
                <c:pt idx="824">
                  <c:v>82.8945</c:v>
                </c:pt>
                <c:pt idx="825">
                  <c:v>82.8945</c:v>
                </c:pt>
                <c:pt idx="826">
                  <c:v>82.8945</c:v>
                </c:pt>
                <c:pt idx="827">
                  <c:v>82.8945</c:v>
                </c:pt>
                <c:pt idx="828">
                  <c:v>82.8945</c:v>
                </c:pt>
                <c:pt idx="829">
                  <c:v>82.8945</c:v>
                </c:pt>
                <c:pt idx="830">
                  <c:v>82.8945</c:v>
                </c:pt>
                <c:pt idx="831">
                  <c:v>82.8945</c:v>
                </c:pt>
                <c:pt idx="832">
                  <c:v>82.8945</c:v>
                </c:pt>
                <c:pt idx="833">
                  <c:v>82.8945</c:v>
                </c:pt>
                <c:pt idx="834">
                  <c:v>82.8945</c:v>
                </c:pt>
                <c:pt idx="835">
                  <c:v>82.8945</c:v>
                </c:pt>
                <c:pt idx="836">
                  <c:v>82.8945</c:v>
                </c:pt>
                <c:pt idx="837">
                  <c:v>82.8945</c:v>
                </c:pt>
                <c:pt idx="838">
                  <c:v>82.8945</c:v>
                </c:pt>
                <c:pt idx="839">
                  <c:v>82.8945</c:v>
                </c:pt>
                <c:pt idx="840">
                  <c:v>82.8945</c:v>
                </c:pt>
                <c:pt idx="841">
                  <c:v>82.8945</c:v>
                </c:pt>
                <c:pt idx="842">
                  <c:v>82.8945</c:v>
                </c:pt>
                <c:pt idx="843">
                  <c:v>82.8945</c:v>
                </c:pt>
                <c:pt idx="844">
                  <c:v>82.8945</c:v>
                </c:pt>
                <c:pt idx="845">
                  <c:v>82.8945</c:v>
                </c:pt>
                <c:pt idx="846">
                  <c:v>82.8945</c:v>
                </c:pt>
                <c:pt idx="847">
                  <c:v>82.8945</c:v>
                </c:pt>
                <c:pt idx="848">
                  <c:v>82.8945</c:v>
                </c:pt>
                <c:pt idx="849">
                  <c:v>82.8945</c:v>
                </c:pt>
                <c:pt idx="850">
                  <c:v>82.8945</c:v>
                </c:pt>
                <c:pt idx="851">
                  <c:v>82.8945</c:v>
                </c:pt>
                <c:pt idx="852">
                  <c:v>82.8945</c:v>
                </c:pt>
                <c:pt idx="853">
                  <c:v>82.8945</c:v>
                </c:pt>
                <c:pt idx="854">
                  <c:v>82.8945</c:v>
                </c:pt>
                <c:pt idx="855">
                  <c:v>82.8945</c:v>
                </c:pt>
                <c:pt idx="856">
                  <c:v>82.8945</c:v>
                </c:pt>
                <c:pt idx="857">
                  <c:v>82.8945</c:v>
                </c:pt>
                <c:pt idx="858">
                  <c:v>82.8945</c:v>
                </c:pt>
                <c:pt idx="859">
                  <c:v>82.8945</c:v>
                </c:pt>
                <c:pt idx="860">
                  <c:v>82.8945</c:v>
                </c:pt>
                <c:pt idx="861">
                  <c:v>82.8945</c:v>
                </c:pt>
                <c:pt idx="862">
                  <c:v>82.8945</c:v>
                </c:pt>
                <c:pt idx="863">
                  <c:v>82.8945</c:v>
                </c:pt>
                <c:pt idx="864">
                  <c:v>82.8945</c:v>
                </c:pt>
                <c:pt idx="865">
                  <c:v>82.8945</c:v>
                </c:pt>
                <c:pt idx="866">
                  <c:v>82.8945</c:v>
                </c:pt>
                <c:pt idx="867">
                  <c:v>82.8945</c:v>
                </c:pt>
                <c:pt idx="868">
                  <c:v>82.8945</c:v>
                </c:pt>
                <c:pt idx="869">
                  <c:v>82.8945</c:v>
                </c:pt>
                <c:pt idx="870">
                  <c:v>82.8945</c:v>
                </c:pt>
                <c:pt idx="871">
                  <c:v>82.8945</c:v>
                </c:pt>
                <c:pt idx="872">
                  <c:v>82.8945</c:v>
                </c:pt>
                <c:pt idx="873">
                  <c:v>82.8945</c:v>
                </c:pt>
                <c:pt idx="874">
                  <c:v>82.8945</c:v>
                </c:pt>
                <c:pt idx="875">
                  <c:v>82.8945</c:v>
                </c:pt>
                <c:pt idx="876">
                  <c:v>82.8945</c:v>
                </c:pt>
                <c:pt idx="877">
                  <c:v>82.8945</c:v>
                </c:pt>
                <c:pt idx="878">
                  <c:v>82.8945</c:v>
                </c:pt>
                <c:pt idx="879">
                  <c:v>82.8945</c:v>
                </c:pt>
                <c:pt idx="880">
                  <c:v>82.8945</c:v>
                </c:pt>
                <c:pt idx="881">
                  <c:v>82.8945</c:v>
                </c:pt>
                <c:pt idx="882">
                  <c:v>82.8945</c:v>
                </c:pt>
                <c:pt idx="883">
                  <c:v>82.8945</c:v>
                </c:pt>
                <c:pt idx="884">
                  <c:v>82.8945</c:v>
                </c:pt>
                <c:pt idx="885">
                  <c:v>82.8945</c:v>
                </c:pt>
                <c:pt idx="886">
                  <c:v>82.8945</c:v>
                </c:pt>
                <c:pt idx="887">
                  <c:v>82.8945</c:v>
                </c:pt>
                <c:pt idx="888">
                  <c:v>82.8945</c:v>
                </c:pt>
                <c:pt idx="889">
                  <c:v>82.8945</c:v>
                </c:pt>
                <c:pt idx="890">
                  <c:v>82.8945</c:v>
                </c:pt>
                <c:pt idx="891">
                  <c:v>82.8945</c:v>
                </c:pt>
                <c:pt idx="892">
                  <c:v>82.8945</c:v>
                </c:pt>
                <c:pt idx="893">
                  <c:v>82.8945</c:v>
                </c:pt>
                <c:pt idx="894">
                  <c:v>82.8945</c:v>
                </c:pt>
                <c:pt idx="895">
                  <c:v>82.8945</c:v>
                </c:pt>
                <c:pt idx="896">
                  <c:v>82.8945</c:v>
                </c:pt>
                <c:pt idx="897">
                  <c:v>82.8945</c:v>
                </c:pt>
                <c:pt idx="898">
                  <c:v>82.8945</c:v>
                </c:pt>
                <c:pt idx="899">
                  <c:v>82.8945</c:v>
                </c:pt>
                <c:pt idx="900">
                  <c:v>82.8945</c:v>
                </c:pt>
                <c:pt idx="901">
                  <c:v>82.8945</c:v>
                </c:pt>
                <c:pt idx="902">
                  <c:v>82.8945</c:v>
                </c:pt>
                <c:pt idx="903">
                  <c:v>82.8945</c:v>
                </c:pt>
                <c:pt idx="904">
                  <c:v>82.8945</c:v>
                </c:pt>
                <c:pt idx="905">
                  <c:v>82.8945</c:v>
                </c:pt>
                <c:pt idx="906">
                  <c:v>82.8945</c:v>
                </c:pt>
                <c:pt idx="907">
                  <c:v>82.8945</c:v>
                </c:pt>
                <c:pt idx="908">
                  <c:v>82.8945</c:v>
                </c:pt>
                <c:pt idx="909">
                  <c:v>82.8945</c:v>
                </c:pt>
                <c:pt idx="910">
                  <c:v>82.8945</c:v>
                </c:pt>
                <c:pt idx="911">
                  <c:v>82.8945</c:v>
                </c:pt>
                <c:pt idx="912">
                  <c:v>82.8945</c:v>
                </c:pt>
                <c:pt idx="913">
                  <c:v>82.8945</c:v>
                </c:pt>
                <c:pt idx="914">
                  <c:v>82.8945</c:v>
                </c:pt>
                <c:pt idx="915">
                  <c:v>82.8945</c:v>
                </c:pt>
                <c:pt idx="916">
                  <c:v>82.8945</c:v>
                </c:pt>
                <c:pt idx="917">
                  <c:v>82.8945</c:v>
                </c:pt>
                <c:pt idx="918">
                  <c:v>82.8945</c:v>
                </c:pt>
                <c:pt idx="919">
                  <c:v>82.8945</c:v>
                </c:pt>
                <c:pt idx="920">
                  <c:v>82.8945</c:v>
                </c:pt>
                <c:pt idx="921">
                  <c:v>82.8945</c:v>
                </c:pt>
                <c:pt idx="922">
                  <c:v>82.8945</c:v>
                </c:pt>
                <c:pt idx="923">
                  <c:v>82.8945</c:v>
                </c:pt>
                <c:pt idx="924">
                  <c:v>82.8945</c:v>
                </c:pt>
                <c:pt idx="925">
                  <c:v>82.8945</c:v>
                </c:pt>
                <c:pt idx="926">
                  <c:v>82.8945</c:v>
                </c:pt>
                <c:pt idx="927">
                  <c:v>82.8945</c:v>
                </c:pt>
                <c:pt idx="928">
                  <c:v>82.8945</c:v>
                </c:pt>
                <c:pt idx="929">
                  <c:v>82.8945</c:v>
                </c:pt>
                <c:pt idx="930">
                  <c:v>82.8945</c:v>
                </c:pt>
                <c:pt idx="931">
                  <c:v>82.8945</c:v>
                </c:pt>
                <c:pt idx="932">
                  <c:v>82.8945</c:v>
                </c:pt>
                <c:pt idx="933">
                  <c:v>82.8945</c:v>
                </c:pt>
                <c:pt idx="934">
                  <c:v>82.8945</c:v>
                </c:pt>
                <c:pt idx="935">
                  <c:v>82.8945</c:v>
                </c:pt>
                <c:pt idx="936">
                  <c:v>82.8945</c:v>
                </c:pt>
                <c:pt idx="937">
                  <c:v>82.8945</c:v>
                </c:pt>
                <c:pt idx="938">
                  <c:v>82.8945</c:v>
                </c:pt>
                <c:pt idx="939">
                  <c:v>82.8945</c:v>
                </c:pt>
                <c:pt idx="940">
                  <c:v>82.8945</c:v>
                </c:pt>
                <c:pt idx="941">
                  <c:v>82.8945</c:v>
                </c:pt>
                <c:pt idx="942">
                  <c:v>82.8945</c:v>
                </c:pt>
                <c:pt idx="943">
                  <c:v>82.8945</c:v>
                </c:pt>
                <c:pt idx="944">
                  <c:v>82.8945</c:v>
                </c:pt>
                <c:pt idx="945">
                  <c:v>82.8945</c:v>
                </c:pt>
                <c:pt idx="946">
                  <c:v>82.8945</c:v>
                </c:pt>
                <c:pt idx="947">
                  <c:v>82.8945</c:v>
                </c:pt>
                <c:pt idx="948">
                  <c:v>82.8945</c:v>
                </c:pt>
                <c:pt idx="949">
                  <c:v>82.8945</c:v>
                </c:pt>
                <c:pt idx="950">
                  <c:v>82.8945</c:v>
                </c:pt>
                <c:pt idx="951">
                  <c:v>82.8945</c:v>
                </c:pt>
                <c:pt idx="952">
                  <c:v>82.8945</c:v>
                </c:pt>
                <c:pt idx="953">
                  <c:v>82.8945</c:v>
                </c:pt>
                <c:pt idx="954">
                  <c:v>82.8945</c:v>
                </c:pt>
                <c:pt idx="955">
                  <c:v>82.8945</c:v>
                </c:pt>
                <c:pt idx="956">
                  <c:v>82.8945</c:v>
                </c:pt>
                <c:pt idx="957">
                  <c:v>82.8945</c:v>
                </c:pt>
                <c:pt idx="958">
                  <c:v>82.8945</c:v>
                </c:pt>
                <c:pt idx="959">
                  <c:v>82.8945</c:v>
                </c:pt>
                <c:pt idx="960">
                  <c:v>82.8945</c:v>
                </c:pt>
                <c:pt idx="961">
                  <c:v>82.8945</c:v>
                </c:pt>
                <c:pt idx="962">
                  <c:v>82.8945</c:v>
                </c:pt>
                <c:pt idx="963">
                  <c:v>82.8945</c:v>
                </c:pt>
                <c:pt idx="964">
                  <c:v>82.8945</c:v>
                </c:pt>
                <c:pt idx="965">
                  <c:v>82.8945</c:v>
                </c:pt>
                <c:pt idx="966">
                  <c:v>82.8945</c:v>
                </c:pt>
                <c:pt idx="967">
                  <c:v>82.8945</c:v>
                </c:pt>
                <c:pt idx="968">
                  <c:v>82.8945</c:v>
                </c:pt>
                <c:pt idx="969">
                  <c:v>82.8945</c:v>
                </c:pt>
                <c:pt idx="970">
                  <c:v>82.8945</c:v>
                </c:pt>
                <c:pt idx="971">
                  <c:v>82.8945</c:v>
                </c:pt>
                <c:pt idx="972">
                  <c:v>82.8945</c:v>
                </c:pt>
                <c:pt idx="973">
                  <c:v>82.8945</c:v>
                </c:pt>
                <c:pt idx="974">
                  <c:v>82.8945</c:v>
                </c:pt>
                <c:pt idx="975">
                  <c:v>82.8945</c:v>
                </c:pt>
                <c:pt idx="976">
                  <c:v>82.8945</c:v>
                </c:pt>
                <c:pt idx="977">
                  <c:v>82.8945</c:v>
                </c:pt>
                <c:pt idx="978">
                  <c:v>82.8945</c:v>
                </c:pt>
                <c:pt idx="979">
                  <c:v>82.8945</c:v>
                </c:pt>
                <c:pt idx="980">
                  <c:v>82.8945</c:v>
                </c:pt>
                <c:pt idx="981">
                  <c:v>82.8945</c:v>
                </c:pt>
                <c:pt idx="982">
                  <c:v>82.8945</c:v>
                </c:pt>
                <c:pt idx="983">
                  <c:v>82.8945</c:v>
                </c:pt>
                <c:pt idx="984">
                  <c:v>82.8945</c:v>
                </c:pt>
                <c:pt idx="985">
                  <c:v>82.8945</c:v>
                </c:pt>
                <c:pt idx="986">
                  <c:v>82.8945</c:v>
                </c:pt>
                <c:pt idx="987">
                  <c:v>82.8945</c:v>
                </c:pt>
                <c:pt idx="988">
                  <c:v>82.8945</c:v>
                </c:pt>
                <c:pt idx="989">
                  <c:v>82.8945</c:v>
                </c:pt>
                <c:pt idx="990">
                  <c:v>82.8945</c:v>
                </c:pt>
                <c:pt idx="991">
                  <c:v>82.8945</c:v>
                </c:pt>
                <c:pt idx="992">
                  <c:v>82.8945</c:v>
                </c:pt>
                <c:pt idx="993">
                  <c:v>82.8945</c:v>
                </c:pt>
                <c:pt idx="994">
                  <c:v>82.8945</c:v>
                </c:pt>
                <c:pt idx="995">
                  <c:v>82.8945</c:v>
                </c:pt>
                <c:pt idx="996">
                  <c:v>82.8945</c:v>
                </c:pt>
                <c:pt idx="997">
                  <c:v>82.8945</c:v>
                </c:pt>
                <c:pt idx="998">
                  <c:v>82.8945</c:v>
                </c:pt>
                <c:pt idx="999">
                  <c:v>82.8945</c:v>
                </c:pt>
                <c:pt idx="1000">
                  <c:v>82.8945</c:v>
                </c:pt>
              </c:numCache>
            </c:numRef>
          </c:yVal>
          <c:smooth val="0"/>
        </c:ser>
        <c:ser>
          <c:idx val="2"/>
          <c:order val="2"/>
          <c:tx>
            <c:strRef>
              <c:f>Courbes!$B$133</c:f>
              <c:strCache>
                <c:ptCount val="1"/>
                <c:pt idx="0">
                  <c:v>Traînée</c:v>
                </c:pt>
              </c:strCache>
            </c:strRef>
          </c:tx>
          <c:spPr>
            <a:solidFill>
              <a:srgbClr val="800000"/>
            </a:solidFill>
            <a:ln w="25560">
              <a:solidFill>
                <a:srgbClr val="8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Calculs!$W$4:$W$1004</c:f>
              <c:numCache>
                <c:formatCode>General</c:formatCode>
                <c:ptCount val="1001"/>
                <c:pt idx="0">
                  <c:v>0</c:v>
                </c:pt>
                <c:pt idx="1">
                  <c:v>0.000124540871815544</c:v>
                </c:pt>
                <c:pt idx="2">
                  <c:v>0.00513330537410219</c:v>
                </c:pt>
                <c:pt idx="3">
                  <c:v>0.026306059103167</c:v>
                </c:pt>
                <c:pt idx="4">
                  <c:v>0.062295939303446</c:v>
                </c:pt>
                <c:pt idx="5">
                  <c:v>0.111449035646977</c:v>
                </c:pt>
                <c:pt idx="6">
                  <c:v>0.173764270247756</c:v>
                </c:pt>
                <c:pt idx="7">
                  <c:v>0.250542703494764</c:v>
                </c:pt>
                <c:pt idx="8">
                  <c:v>0.34212662197488</c:v>
                </c:pt>
                <c:pt idx="9">
                  <c:v>0.448861139518686</c:v>
                </c:pt>
                <c:pt idx="10">
                  <c:v>0.571094181756921</c:v>
                </c:pt>
                <c:pt idx="11">
                  <c:v>0.708840680434774</c:v>
                </c:pt>
                <c:pt idx="12">
                  <c:v>0.86197893802732</c:v>
                </c:pt>
                <c:pt idx="13">
                  <c:v>1.03065401084692</c:v>
                </c:pt>
                <c:pt idx="14">
                  <c:v>1.21501088672691</c:v>
                </c:pt>
                <c:pt idx="15">
                  <c:v>1.41519447024087</c:v>
                </c:pt>
                <c:pt idx="16">
                  <c:v>1.63134956780526</c:v>
                </c:pt>
                <c:pt idx="17">
                  <c:v>1.86362087266703</c:v>
                </c:pt>
                <c:pt idx="18">
                  <c:v>2.11215294977768</c:v>
                </c:pt>
                <c:pt idx="19">
                  <c:v>2.37709022055577</c:v>
                </c:pt>
                <c:pt idx="20">
                  <c:v>2.65857694753919</c:v>
                </c:pt>
                <c:pt idx="21">
                  <c:v>2.95648208035384</c:v>
                </c:pt>
                <c:pt idx="22">
                  <c:v>3.2706165970851</c:v>
                </c:pt>
                <c:pt idx="23">
                  <c:v>3.60103713523199</c:v>
                </c:pt>
                <c:pt idx="24">
                  <c:v>3.94779956259726</c:v>
                </c:pt>
                <c:pt idx="25">
                  <c:v>4.31095896893933</c:v>
                </c:pt>
                <c:pt idx="26">
                  <c:v>4.69056965768194</c:v>
                </c:pt>
                <c:pt idx="27">
                  <c:v>5.0866851376832</c:v>
                </c:pt>
                <c:pt idx="28">
                  <c:v>5.49935941306706</c:v>
                </c:pt>
                <c:pt idx="29">
                  <c:v>5.92864593491454</c:v>
                </c:pt>
                <c:pt idx="30">
                  <c:v>6.37459599847983</c:v>
                </c:pt>
                <c:pt idx="31">
                  <c:v>6.8372600663679</c:v>
                </c:pt>
                <c:pt idx="32">
                  <c:v>7.31668776098749</c:v>
                </c:pt>
                <c:pt idx="33">
                  <c:v>7.81292785705957</c:v>
                </c:pt>
                <c:pt idx="34">
                  <c:v>8.32602827416521</c:v>
                </c:pt>
                <c:pt idx="35">
                  <c:v>8.85603606933859</c:v>
                </c:pt>
                <c:pt idx="36">
                  <c:v>9.40299742970999</c:v>
                </c:pt>
                <c:pt idx="37">
                  <c:v>9.96695766520351</c:v>
                </c:pt>
                <c:pt idx="38">
                  <c:v>10.5479612012936</c:v>
                </c:pt>
                <c:pt idx="39">
                  <c:v>11.1460515718241</c:v>
                </c:pt>
                <c:pt idx="40">
                  <c:v>11.7612714118939</c:v>
                </c:pt>
                <c:pt idx="41">
                  <c:v>12.3932240454777</c:v>
                </c:pt>
                <c:pt idx="42">
                  <c:v>13.0414655716831</c:v>
                </c:pt>
                <c:pt idx="43">
                  <c:v>13.7059664317155</c:v>
                </c:pt>
                <c:pt idx="44">
                  <c:v>14.3866960103899</c:v>
                </c:pt>
                <c:pt idx="45">
                  <c:v>15.0836226379513</c:v>
                </c:pt>
                <c:pt idx="46">
                  <c:v>15.7967135920298</c:v>
                </c:pt>
                <c:pt idx="47">
                  <c:v>16.5259350997312</c:v>
                </c:pt>
                <c:pt idx="48">
                  <c:v>17.2712523398646</c:v>
                </c:pt>
                <c:pt idx="49">
                  <c:v>18.0326294453054</c:v>
                </c:pt>
                <c:pt idx="50">
                  <c:v>18.8100295054969</c:v>
                </c:pt>
                <c:pt idx="51">
                  <c:v>19.6034145690888</c:v>
                </c:pt>
                <c:pt idx="52">
                  <c:v>20.4127456467134</c:v>
                </c:pt>
                <c:pt idx="53">
                  <c:v>21.2379827139004</c:v>
                </c:pt>
                <c:pt idx="54">
                  <c:v>22.0790847141295</c:v>
                </c:pt>
                <c:pt idx="55">
                  <c:v>22.936009562021</c:v>
                </c:pt>
                <c:pt idx="56">
                  <c:v>23.8087141466648</c:v>
                </c:pt>
                <c:pt idx="57">
                  <c:v>24.6971543350873</c:v>
                </c:pt>
                <c:pt idx="58">
                  <c:v>25.6012849758561</c:v>
                </c:pt>
                <c:pt idx="59">
                  <c:v>26.5210599028223</c:v>
                </c:pt>
                <c:pt idx="60">
                  <c:v>27.4564319390001</c:v>
                </c:pt>
                <c:pt idx="61">
                  <c:v>28.4073529005834</c:v>
                </c:pt>
                <c:pt idx="62">
                  <c:v>29.373773601099</c:v>
                </c:pt>
                <c:pt idx="63">
                  <c:v>30.3556438556961</c:v>
                </c:pt>
                <c:pt idx="64">
                  <c:v>31.3529124855708</c:v>
                </c:pt>
                <c:pt idx="65">
                  <c:v>32.3655273225268</c:v>
                </c:pt>
                <c:pt idx="66">
                  <c:v>33.3934352136696</c:v>
                </c:pt>
                <c:pt idx="67">
                  <c:v>34.4365820262353</c:v>
                </c:pt>
                <c:pt idx="68">
                  <c:v>35.4949126525524</c:v>
                </c:pt>
                <c:pt idx="69">
                  <c:v>36.5683710151363</c:v>
                </c:pt>
                <c:pt idx="70">
                  <c:v>37.656900071915</c:v>
                </c:pt>
                <c:pt idx="71">
                  <c:v>38.7604418215871</c:v>
                </c:pt>
                <c:pt idx="72">
                  <c:v>39.8789373091086</c:v>
                </c:pt>
                <c:pt idx="73">
                  <c:v>41.0123266313097</c:v>
                </c:pt>
                <c:pt idx="74">
                  <c:v>42.1605489426406</c:v>
                </c:pt>
                <c:pt idx="75">
                  <c:v>43.3235424610433</c:v>
                </c:pt>
                <c:pt idx="76">
                  <c:v>44.5012444739515</c:v>
                </c:pt>
                <c:pt idx="77">
                  <c:v>45.6935913444153</c:v>
                </c:pt>
                <c:pt idx="78">
                  <c:v>46.9005185173499</c:v>
                </c:pt>
                <c:pt idx="79">
                  <c:v>48.1219605259091</c:v>
                </c:pt>
                <c:pt idx="80">
                  <c:v>49.3578509979796</c:v>
                </c:pt>
                <c:pt idx="81">
                  <c:v>50.6072230151737</c:v>
                </c:pt>
                <c:pt idx="82">
                  <c:v>51.8690627677097</c:v>
                </c:pt>
                <c:pt idx="83">
                  <c:v>53.1432329107503</c:v>
                </c:pt>
                <c:pt idx="84">
                  <c:v>54.4295954869136</c:v>
                </c:pt>
                <c:pt idx="85">
                  <c:v>55.7280119429892</c:v>
                </c:pt>
                <c:pt idx="86">
                  <c:v>57.0383431467024</c:v>
                </c:pt>
                <c:pt idx="87">
                  <c:v>58.3604494035237</c:v>
                </c:pt>
                <c:pt idx="88">
                  <c:v>59.6941904735192</c:v>
                </c:pt>
                <c:pt idx="89">
                  <c:v>61.0394255882391</c:v>
                </c:pt>
                <c:pt idx="90">
                  <c:v>62.3960134676401</c:v>
                </c:pt>
                <c:pt idx="91">
                  <c:v>63.763366199746</c:v>
                </c:pt>
                <c:pt idx="92">
                  <c:v>65.1408756349481</c:v>
                </c:pt>
                <c:pt idx="93">
                  <c:v>66.5283698581737</c:v>
                </c:pt>
                <c:pt idx="94">
                  <c:v>67.925676715691</c:v>
                </c:pt>
                <c:pt idx="95">
                  <c:v>69.3326238363411</c:v>
                </c:pt>
                <c:pt idx="96">
                  <c:v>70.7490386527241</c:v>
                </c:pt>
                <c:pt idx="97">
                  <c:v>72.1747484223336</c:v>
                </c:pt>
                <c:pt idx="98">
                  <c:v>73.6095802486356</c:v>
                </c:pt>
                <c:pt idx="99">
                  <c:v>75.0533611020885</c:v>
                </c:pt>
                <c:pt idx="100">
                  <c:v>76.505917841097</c:v>
                </c:pt>
                <c:pt idx="101">
                  <c:v>77.9669983376246</c:v>
                </c:pt>
                <c:pt idx="102">
                  <c:v>79.4363473494231</c:v>
                </c:pt>
                <c:pt idx="103">
                  <c:v>80.9137870442876</c:v>
                </c:pt>
                <c:pt idx="104">
                  <c:v>82.3991396009912</c:v>
                </c:pt>
                <c:pt idx="105">
                  <c:v>83.8922272304698</c:v>
                </c:pt>
                <c:pt idx="106">
                  <c:v>85.3928721969041</c:v>
                </c:pt>
                <c:pt idx="107">
                  <c:v>86.9008968386965</c:v>
                </c:pt>
                <c:pt idx="108">
                  <c:v>88.4161235893387</c:v>
                </c:pt>
                <c:pt idx="109">
                  <c:v>89.9383749981661</c:v>
                </c:pt>
                <c:pt idx="110">
                  <c:v>91.4674737509944</c:v>
                </c:pt>
                <c:pt idx="111">
                  <c:v>93.0042345610495</c:v>
                </c:pt>
                <c:pt idx="112">
                  <c:v>94.5495059412153</c:v>
                </c:pt>
                <c:pt idx="113">
                  <c:v>96.1031604335962</c:v>
                </c:pt>
                <c:pt idx="114">
                  <c:v>97.6650703648431</c:v>
                </c:pt>
                <c:pt idx="115">
                  <c:v>99.2351078599943</c:v>
                </c:pt>
                <c:pt idx="116">
                  <c:v>100.813144856295</c:v>
                </c:pt>
                <c:pt idx="117">
                  <c:v>102.399053116991</c:v>
                </c:pt>
                <c:pt idx="118">
                  <c:v>103.992704245099</c:v>
                </c:pt>
                <c:pt idx="119">
                  <c:v>105.593969697147</c:v>
                </c:pt>
                <c:pt idx="120">
                  <c:v>107.202720796877</c:v>
                </c:pt>
                <c:pt idx="121">
                  <c:v>108.8170497799</c:v>
                </c:pt>
                <c:pt idx="122">
                  <c:v>110.434994847675</c:v>
                </c:pt>
                <c:pt idx="123">
                  <c:v>112.056348287117</c:v>
                </c:pt>
                <c:pt idx="124">
                  <c:v>113.680903151816</c:v>
                </c:pt>
                <c:pt idx="125">
                  <c:v>115.308453284713</c:v>
                </c:pt>
                <c:pt idx="126">
                  <c:v>116.9387933405</c:v>
                </c:pt>
                <c:pt idx="127">
                  <c:v>118.571718807733</c:v>
                </c:pt>
                <c:pt idx="128">
                  <c:v>120.207026030654</c:v>
                </c:pt>
                <c:pt idx="129">
                  <c:v>121.84451223073</c:v>
                </c:pt>
                <c:pt idx="130">
                  <c:v>123.483975527894</c:v>
                </c:pt>
                <c:pt idx="131">
                  <c:v>125.124715731874</c:v>
                </c:pt>
                <c:pt idx="132">
                  <c:v>126.766020337602</c:v>
                </c:pt>
                <c:pt idx="133">
                  <c:v>128.407671092326</c:v>
                </c:pt>
                <c:pt idx="134">
                  <c:v>130.049451019158</c:v>
                </c:pt>
                <c:pt idx="135">
                  <c:v>131.69114443873</c:v>
                </c:pt>
                <c:pt idx="136">
                  <c:v>133.332536990452</c:v>
                </c:pt>
                <c:pt idx="137">
                  <c:v>134.973415653377</c:v>
                </c:pt>
                <c:pt idx="138">
                  <c:v>136.613568766669</c:v>
                </c:pt>
                <c:pt idx="139">
                  <c:v>138.252786049669</c:v>
                </c:pt>
                <c:pt idx="140">
                  <c:v>139.890858621567</c:v>
                </c:pt>
                <c:pt idx="141">
                  <c:v>141.521233613386</c:v>
                </c:pt>
                <c:pt idx="142">
                  <c:v>143.137213470072</c:v>
                </c:pt>
                <c:pt idx="143">
                  <c:v>144.73838506826</c:v>
                </c:pt>
                <c:pt idx="144">
                  <c:v>146.324342411063</c:v>
                </c:pt>
                <c:pt idx="145">
                  <c:v>147.894686658632</c:v>
                </c:pt>
                <c:pt idx="146">
                  <c:v>149.449026156474</c:v>
                </c:pt>
                <c:pt idx="147">
                  <c:v>150.986976461551</c:v>
                </c:pt>
                <c:pt idx="148">
                  <c:v>152.508160366183</c:v>
                </c:pt>
                <c:pt idx="149">
                  <c:v>154.01220791977</c:v>
                </c:pt>
                <c:pt idx="150">
                  <c:v>155.498756448355</c:v>
                </c:pt>
                <c:pt idx="151">
                  <c:v>156.967450572059</c:v>
                </c:pt>
                <c:pt idx="152">
                  <c:v>158.417942220404</c:v>
                </c:pt>
                <c:pt idx="153">
                  <c:v>159.849890645549</c:v>
                </c:pt>
                <c:pt idx="154">
                  <c:v>161.262962433469</c:v>
                </c:pt>
                <c:pt idx="155">
                  <c:v>162.656831513096</c:v>
                </c:pt>
                <c:pt idx="156">
                  <c:v>163.99885620916</c:v>
                </c:pt>
                <c:pt idx="157">
                  <c:v>165.255906679687</c:v>
                </c:pt>
                <c:pt idx="158">
                  <c:v>166.427029030956</c:v>
                </c:pt>
                <c:pt idx="159">
                  <c:v>167.511353845244</c:v>
                </c:pt>
                <c:pt idx="160">
                  <c:v>168.508095902462</c:v>
                </c:pt>
                <c:pt idx="161">
                  <c:v>169.374806441036</c:v>
                </c:pt>
                <c:pt idx="162">
                  <c:v>170.068801599794</c:v>
                </c:pt>
                <c:pt idx="163">
                  <c:v>170.593270828792</c:v>
                </c:pt>
                <c:pt idx="164">
                  <c:v>170.951711308467</c:v>
                </c:pt>
                <c:pt idx="165">
                  <c:v>171.183977724325</c:v>
                </c:pt>
                <c:pt idx="166">
                  <c:v>171.330151000431</c:v>
                </c:pt>
                <c:pt idx="167">
                  <c:v>171.359812330659</c:v>
                </c:pt>
                <c:pt idx="168">
                  <c:v>171.264749919235</c:v>
                </c:pt>
                <c:pt idx="169">
                  <c:v>170.982471336405</c:v>
                </c:pt>
                <c:pt idx="170">
                  <c:v>170.495097506197</c:v>
                </c:pt>
                <c:pt idx="171">
                  <c:v>169.939703653492</c:v>
                </c:pt>
                <c:pt idx="172">
                  <c:v>169.386522607491</c:v>
                </c:pt>
                <c:pt idx="173">
                  <c:v>168.835542706547</c:v>
                </c:pt>
                <c:pt idx="174">
                  <c:v>168.28675236657</c:v>
                </c:pt>
                <c:pt idx="175">
                  <c:v>167.740140080408</c:v>
                </c:pt>
                <c:pt idx="176">
                  <c:v>167.195694417234</c:v>
                </c:pt>
                <c:pt idx="177">
                  <c:v>166.653404021934</c:v>
                </c:pt>
                <c:pt idx="178">
                  <c:v>166.113257614508</c:v>
                </c:pt>
                <c:pt idx="179">
                  <c:v>165.575243989469</c:v>
                </c:pt>
                <c:pt idx="180">
                  <c:v>165.039352015254</c:v>
                </c:pt>
                <c:pt idx="181">
                  <c:v>164.505570633634</c:v>
                </c:pt>
                <c:pt idx="182">
                  <c:v>163.973888859139</c:v>
                </c:pt>
                <c:pt idx="183">
                  <c:v>163.444295778475</c:v>
                </c:pt>
                <c:pt idx="184">
                  <c:v>162.91678054996</c:v>
                </c:pt>
                <c:pt idx="185">
                  <c:v>162.391332402956</c:v>
                </c:pt>
                <c:pt idx="186">
                  <c:v>161.867940637309</c:v>
                </c:pt>
                <c:pt idx="187">
                  <c:v>161.346594622798</c:v>
                </c:pt>
                <c:pt idx="188">
                  <c:v>160.827283798579</c:v>
                </c:pt>
                <c:pt idx="189">
                  <c:v>160.309997672646</c:v>
                </c:pt>
                <c:pt idx="190">
                  <c:v>159.79472582129</c:v>
                </c:pt>
                <c:pt idx="191">
                  <c:v>159.281457888565</c:v>
                </c:pt>
                <c:pt idx="192">
                  <c:v>158.770183585755</c:v>
                </c:pt>
                <c:pt idx="193">
                  <c:v>158.260892690855</c:v>
                </c:pt>
                <c:pt idx="194">
                  <c:v>157.753575048047</c:v>
                </c:pt>
                <c:pt idx="195">
                  <c:v>157.248220567183</c:v>
                </c:pt>
                <c:pt idx="196">
                  <c:v>156.74481922328</c:v>
                </c:pt>
                <c:pt idx="197">
                  <c:v>156.243361056011</c:v>
                </c:pt>
                <c:pt idx="198">
                  <c:v>155.743836169201</c:v>
                </c:pt>
                <c:pt idx="199">
                  <c:v>155.246234730337</c:v>
                </c:pt>
                <c:pt idx="200">
                  <c:v>154.750546970067</c:v>
                </c:pt>
                <c:pt idx="201">
                  <c:v>149.854100607947</c:v>
                </c:pt>
                <c:pt idx="202">
                  <c:v>145.142573762126</c:v>
                </c:pt>
                <c:pt idx="203">
                  <c:v>140.606846337316</c:v>
                </c:pt>
                <c:pt idx="204">
                  <c:v>136.238361276782</c:v>
                </c:pt>
                <c:pt idx="205">
                  <c:v>132.029083181822</c:v>
                </c:pt>
                <c:pt idx="206">
                  <c:v>127.97146045175</c:v>
                </c:pt>
                <c:pt idx="207">
                  <c:v>124.058390605136</c:v>
                </c:pt>
                <c:pt idx="208">
                  <c:v>120.283188479532</c:v>
                </c:pt>
                <c:pt idx="209">
                  <c:v>116.639557038993</c:v>
                </c:pt>
                <c:pt idx="210">
                  <c:v>113.121560547092</c:v>
                </c:pt>
                <c:pt idx="211">
                  <c:v>109.723599888246</c:v>
                </c:pt>
                <c:pt idx="212">
                  <c:v>106.440389842367</c:v>
                </c:pt>
                <c:pt idx="213">
                  <c:v>103.266938137621</c:v>
                </c:pt>
                <c:pt idx="214">
                  <c:v>100.198526123584</c:v>
                </c:pt>
                <c:pt idx="215">
                  <c:v>97.2306909227092</c:v>
                </c:pt>
                <c:pt idx="216">
                  <c:v>94.3592089318975</c:v>
                </c:pt>
                <c:pt idx="217">
                  <c:v>91.5800805583795</c:v>
                </c:pt>
                <c:pt idx="218">
                  <c:v>88.8895160852025</c:v>
                </c:pt>
                <c:pt idx="219">
                  <c:v>86.283922571518</c:v>
                </c:pt>
                <c:pt idx="220">
                  <c:v>83.7598917017536</c:v>
                </c:pt>
                <c:pt idx="221">
                  <c:v>81.3141885057126</c:v>
                </c:pt>
                <c:pt idx="222">
                  <c:v>78.9437408787943</c:v>
                </c:pt>
                <c:pt idx="223">
                  <c:v>76.6456298379571</c:v>
                </c:pt>
                <c:pt idx="224">
                  <c:v>74.4170804548271</c:v>
                </c:pt>
                <c:pt idx="225">
                  <c:v>72.2554534125704</c:v>
                </c:pt>
                <c:pt idx="226">
                  <c:v>70.1582371378451</c:v>
                </c:pt>
                <c:pt idx="227">
                  <c:v>68.1230404633926</c:v>
                </c:pt>
                <c:pt idx="228">
                  <c:v>66.1475857806658</c:v>
                </c:pt>
                <c:pt idx="229">
                  <c:v>64.2297026453624</c:v>
                </c:pt>
                <c:pt idx="230">
                  <c:v>62.3673218018746</c:v>
                </c:pt>
                <c:pt idx="231">
                  <c:v>60.5584695955163</c:v>
                </c:pt>
                <c:pt idx="232">
                  <c:v>58.8012627439785</c:v>
                </c:pt>
                <c:pt idx="233">
                  <c:v>57.0939034418084</c:v>
                </c:pt>
                <c:pt idx="234">
                  <c:v>55.4346747738498</c:v>
                </c:pt>
                <c:pt idx="235">
                  <c:v>53.8219364155216</c:v>
                </c:pt>
                <c:pt idx="236">
                  <c:v>52.2541205995844</c:v>
                </c:pt>
                <c:pt idx="237">
                  <c:v>50.7297283306603</c:v>
                </c:pt>
                <c:pt idx="238">
                  <c:v>49.2473258302436</c:v>
                </c:pt>
                <c:pt idx="239">
                  <c:v>47.8055411962833</c:v>
                </c:pt>
                <c:pt idx="240">
                  <c:v>46.4030612626522</c:v>
                </c:pt>
                <c:pt idx="241">
                  <c:v>45.0386286449391</c:v>
                </c:pt>
                <c:pt idx="242">
                  <c:v>43.7110389600305</c:v>
                </c:pt>
                <c:pt idx="243">
                  <c:v>42.4191382078935</c:v>
                </c:pt>
                <c:pt idx="244">
                  <c:v>41.1618203048352</c:v>
                </c:pt>
                <c:pt idx="245">
                  <c:v>39.9380247583079</c:v>
                </c:pt>
                <c:pt idx="246">
                  <c:v>38.7467344740587</c:v>
                </c:pt>
                <c:pt idx="247">
                  <c:v>37.5869736870919</c:v>
                </c:pt>
                <c:pt idx="248">
                  <c:v>36.4578060085288</c:v>
                </c:pt>
                <c:pt idx="249">
                  <c:v>35.3583325810153</c:v>
                </c:pt>
                <c:pt idx="250">
                  <c:v>34.2876903358526</c:v>
                </c:pt>
                <c:pt idx="251">
                  <c:v>33.2450503455034</c:v>
                </c:pt>
                <c:pt idx="252">
                  <c:v>32.2296162655734</c:v>
                </c:pt>
                <c:pt idx="253">
                  <c:v>31.2406228607756</c:v>
                </c:pt>
                <c:pt idx="254">
                  <c:v>30.2773346097631</c:v>
                </c:pt>
                <c:pt idx="255">
                  <c:v>29.3390443840653</c:v>
                </c:pt>
                <c:pt idx="256">
                  <c:v>28.4250721966863</c:v>
                </c:pt>
                <c:pt idx="257">
                  <c:v>27.5347640162221</c:v>
                </c:pt>
                <c:pt idx="258">
                  <c:v>26.6674906426304</c:v>
                </c:pt>
                <c:pt idx="259">
                  <c:v>25.8226466410418</c:v>
                </c:pt>
                <c:pt idx="260">
                  <c:v>24.9996493302417</c:v>
                </c:pt>
                <c:pt idx="261">
                  <c:v>24.1979378226675</c:v>
                </c:pt>
                <c:pt idx="262">
                  <c:v>23.4169721129747</c:v>
                </c:pt>
                <c:pt idx="263">
                  <c:v>22.6562322124131</c:v>
                </c:pt>
                <c:pt idx="264">
                  <c:v>21.9152173264284</c:v>
                </c:pt>
                <c:pt idx="265">
                  <c:v>21.1934450730731</c:v>
                </c:pt>
                <c:pt idx="266">
                  <c:v>20.4904507399571</c:v>
                </c:pt>
                <c:pt idx="267">
                  <c:v>19.8057865776156</c:v>
                </c:pt>
                <c:pt idx="268">
                  <c:v>19.1390211272975</c:v>
                </c:pt>
                <c:pt idx="269">
                  <c:v>18.4897385813061</c:v>
                </c:pt>
                <c:pt idx="270">
                  <c:v>17.8575381741338</c:v>
                </c:pt>
                <c:pt idx="271">
                  <c:v>17.2420336027414</c:v>
                </c:pt>
                <c:pt idx="272">
                  <c:v>16.6428524744299</c:v>
                </c:pt>
                <c:pt idx="273">
                  <c:v>16.0596357808471</c:v>
                </c:pt>
                <c:pt idx="274">
                  <c:v>15.4920373967564</c:v>
                </c:pt>
                <c:pt idx="275">
                  <c:v>14.939723602275</c:v>
                </c:pt>
                <c:pt idx="276">
                  <c:v>14.4023726273663</c:v>
                </c:pt>
                <c:pt idx="277">
                  <c:v>13.8796742174378</c:v>
                </c:pt>
                <c:pt idx="278">
                  <c:v>13.3713292189641</c:v>
                </c:pt>
                <c:pt idx="279">
                  <c:v>12.8770491841144</c:v>
                </c:pt>
                <c:pt idx="280">
                  <c:v>12.3965559934203</c:v>
                </c:pt>
                <c:pt idx="281">
                  <c:v>11.9295814955728</c:v>
                </c:pt>
                <c:pt idx="282">
                  <c:v>11.4758671634886</c:v>
                </c:pt>
                <c:pt idx="283">
                  <c:v>11.0351637658275</c:v>
                </c:pt>
                <c:pt idx="284">
                  <c:v>10.6072310531914</c:v>
                </c:pt>
                <c:pt idx="285">
                  <c:v>10.1918374582686</c:v>
                </c:pt>
                <c:pt idx="286">
                  <c:v>9.78875980922868</c:v>
                </c:pt>
                <c:pt idx="287">
                  <c:v>9.39778305570487</c:v>
                </c:pt>
                <c:pt idx="288">
                  <c:v>9.01870000673224</c:v>
                </c:pt>
                <c:pt idx="289">
                  <c:v>8.65131108003898</c:v>
                </c:pt>
                <c:pt idx="290">
                  <c:v>8.295424062114</c:v>
                </c:pt>
                <c:pt idx="291">
                  <c:v>7.95085387849732</c:v>
                </c:pt>
                <c:pt idx="292">
                  <c:v>7.61742237376127</c:v>
                </c:pt>
                <c:pt idx="293">
                  <c:v>7.2949581006686</c:v>
                </c:pt>
                <c:pt idx="294">
                  <c:v>6.98329611801021</c:v>
                </c:pt>
                <c:pt idx="295">
                  <c:v>6.68227779663845</c:v>
                </c:pt>
                <c:pt idx="296">
                  <c:v>6.39175063322342</c:v>
                </c:pt>
                <c:pt idx="297">
                  <c:v>6.11156807126765</c:v>
                </c:pt>
                <c:pt idx="298">
                  <c:v>5.84158932892084</c:v>
                </c:pt>
                <c:pt idx="299">
                  <c:v>5.58167923313877</c:v>
                </c:pt>
                <c:pt idx="300">
                  <c:v>5.33170805973074</c:v>
                </c:pt>
                <c:pt idx="301">
                  <c:v>5.09155137883668</c:v>
                </c:pt>
                <c:pt idx="302">
                  <c:v>4.86108990536886</c:v>
                </c:pt>
                <c:pt idx="303">
                  <c:v>4.64020935394338</c:v>
                </c:pt>
                <c:pt idx="304">
                  <c:v>4.42880029781372</c:v>
                </c:pt>
                <c:pt idx="305">
                  <c:v>4.22675803130205</c:v>
                </c:pt>
                <c:pt idx="306">
                  <c:v>4.03398243520417</c:v>
                </c:pt>
                <c:pt idx="307">
                  <c:v>3.85037784462053</c:v>
                </c:pt>
                <c:pt idx="308">
                  <c:v>3.67585291864001</c:v>
                </c:pt>
                <c:pt idx="309">
                  <c:v>3.51032051127372</c:v>
                </c:pt>
                <c:pt idx="310">
                  <c:v>3.35369754300624</c:v>
                </c:pt>
                <c:pt idx="311">
                  <c:v>3.20590487230038</c:v>
                </c:pt>
                <c:pt idx="312">
                  <c:v>3.06686716636104</c:v>
                </c:pt>
                <c:pt idx="313">
                  <c:v>2.93651277043729</c:v>
                </c:pt>
                <c:pt idx="314">
                  <c:v>2.81477357491934</c:v>
                </c:pt>
                <c:pt idx="315">
                  <c:v>2.70158487947521</c:v>
                </c:pt>
                <c:pt idx="316">
                  <c:v>2.59688525347153</c:v>
                </c:pt>
                <c:pt idx="317">
                  <c:v>2.50061639194061</c:v>
                </c:pt>
                <c:pt idx="318">
                  <c:v>2.41272296639557</c:v>
                </c:pt>
                <c:pt idx="319">
                  <c:v>2.33315246986206</c:v>
                </c:pt>
                <c:pt idx="320">
                  <c:v>2.26185505559402</c:v>
                </c:pt>
                <c:pt idx="321">
                  <c:v>2.19878336907477</c:v>
                </c:pt>
                <c:pt idx="322">
                  <c:v>2.14389237307691</c:v>
                </c:pt>
                <c:pt idx="323">
                  <c:v>2.09713916576287</c:v>
                </c:pt>
                <c:pt idx="324">
                  <c:v>2.05848279205068</c:v>
                </c:pt>
                <c:pt idx="325">
                  <c:v>2.02788404873722</c:v>
                </c:pt>
                <c:pt idx="326">
                  <c:v>2.00530528415405</c:v>
                </c:pt>
                <c:pt idx="327">
                  <c:v>1.99071019341299</c:v>
                </c:pt>
                <c:pt idx="328">
                  <c:v>1.98406361056277</c:v>
                </c:pt>
                <c:pt idx="329">
                  <c:v>1.98533129920532</c:v>
                </c:pt>
                <c:pt idx="330">
                  <c:v>1.99447974329412</c:v>
                </c:pt>
                <c:pt idx="331">
                  <c:v>2.01147593994222</c:v>
                </c:pt>
                <c:pt idx="332">
                  <c:v>2.03628719609617</c:v>
                </c:pt>
                <c:pt idx="333">
                  <c:v>2.06888093088108</c:v>
                </c:pt>
                <c:pt idx="334">
                  <c:v>2.1092244852963</c:v>
                </c:pt>
                <c:pt idx="335">
                  <c:v>2.15728494075126</c:v>
                </c:pt>
                <c:pt idx="336">
                  <c:v>2.21302894769199</c:v>
                </c:pt>
                <c:pt idx="337">
                  <c:v>2.2764225652996</c:v>
                </c:pt>
                <c:pt idx="338">
                  <c:v>2.34743111296027</c:v>
                </c:pt>
                <c:pt idx="339">
                  <c:v>2.42601903392967</c:v>
                </c:pt>
                <c:pt idx="340">
                  <c:v>2.51214977135723</c:v>
                </c:pt>
                <c:pt idx="341">
                  <c:v>2.60578565660773</c:v>
                </c:pt>
                <c:pt idx="342">
                  <c:v>2.70688780962506</c:v>
                </c:pt>
                <c:pt idx="343">
                  <c:v>2.81541605092932</c:v>
                </c:pt>
                <c:pt idx="344">
                  <c:v>2.93132882472229</c:v>
                </c:pt>
                <c:pt idx="345">
                  <c:v>3.0545831324955</c:v>
                </c:pt>
                <c:pt idx="346">
                  <c:v>3.18513447648565</c:v>
                </c:pt>
                <c:pt idx="347">
                  <c:v>3.32293681229819</c:v>
                </c:pt>
                <c:pt idx="348">
                  <c:v>3.46794251001791</c:v>
                </c:pt>
                <c:pt idx="349">
                  <c:v>3.62010232313861</c:v>
                </c:pt>
                <c:pt idx="350">
                  <c:v>3.77936536466984</c:v>
                </c:pt>
                <c:pt idx="351">
                  <c:v>3.94567908981202</c:v>
                </c:pt>
                <c:pt idx="352">
                  <c:v>4.11898928462991</c:v>
                </c:pt>
                <c:pt idx="353">
                  <c:v>4.29924006019562</c:v>
                </c:pt>
                <c:pt idx="354">
                  <c:v>4.48637385171382</c:v>
                </c:pt>
                <c:pt idx="355">
                  <c:v>4.68033142218307</c:v>
                </c:pt>
                <c:pt idx="356">
                  <c:v>4.88105187018653</c:v>
                </c:pt>
                <c:pt idx="357">
                  <c:v>5.08847264144222</c:v>
                </c:pt>
                <c:pt idx="358">
                  <c:v>5.30252954377776</c:v>
                </c:pt>
                <c:pt idx="359">
                  <c:v>5.52315676522583</c:v>
                </c:pt>
                <c:pt idx="360">
                  <c:v>5.75028689496554</c:v>
                </c:pt>
                <c:pt idx="361">
                  <c:v>5.98385094686083</c:v>
                </c:pt>
                <c:pt idx="362">
                  <c:v>6.22377838537033</c:v>
                </c:pt>
                <c:pt idx="363">
                  <c:v>6.46999715362415</c:v>
                </c:pt>
                <c:pt idx="364">
                  <c:v>6.72243370348122</c:v>
                </c:pt>
                <c:pt idx="365">
                  <c:v>6.98101302739791</c:v>
                </c:pt>
                <c:pt idx="366">
                  <c:v>7.24565869195263</c:v>
                </c:pt>
                <c:pt idx="367">
                  <c:v>7.51629287288454</c:v>
                </c:pt>
                <c:pt idx="368">
                  <c:v>7.79283639151563</c:v>
                </c:pt>
                <c:pt idx="369">
                  <c:v>8.07520875243574</c:v>
                </c:pt>
                <c:pt idx="370">
                  <c:v>8.36332818233881</c:v>
                </c:pt>
                <c:pt idx="371">
                  <c:v>8.65711166990666</c:v>
                </c:pt>
                <c:pt idx="372">
                  <c:v>8.9564750066436</c:v>
                </c:pt>
                <c:pt idx="373">
                  <c:v>9.26133282857137</c:v>
                </c:pt>
                <c:pt idx="374">
                  <c:v>9.57159865869919</c:v>
                </c:pt>
                <c:pt idx="375">
                  <c:v>9.88718495018907</c:v>
                </c:pt>
                <c:pt idx="376">
                  <c:v>10.2080031301402</c:v>
                </c:pt>
                <c:pt idx="377">
                  <c:v>10.5339636439212</c:v>
                </c:pt>
                <c:pt idx="378">
                  <c:v>10.8649759999809</c:v>
                </c:pt>
                <c:pt idx="379">
                  <c:v>11.2009488150738</c:v>
                </c:pt>
                <c:pt idx="380">
                  <c:v>11.5417898598364</c:v>
                </c:pt>
                <c:pt idx="381">
                  <c:v>11.8874061046567</c:v>
                </c:pt>
                <c:pt idx="382">
                  <c:v>12.2377037657774</c:v>
                </c:pt>
                <c:pt idx="383">
                  <c:v>12.5925883515802</c:v>
                </c:pt>
                <c:pt idx="384">
                  <c:v>12.9519647089953</c:v>
                </c:pt>
                <c:pt idx="385">
                  <c:v>13.3157370699889</c:v>
                </c:pt>
                <c:pt idx="386">
                  <c:v>13.683809098076</c:v>
                </c:pt>
                <c:pt idx="387">
                  <c:v>14.0560839348124</c:v>
                </c:pt>
                <c:pt idx="388">
                  <c:v>14.4324642462213</c:v>
                </c:pt>
                <c:pt idx="389">
                  <c:v>14.8128522691072</c:v>
                </c:pt>
                <c:pt idx="390">
                  <c:v>15.1971498572175</c:v>
                </c:pt>
                <c:pt idx="391">
                  <c:v>15.5852585272074</c:v>
                </c:pt>
                <c:pt idx="392">
                  <c:v>15.9770795043711</c:v>
                </c:pt>
                <c:pt idx="393">
                  <c:v>16.3725137680974</c:v>
                </c:pt>
                <c:pt idx="394">
                  <c:v>16.7714620970154</c:v>
                </c:pt>
                <c:pt idx="395">
                  <c:v>17.1738251137915</c:v>
                </c:pt>
                <c:pt idx="396">
                  <c:v>17.5795033295453</c:v>
                </c:pt>
                <c:pt idx="397">
                  <c:v>17.9883971878492</c:v>
                </c:pt>
                <c:pt idx="398">
                  <c:v>18.4004071082796</c:v>
                </c:pt>
                <c:pt idx="399">
                  <c:v>18.8154335294904</c:v>
                </c:pt>
                <c:pt idx="400">
                  <c:v>19.2333769517753</c:v>
                </c:pt>
                <c:pt idx="401">
                  <c:v>19.6541379790948</c:v>
                </c:pt>
                <c:pt idx="402">
                  <c:v>20.0776173605361</c:v>
                </c:pt>
                <c:pt idx="403">
                  <c:v>20.5037160311828</c:v>
                </c:pt>
                <c:pt idx="404">
                  <c:v>20.932335152368</c:v>
                </c:pt>
                <c:pt idx="405">
                  <c:v>21.3633761512862</c:v>
                </c:pt>
                <c:pt idx="406">
                  <c:v>21.7967407599426</c:v>
                </c:pt>
                <c:pt idx="407">
                  <c:v>22.2323310534179</c:v>
                </c:pt>
                <c:pt idx="408">
                  <c:v>22.6700494874268</c:v>
                </c:pt>
                <c:pt idx="409">
                  <c:v>23.1097989351532</c:v>
                </c:pt>
                <c:pt idx="410">
                  <c:v>23.5514827233418</c:v>
                </c:pt>
                <c:pt idx="411">
                  <c:v>23.99500466763</c:v>
                </c:pt>
                <c:pt idx="412">
                  <c:v>24.4402691071044</c:v>
                </c:pt>
                <c:pt idx="413">
                  <c:v>24.887180938067</c:v>
                </c:pt>
                <c:pt idx="414">
                  <c:v>25.3356456469961</c:v>
                </c:pt>
                <c:pt idx="415">
                  <c:v>25.7855693426915</c:v>
                </c:pt>
                <c:pt idx="416">
                  <c:v>26.2368587875911</c:v>
                </c:pt>
                <c:pt idx="417">
                  <c:v>26.6894214282475</c:v>
                </c:pt>
                <c:pt idx="418">
                  <c:v>27.1431654249576</c:v>
                </c:pt>
                <c:pt idx="419">
                  <c:v>27.5979996805349</c:v>
                </c:pt>
                <c:pt idx="420">
                  <c:v>28.0538338682171</c:v>
                </c:pt>
                <c:pt idx="421">
                  <c:v>28.5105784587043</c:v>
                </c:pt>
                <c:pt idx="422">
                  <c:v>28.9681447463197</c:v>
                </c:pt>
                <c:pt idx="423">
                  <c:v>29.4264448742916</c:v>
                </c:pt>
                <c:pt idx="424">
                  <c:v>29.8853918591499</c:v>
                </c:pt>
                <c:pt idx="425">
                  <c:v>30.3448996142378</c:v>
                </c:pt>
                <c:pt idx="426">
                  <c:v>30.8048829723335</c:v>
                </c:pt>
                <c:pt idx="427">
                  <c:v>31.265257707385</c:v>
                </c:pt>
                <c:pt idx="428">
                  <c:v>31.7259405553549</c:v>
                </c:pt>
                <c:pt idx="429">
                  <c:v>32.1868492341778</c:v>
                </c:pt>
                <c:pt idx="430">
                  <c:v>32.6479024628322</c:v>
                </c:pt>
                <c:pt idx="431">
                  <c:v>33.1090199795281</c:v>
                </c:pt>
                <c:pt idx="432">
                  <c:v>33.5701225590159</c:v>
                </c:pt>
                <c:pt idx="433">
                  <c:v>34.0311320290183</c:v>
                </c:pt>
                <c:pt idx="434">
                  <c:v>34.4919712857923</c:v>
                </c:pt>
                <c:pt idx="435">
                  <c:v>34.9525643088247</c:v>
                </c:pt>
                <c:pt idx="436">
                  <c:v>35.41283617467</c:v>
                </c:pt>
                <c:pt idx="437">
                  <c:v>35.8727130699348</c:v>
                </c:pt>
                <c:pt idx="438">
                  <c:v>36.3321223034186</c:v>
                </c:pt>
                <c:pt idx="439">
                  <c:v>36.7909923174178</c:v>
                </c:pt>
                <c:pt idx="440">
                  <c:v>37.2492526982023</c:v>
                </c:pt>
                <c:pt idx="441">
                  <c:v>37.7068341856739</c:v>
                </c:pt>
                <c:pt idx="442">
                  <c:v>38.1636686822161</c:v>
                </c:pt>
                <c:pt idx="443">
                  <c:v>38.6196892607466</c:v>
                </c:pt>
                <c:pt idx="444">
                  <c:v>39.0748301719821</c:v>
                </c:pt>
                <c:pt idx="445">
                  <c:v>39.5290268509273</c:v>
                </c:pt>
                <c:pt idx="446">
                  <c:v>39.9822159226008</c:v>
                </c:pt>
                <c:pt idx="447">
                  <c:v>40.4343352070085</c:v>
                </c:pt>
                <c:pt idx="448">
                  <c:v>40.8853237233784</c:v>
                </c:pt>
                <c:pt idx="449">
                  <c:v>41.3351216936682</c:v>
                </c:pt>
                <c:pt idx="450">
                  <c:v>41.7836705453615</c:v>
                </c:pt>
                <c:pt idx="451">
                  <c:v>42.2309129135635</c:v>
                </c:pt>
                <c:pt idx="452">
                  <c:v>42.6767926424118</c:v>
                </c:pt>
                <c:pt idx="453">
                  <c:v>43.1212547858159</c:v>
                </c:pt>
                <c:pt idx="454">
                  <c:v>43.5642456075397</c:v>
                </c:pt>
                <c:pt idx="455">
                  <c:v>44.0057125806422</c:v>
                </c:pt>
                <c:pt idx="456">
                  <c:v>44.4456043862903</c:v>
                </c:pt>
                <c:pt idx="457">
                  <c:v>44.8838709119598</c:v>
                </c:pt>
                <c:pt idx="458">
                  <c:v>45.3204632490389</c:v>
                </c:pt>
                <c:pt idx="459">
                  <c:v>45.7553336898503</c:v>
                </c:pt>
                <c:pt idx="460">
                  <c:v>46.1884357241059</c:v>
                </c:pt>
                <c:pt idx="461">
                  <c:v>46.6197240348121</c:v>
                </c:pt>
                <c:pt idx="462">
                  <c:v>47.0491544936384</c:v>
                </c:pt>
                <c:pt idx="463">
                  <c:v>47.4766841557673</c:v>
                </c:pt>
                <c:pt idx="464">
                  <c:v>47.9022712542399</c:v>
                </c:pt>
                <c:pt idx="465">
                  <c:v>48.3258751938134</c:v>
                </c:pt>
                <c:pt idx="466">
                  <c:v>48.7474565443463</c:v>
                </c:pt>
                <c:pt idx="467">
                  <c:v>49.1669770337265</c:v>
                </c:pt>
                <c:pt idx="468">
                  <c:v>49.5843995403588</c:v>
                </c:pt>
                <c:pt idx="469">
                  <c:v>49.9996880852268</c:v>
                </c:pt>
                <c:pt idx="470">
                  <c:v>50.4128078235447</c:v>
                </c:pt>
                <c:pt idx="471">
                  <c:v>50.8237250360156</c:v>
                </c:pt>
                <c:pt idx="472">
                  <c:v>51.2324071197099</c:v>
                </c:pt>
                <c:pt idx="473">
                  <c:v>51.6388225785814</c:v>
                </c:pt>
                <c:pt idx="474">
                  <c:v>52.0429410136336</c:v>
                </c:pt>
                <c:pt idx="475">
                  <c:v>52.4447331127541</c:v>
                </c:pt>
                <c:pt idx="476">
                  <c:v>52.84417064023</c:v>
                </c:pt>
                <c:pt idx="477">
                  <c:v>53.24122642596</c:v>
                </c:pt>
                <c:pt idx="478">
                  <c:v>53.6358743543777</c:v>
                </c:pt>
                <c:pt idx="479">
                  <c:v>54.0280893531002</c:v>
                </c:pt>
                <c:pt idx="480">
                  <c:v>54.4178473813172</c:v>
                </c:pt>
                <c:pt idx="481">
                  <c:v>54.8051254179333</c:v>
                </c:pt>
                <c:pt idx="482">
                  <c:v>55.1899014494793</c:v>
                </c:pt>
                <c:pt idx="483">
                  <c:v>55.572154457804</c:v>
                </c:pt>
                <c:pt idx="484">
                  <c:v>55.9518644075616</c:v>
                </c:pt>
                <c:pt idx="485">
                  <c:v>56.3290122335079</c:v>
                </c:pt>
                <c:pt idx="486">
                  <c:v>56.703579827617</c:v>
                </c:pt>
                <c:pt idx="487">
                  <c:v>57.075550026033</c:v>
                </c:pt>
                <c:pt idx="488">
                  <c:v>57.4449065958681</c:v>
                </c:pt>
                <c:pt idx="489">
                  <c:v>57.8116342218598</c:v>
                </c:pt>
                <c:pt idx="490">
                  <c:v>58.1757184928999</c:v>
                </c:pt>
                <c:pt idx="491">
                  <c:v>58.5371458884455</c:v>
                </c:pt>
                <c:pt idx="492">
                  <c:v>58.895903764826</c:v>
                </c:pt>
                <c:pt idx="493">
                  <c:v>59.2519803414545</c:v>
                </c:pt>
                <c:pt idx="494">
                  <c:v>59.6053646869579</c:v>
                </c:pt>
                <c:pt idx="495">
                  <c:v>59.9560467052333</c:v>
                </c:pt>
                <c:pt idx="496">
                  <c:v>60.3040171214441</c:v>
                </c:pt>
                <c:pt idx="497">
                  <c:v>60.6492674679637</c:v>
                </c:pt>
                <c:pt idx="498">
                  <c:v>60.9917900702784</c:v>
                </c:pt>
                <c:pt idx="499">
                  <c:v>61.3315780328589</c:v>
                </c:pt>
                <c:pt idx="500">
                  <c:v>61.668625225009</c:v>
                </c:pt>
                <c:pt idx="501">
                  <c:v>62.0029262667021</c:v>
                </c:pt>
                <c:pt idx="502">
                  <c:v>62.0032570838005</c:v>
                </c:pt>
                <c:pt idx="503">
                  <c:v>62.0035878981768</c:v>
                </c:pt>
                <c:pt idx="504">
                  <c:v>62.0039187098312</c:v>
                </c:pt>
                <c:pt idx="505">
                  <c:v>62.0042495187634</c:v>
                </c:pt>
                <c:pt idx="506">
                  <c:v>62.0045803249737</c:v>
                </c:pt>
                <c:pt idx="507">
                  <c:v>62.004911128462</c:v>
                </c:pt>
                <c:pt idx="508">
                  <c:v>62.0052419292283</c:v>
                </c:pt>
                <c:pt idx="509">
                  <c:v>62.0055727272724</c:v>
                </c:pt>
                <c:pt idx="510">
                  <c:v>62.0059035225946</c:v>
                </c:pt>
                <c:pt idx="511">
                  <c:v>62.0062343151947</c:v>
                </c:pt>
                <c:pt idx="512">
                  <c:v>62.0065651050728</c:v>
                </c:pt>
                <c:pt idx="513">
                  <c:v>62.0068958922288</c:v>
                </c:pt>
                <c:pt idx="514">
                  <c:v>62.0072266766628</c:v>
                </c:pt>
                <c:pt idx="515">
                  <c:v>62.0075574583747</c:v>
                </c:pt>
                <c:pt idx="516">
                  <c:v>62.0078882373645</c:v>
                </c:pt>
                <c:pt idx="517">
                  <c:v>62.0082190136323</c:v>
                </c:pt>
                <c:pt idx="518">
                  <c:v>62.008549787178</c:v>
                </c:pt>
                <c:pt idx="519">
                  <c:v>62.0088805580016</c:v>
                </c:pt>
                <c:pt idx="520">
                  <c:v>62.0092113261032</c:v>
                </c:pt>
                <c:pt idx="521">
                  <c:v>62.0095420914826</c:v>
                </c:pt>
                <c:pt idx="522">
                  <c:v>62.00987285414</c:v>
                </c:pt>
                <c:pt idx="523">
                  <c:v>62.0102036140753</c:v>
                </c:pt>
                <c:pt idx="524">
                  <c:v>62.0105343712885</c:v>
                </c:pt>
                <c:pt idx="525">
                  <c:v>62.0108651257796</c:v>
                </c:pt>
                <c:pt idx="526">
                  <c:v>62.0111958775486</c:v>
                </c:pt>
                <c:pt idx="527">
                  <c:v>62.0115266265954</c:v>
                </c:pt>
                <c:pt idx="528">
                  <c:v>62.0118573729202</c:v>
                </c:pt>
                <c:pt idx="529">
                  <c:v>62.0121881165229</c:v>
                </c:pt>
                <c:pt idx="530">
                  <c:v>62.0125188574034</c:v>
                </c:pt>
                <c:pt idx="531">
                  <c:v>62.0128495955618</c:v>
                </c:pt>
                <c:pt idx="532">
                  <c:v>62.0131803309981</c:v>
                </c:pt>
                <c:pt idx="533">
                  <c:v>62.0135110637122</c:v>
                </c:pt>
                <c:pt idx="534">
                  <c:v>62.0138417937043</c:v>
                </c:pt>
                <c:pt idx="535">
                  <c:v>62.0141725209742</c:v>
                </c:pt>
                <c:pt idx="536">
                  <c:v>62.0145032455219</c:v>
                </c:pt>
                <c:pt idx="537">
                  <c:v>62.0148339673475</c:v>
                </c:pt>
                <c:pt idx="538">
                  <c:v>62.0151646864509</c:v>
                </c:pt>
                <c:pt idx="539">
                  <c:v>62.0154954028322</c:v>
                </c:pt>
                <c:pt idx="540">
                  <c:v>62.0158261164914</c:v>
                </c:pt>
                <c:pt idx="541">
                  <c:v>62.0161568274283</c:v>
                </c:pt>
                <c:pt idx="542">
                  <c:v>62.0164875356431</c:v>
                </c:pt>
                <c:pt idx="543">
                  <c:v>62.0168182411358</c:v>
                </c:pt>
                <c:pt idx="544">
                  <c:v>62.0171489439062</c:v>
                </c:pt>
                <c:pt idx="545">
                  <c:v>62.0174796439545</c:v>
                </c:pt>
                <c:pt idx="546">
                  <c:v>62.0178103412806</c:v>
                </c:pt>
                <c:pt idx="547">
                  <c:v>62.0181410358845</c:v>
                </c:pt>
                <c:pt idx="548">
                  <c:v>62.0184717277662</c:v>
                </c:pt>
                <c:pt idx="549">
                  <c:v>62.0188024169257</c:v>
                </c:pt>
                <c:pt idx="550">
                  <c:v>62.019133103363</c:v>
                </c:pt>
                <c:pt idx="551">
                  <c:v>62.0194637870781</c:v>
                </c:pt>
                <c:pt idx="552">
                  <c:v>62.019794468071</c:v>
                </c:pt>
                <c:pt idx="553">
                  <c:v>62.0201251463417</c:v>
                </c:pt>
                <c:pt idx="554">
                  <c:v>62.0204558218902</c:v>
                </c:pt>
                <c:pt idx="555">
                  <c:v>62.0207864947165</c:v>
                </c:pt>
                <c:pt idx="556">
                  <c:v>62.0211171648205</c:v>
                </c:pt>
                <c:pt idx="557">
                  <c:v>62.0214478322023</c:v>
                </c:pt>
                <c:pt idx="558">
                  <c:v>62.0217784968619</c:v>
                </c:pt>
                <c:pt idx="559">
                  <c:v>62.0221091587993</c:v>
                </c:pt>
                <c:pt idx="560">
                  <c:v>62.0224398180144</c:v>
                </c:pt>
                <c:pt idx="561">
                  <c:v>62.0227704745073</c:v>
                </c:pt>
                <c:pt idx="562">
                  <c:v>62.0231011282779</c:v>
                </c:pt>
                <c:pt idx="563">
                  <c:v>62.0234317793262</c:v>
                </c:pt>
                <c:pt idx="564">
                  <c:v>62.0237624276524</c:v>
                </c:pt>
                <c:pt idx="565">
                  <c:v>62.0240930732562</c:v>
                </c:pt>
                <c:pt idx="566">
                  <c:v>62.0244237161378</c:v>
                </c:pt>
                <c:pt idx="567">
                  <c:v>62.0247543562971</c:v>
                </c:pt>
                <c:pt idx="568">
                  <c:v>62.0250849937342</c:v>
                </c:pt>
                <c:pt idx="569">
                  <c:v>62.025415628449</c:v>
                </c:pt>
                <c:pt idx="570">
                  <c:v>62.0257462604415</c:v>
                </c:pt>
                <c:pt idx="571">
                  <c:v>62.0260768897117</c:v>
                </c:pt>
                <c:pt idx="572">
                  <c:v>62.0264075162597</c:v>
                </c:pt>
                <c:pt idx="573">
                  <c:v>62.0267381400853</c:v>
                </c:pt>
                <c:pt idx="574">
                  <c:v>62.0270687611886</c:v>
                </c:pt>
                <c:pt idx="575">
                  <c:v>62.0273993795697</c:v>
                </c:pt>
                <c:pt idx="576">
                  <c:v>62.0277299952285</c:v>
                </c:pt>
                <c:pt idx="577">
                  <c:v>62.0280606081649</c:v>
                </c:pt>
                <c:pt idx="578">
                  <c:v>62.028391218379</c:v>
                </c:pt>
                <c:pt idx="579">
                  <c:v>62.0287218258709</c:v>
                </c:pt>
                <c:pt idx="580">
                  <c:v>62.0290524306404</c:v>
                </c:pt>
                <c:pt idx="581">
                  <c:v>62.0293830326876</c:v>
                </c:pt>
                <c:pt idx="582">
                  <c:v>62.0297136320124</c:v>
                </c:pt>
                <c:pt idx="583">
                  <c:v>62.0300442286149</c:v>
                </c:pt>
                <c:pt idx="584">
                  <c:v>62.0303748224951</c:v>
                </c:pt>
                <c:pt idx="585">
                  <c:v>62.030705413653</c:v>
                </c:pt>
                <c:pt idx="586">
                  <c:v>62.0310360020885</c:v>
                </c:pt>
                <c:pt idx="587">
                  <c:v>62.0313665878017</c:v>
                </c:pt>
                <c:pt idx="588">
                  <c:v>62.0316971707925</c:v>
                </c:pt>
                <c:pt idx="589">
                  <c:v>62.0320277510609</c:v>
                </c:pt>
                <c:pt idx="590">
                  <c:v>62.0323583286071</c:v>
                </c:pt>
                <c:pt idx="591">
                  <c:v>62.0326889034308</c:v>
                </c:pt>
                <c:pt idx="592">
                  <c:v>62.0330194755322</c:v>
                </c:pt>
                <c:pt idx="593">
                  <c:v>62.0333500449112</c:v>
                </c:pt>
                <c:pt idx="594">
                  <c:v>62.0336806115678</c:v>
                </c:pt>
                <c:pt idx="595">
                  <c:v>62.0340111755021</c:v>
                </c:pt>
                <c:pt idx="596">
                  <c:v>62.0343417367139</c:v>
                </c:pt>
                <c:pt idx="597">
                  <c:v>62.0346722952034</c:v>
                </c:pt>
                <c:pt idx="598">
                  <c:v>62.0350028509705</c:v>
                </c:pt>
                <c:pt idx="599">
                  <c:v>62.0353334040153</c:v>
                </c:pt>
                <c:pt idx="600">
                  <c:v>62.0356639543376</c:v>
                </c:pt>
                <c:pt idx="601">
                  <c:v>62.0359945019375</c:v>
                </c:pt>
                <c:pt idx="602">
                  <c:v>62.036325046815</c:v>
                </c:pt>
                <c:pt idx="603">
                  <c:v>62.0366555889701</c:v>
                </c:pt>
                <c:pt idx="604">
                  <c:v>62.0369861284028</c:v>
                </c:pt>
                <c:pt idx="605">
                  <c:v>62.037316665113</c:v>
                </c:pt>
                <c:pt idx="606">
                  <c:v>62.0376471991009</c:v>
                </c:pt>
                <c:pt idx="607">
                  <c:v>62.0379777303663</c:v>
                </c:pt>
                <c:pt idx="608">
                  <c:v>62.0383082589093</c:v>
                </c:pt>
                <c:pt idx="609">
                  <c:v>62.0386387847299</c:v>
                </c:pt>
                <c:pt idx="610">
                  <c:v>62.038969307828</c:v>
                </c:pt>
                <c:pt idx="611">
                  <c:v>62.0392998282037</c:v>
                </c:pt>
                <c:pt idx="612">
                  <c:v>62.0396303458569</c:v>
                </c:pt>
                <c:pt idx="613">
                  <c:v>62.0399608607877</c:v>
                </c:pt>
                <c:pt idx="614">
                  <c:v>62.0402913729961</c:v>
                </c:pt>
                <c:pt idx="615">
                  <c:v>62.0406218824819</c:v>
                </c:pt>
                <c:pt idx="616">
                  <c:v>62.0409523892454</c:v>
                </c:pt>
                <c:pt idx="617">
                  <c:v>62.0412828932863</c:v>
                </c:pt>
                <c:pt idx="618">
                  <c:v>62.0416133946048</c:v>
                </c:pt>
                <c:pt idx="619">
                  <c:v>62.0419438932008</c:v>
                </c:pt>
                <c:pt idx="620">
                  <c:v>62.0422743890744</c:v>
                </c:pt>
                <c:pt idx="621">
                  <c:v>62.0426048822254</c:v>
                </c:pt>
                <c:pt idx="622">
                  <c:v>62.042935372654</c:v>
                </c:pt>
                <c:pt idx="623">
                  <c:v>62.0432658603601</c:v>
                </c:pt>
                <c:pt idx="624">
                  <c:v>62.0435963453437</c:v>
                </c:pt>
                <c:pt idx="625">
                  <c:v>62.0439268276048</c:v>
                </c:pt>
                <c:pt idx="626">
                  <c:v>62.0442573071434</c:v>
                </c:pt>
                <c:pt idx="627">
                  <c:v>62.0445877839595</c:v>
                </c:pt>
                <c:pt idx="628">
                  <c:v>62.0449182580531</c:v>
                </c:pt>
                <c:pt idx="629">
                  <c:v>62.0452487294242</c:v>
                </c:pt>
                <c:pt idx="630">
                  <c:v>62.0455791980727</c:v>
                </c:pt>
                <c:pt idx="631">
                  <c:v>62.0459096639988</c:v>
                </c:pt>
                <c:pt idx="632">
                  <c:v>62.0462401272023</c:v>
                </c:pt>
                <c:pt idx="633">
                  <c:v>62.0465705876833</c:v>
                </c:pt>
                <c:pt idx="634">
                  <c:v>62.0469010454417</c:v>
                </c:pt>
                <c:pt idx="635">
                  <c:v>62.0472315004777</c:v>
                </c:pt>
                <c:pt idx="636">
                  <c:v>62.0475619527911</c:v>
                </c:pt>
                <c:pt idx="637">
                  <c:v>62.0478924023819</c:v>
                </c:pt>
                <c:pt idx="638">
                  <c:v>62.0482228492502</c:v>
                </c:pt>
                <c:pt idx="639">
                  <c:v>62.048553293396</c:v>
                </c:pt>
                <c:pt idx="640">
                  <c:v>62.0488837348192</c:v>
                </c:pt>
                <c:pt idx="641">
                  <c:v>62.0492141735198</c:v>
                </c:pt>
                <c:pt idx="642">
                  <c:v>62.0495446094979</c:v>
                </c:pt>
                <c:pt idx="643">
                  <c:v>62.0498750427534</c:v>
                </c:pt>
                <c:pt idx="644">
                  <c:v>62.0502054732864</c:v>
                </c:pt>
                <c:pt idx="645">
                  <c:v>62.0505359010967</c:v>
                </c:pt>
                <c:pt idx="646">
                  <c:v>62.0508663261845</c:v>
                </c:pt>
                <c:pt idx="647">
                  <c:v>62.0511967485497</c:v>
                </c:pt>
                <c:pt idx="648">
                  <c:v>62.0515271681923</c:v>
                </c:pt>
                <c:pt idx="649">
                  <c:v>62.0518575851124</c:v>
                </c:pt>
                <c:pt idx="650">
                  <c:v>62.0521879993098</c:v>
                </c:pt>
                <c:pt idx="651">
                  <c:v>62.0525184107847</c:v>
                </c:pt>
                <c:pt idx="652">
                  <c:v>62.0528488195369</c:v>
                </c:pt>
                <c:pt idx="653">
                  <c:v>62.0531792255665</c:v>
                </c:pt>
                <c:pt idx="654">
                  <c:v>62.0535096288736</c:v>
                </c:pt>
                <c:pt idx="655">
                  <c:v>62.053840029458</c:v>
                </c:pt>
                <c:pt idx="656">
                  <c:v>62.0541704273198</c:v>
                </c:pt>
                <c:pt idx="657">
                  <c:v>62.0545008224589</c:v>
                </c:pt>
                <c:pt idx="658">
                  <c:v>62.0548312148755</c:v>
                </c:pt>
                <c:pt idx="659">
                  <c:v>62.0551616045694</c:v>
                </c:pt>
                <c:pt idx="660">
                  <c:v>62.0554919915407</c:v>
                </c:pt>
                <c:pt idx="661">
                  <c:v>62.0558223757893</c:v>
                </c:pt>
                <c:pt idx="662">
                  <c:v>62.0561527573153</c:v>
                </c:pt>
                <c:pt idx="663">
                  <c:v>62.0564831361187</c:v>
                </c:pt>
                <c:pt idx="664">
                  <c:v>62.0568135121994</c:v>
                </c:pt>
                <c:pt idx="665">
                  <c:v>62.0571438855575</c:v>
                </c:pt>
                <c:pt idx="666">
                  <c:v>62.0574742561929</c:v>
                </c:pt>
                <c:pt idx="667">
                  <c:v>62.0578046241056</c:v>
                </c:pt>
                <c:pt idx="668">
                  <c:v>62.0581349892957</c:v>
                </c:pt>
                <c:pt idx="669">
                  <c:v>62.0584653517631</c:v>
                </c:pt>
                <c:pt idx="670">
                  <c:v>62.0587957115079</c:v>
                </c:pt>
                <c:pt idx="671">
                  <c:v>62.0591260685299</c:v>
                </c:pt>
                <c:pt idx="672">
                  <c:v>62.0594564228293</c:v>
                </c:pt>
                <c:pt idx="673">
                  <c:v>62.059786774406</c:v>
                </c:pt>
                <c:pt idx="674">
                  <c:v>62.06011712326</c:v>
                </c:pt>
                <c:pt idx="675">
                  <c:v>62.0604474693914</c:v>
                </c:pt>
                <c:pt idx="676">
                  <c:v>62.0607778128</c:v>
                </c:pt>
                <c:pt idx="677">
                  <c:v>62.0611081534859</c:v>
                </c:pt>
                <c:pt idx="678">
                  <c:v>62.0614384914492</c:v>
                </c:pt>
                <c:pt idx="679">
                  <c:v>62.0617688266897</c:v>
                </c:pt>
                <c:pt idx="680">
                  <c:v>62.0620991592075</c:v>
                </c:pt>
                <c:pt idx="681">
                  <c:v>62.0624294890026</c:v>
                </c:pt>
                <c:pt idx="682">
                  <c:v>62.062759816075</c:v>
                </c:pt>
                <c:pt idx="683">
                  <c:v>62.0630901404246</c:v>
                </c:pt>
                <c:pt idx="684">
                  <c:v>62.0634204620516</c:v>
                </c:pt>
                <c:pt idx="685">
                  <c:v>62.0637507809558</c:v>
                </c:pt>
                <c:pt idx="686">
                  <c:v>62.0640810971372</c:v>
                </c:pt>
                <c:pt idx="687">
                  <c:v>62.064411410596</c:v>
                </c:pt>
                <c:pt idx="688">
                  <c:v>62.0647417213319</c:v>
                </c:pt>
                <c:pt idx="689">
                  <c:v>62.0650720293452</c:v>
                </c:pt>
                <c:pt idx="690">
                  <c:v>62.0654023346357</c:v>
                </c:pt>
                <c:pt idx="691">
                  <c:v>62.0657326372034</c:v>
                </c:pt>
                <c:pt idx="692">
                  <c:v>62.0660629370484</c:v>
                </c:pt>
                <c:pt idx="693">
                  <c:v>62.0663932341706</c:v>
                </c:pt>
                <c:pt idx="694">
                  <c:v>62.0667235285701</c:v>
                </c:pt>
                <c:pt idx="695">
                  <c:v>62.0670538202468</c:v>
                </c:pt>
                <c:pt idx="696">
                  <c:v>62.0673841092007</c:v>
                </c:pt>
                <c:pt idx="697">
                  <c:v>62.0677143954318</c:v>
                </c:pt>
                <c:pt idx="698">
                  <c:v>62.0680446789401</c:v>
                </c:pt>
                <c:pt idx="699">
                  <c:v>62.0683749597257</c:v>
                </c:pt>
                <c:pt idx="700">
                  <c:v>62.0687052377885</c:v>
                </c:pt>
                <c:pt idx="701">
                  <c:v>62.0690355131285</c:v>
                </c:pt>
                <c:pt idx="702">
                  <c:v>62.0693657857457</c:v>
                </c:pt>
                <c:pt idx="703">
                  <c:v>62.0696960556401</c:v>
                </c:pt>
                <c:pt idx="704">
                  <c:v>62.0700263228117</c:v>
                </c:pt>
                <c:pt idx="705">
                  <c:v>62.0703565872605</c:v>
                </c:pt>
                <c:pt idx="706">
                  <c:v>62.0706868489864</c:v>
                </c:pt>
                <c:pt idx="707">
                  <c:v>62.0710171079896</c:v>
                </c:pt>
                <c:pt idx="708">
                  <c:v>62.0713473642699</c:v>
                </c:pt>
                <c:pt idx="709">
                  <c:v>62.0716776178274</c:v>
                </c:pt>
                <c:pt idx="710">
                  <c:v>62.0720078686621</c:v>
                </c:pt>
                <c:pt idx="711">
                  <c:v>62.072338116774</c:v>
                </c:pt>
                <c:pt idx="712">
                  <c:v>62.072668362163</c:v>
                </c:pt>
                <c:pt idx="713">
                  <c:v>62.0729986048291</c:v>
                </c:pt>
                <c:pt idx="714">
                  <c:v>62.0733288447725</c:v>
                </c:pt>
                <c:pt idx="715">
                  <c:v>62.0736590819929</c:v>
                </c:pt>
                <c:pt idx="716">
                  <c:v>62.0739893164906</c:v>
                </c:pt>
                <c:pt idx="717">
                  <c:v>62.0743195482654</c:v>
                </c:pt>
                <c:pt idx="718">
                  <c:v>62.0746497773173</c:v>
                </c:pt>
                <c:pt idx="719">
                  <c:v>62.0749800036463</c:v>
                </c:pt>
                <c:pt idx="720">
                  <c:v>62.0753102272525</c:v>
                </c:pt>
                <c:pt idx="721">
                  <c:v>62.0756404481359</c:v>
                </c:pt>
                <c:pt idx="722">
                  <c:v>62.0759706662964</c:v>
                </c:pt>
                <c:pt idx="723">
                  <c:v>62.0763008817339</c:v>
                </c:pt>
                <c:pt idx="724">
                  <c:v>62.0766310944486</c:v>
                </c:pt>
                <c:pt idx="725">
                  <c:v>62.0769613044404</c:v>
                </c:pt>
                <c:pt idx="726">
                  <c:v>62.0772915117094</c:v>
                </c:pt>
                <c:pt idx="727">
                  <c:v>62.0776217162554</c:v>
                </c:pt>
                <c:pt idx="728">
                  <c:v>62.0779519180785</c:v>
                </c:pt>
                <c:pt idx="729">
                  <c:v>62.0782821171787</c:v>
                </c:pt>
                <c:pt idx="730">
                  <c:v>62.0786123135561</c:v>
                </c:pt>
                <c:pt idx="731">
                  <c:v>62.0789425072105</c:v>
                </c:pt>
                <c:pt idx="732">
                  <c:v>62.079272698142</c:v>
                </c:pt>
                <c:pt idx="733">
                  <c:v>62.0796028863506</c:v>
                </c:pt>
                <c:pt idx="734">
                  <c:v>62.0799330718363</c:v>
                </c:pt>
                <c:pt idx="735">
                  <c:v>62.080263254599</c:v>
                </c:pt>
                <c:pt idx="736">
                  <c:v>62.0805934346388</c:v>
                </c:pt>
                <c:pt idx="737">
                  <c:v>62.0809236119557</c:v>
                </c:pt>
                <c:pt idx="738">
                  <c:v>62.0812537865496</c:v>
                </c:pt>
                <c:pt idx="739">
                  <c:v>62.0815839584207</c:v>
                </c:pt>
                <c:pt idx="740">
                  <c:v>62.0819141275687</c:v>
                </c:pt>
                <c:pt idx="741">
                  <c:v>62.0822442939938</c:v>
                </c:pt>
                <c:pt idx="742">
                  <c:v>62.082574457696</c:v>
                </c:pt>
                <c:pt idx="743">
                  <c:v>62.0829046186752</c:v>
                </c:pt>
                <c:pt idx="744">
                  <c:v>62.0832347769315</c:v>
                </c:pt>
                <c:pt idx="745">
                  <c:v>62.0835649324648</c:v>
                </c:pt>
                <c:pt idx="746">
                  <c:v>62.0838950852751</c:v>
                </c:pt>
                <c:pt idx="747">
                  <c:v>62.0842252353625</c:v>
                </c:pt>
                <c:pt idx="748">
                  <c:v>62.0845553827269</c:v>
                </c:pt>
                <c:pt idx="749">
                  <c:v>62.0848855273683</c:v>
                </c:pt>
                <c:pt idx="750">
                  <c:v>62.0852156692867</c:v>
                </c:pt>
                <c:pt idx="751">
                  <c:v>62.0855458084821</c:v>
                </c:pt>
                <c:pt idx="752">
                  <c:v>62.0858759449546</c:v>
                </c:pt>
                <c:pt idx="753">
                  <c:v>62.086206078704</c:v>
                </c:pt>
                <c:pt idx="754">
                  <c:v>62.0865362097305</c:v>
                </c:pt>
                <c:pt idx="755">
                  <c:v>62.086866338034</c:v>
                </c:pt>
                <c:pt idx="756">
                  <c:v>62.0871964636144</c:v>
                </c:pt>
                <c:pt idx="757">
                  <c:v>62.0875265864719</c:v>
                </c:pt>
                <c:pt idx="758">
                  <c:v>62.0878567066063</c:v>
                </c:pt>
                <c:pt idx="759">
                  <c:v>62.0881868240178</c:v>
                </c:pt>
                <c:pt idx="760">
                  <c:v>62.0885169387062</c:v>
                </c:pt>
                <c:pt idx="761">
                  <c:v>62.0888470506715</c:v>
                </c:pt>
                <c:pt idx="762">
                  <c:v>62.0891771599139</c:v>
                </c:pt>
                <c:pt idx="763">
                  <c:v>62.0895072664332</c:v>
                </c:pt>
                <c:pt idx="764">
                  <c:v>62.0898373702295</c:v>
                </c:pt>
                <c:pt idx="765">
                  <c:v>62.0901674713027</c:v>
                </c:pt>
                <c:pt idx="766">
                  <c:v>62.0904975696529</c:v>
                </c:pt>
                <c:pt idx="767">
                  <c:v>62.0908276652801</c:v>
                </c:pt>
                <c:pt idx="768">
                  <c:v>62.0911577581842</c:v>
                </c:pt>
                <c:pt idx="769">
                  <c:v>62.0914878483652</c:v>
                </c:pt>
                <c:pt idx="770">
                  <c:v>62.0918179358232</c:v>
                </c:pt>
                <c:pt idx="771">
                  <c:v>62.0921480205582</c:v>
                </c:pt>
                <c:pt idx="772">
                  <c:v>62.09247810257</c:v>
                </c:pt>
                <c:pt idx="773">
                  <c:v>62.0928081818588</c:v>
                </c:pt>
                <c:pt idx="774">
                  <c:v>62.0931382584245</c:v>
                </c:pt>
                <c:pt idx="775">
                  <c:v>62.0934683322672</c:v>
                </c:pt>
                <c:pt idx="776">
                  <c:v>62.0937984033867</c:v>
                </c:pt>
                <c:pt idx="777">
                  <c:v>62.0941284717832</c:v>
                </c:pt>
                <c:pt idx="778">
                  <c:v>62.0944585374566</c:v>
                </c:pt>
                <c:pt idx="779">
                  <c:v>62.0947886004069</c:v>
                </c:pt>
                <c:pt idx="780">
                  <c:v>62.0951186606341</c:v>
                </c:pt>
                <c:pt idx="781">
                  <c:v>62.0954487181382</c:v>
                </c:pt>
                <c:pt idx="782">
                  <c:v>62.0957787729192</c:v>
                </c:pt>
                <c:pt idx="783">
                  <c:v>62.0961088249771</c:v>
                </c:pt>
                <c:pt idx="784">
                  <c:v>62.0964388743118</c:v>
                </c:pt>
                <c:pt idx="785">
                  <c:v>62.0967689209235</c:v>
                </c:pt>
                <c:pt idx="786">
                  <c:v>62.0970989648121</c:v>
                </c:pt>
                <c:pt idx="787">
                  <c:v>62.0974290059775</c:v>
                </c:pt>
                <c:pt idx="788">
                  <c:v>62.0977590444197</c:v>
                </c:pt>
                <c:pt idx="789">
                  <c:v>62.0980890801389</c:v>
                </c:pt>
                <c:pt idx="790">
                  <c:v>62.0984191131349</c:v>
                </c:pt>
                <c:pt idx="791">
                  <c:v>62.0987491434078</c:v>
                </c:pt>
                <c:pt idx="792">
                  <c:v>62.0990791709576</c:v>
                </c:pt>
                <c:pt idx="793">
                  <c:v>62.0994091957842</c:v>
                </c:pt>
                <c:pt idx="794">
                  <c:v>62.0997392178876</c:v>
                </c:pt>
                <c:pt idx="795">
                  <c:v>62.1000692372679</c:v>
                </c:pt>
                <c:pt idx="796">
                  <c:v>62.100399253925</c:v>
                </c:pt>
                <c:pt idx="797">
                  <c:v>62.100729267859</c:v>
                </c:pt>
                <c:pt idx="798">
                  <c:v>62.1010592790698</c:v>
                </c:pt>
                <c:pt idx="799">
                  <c:v>62.1013892875574</c:v>
                </c:pt>
                <c:pt idx="800">
                  <c:v>62.1017192933219</c:v>
                </c:pt>
                <c:pt idx="801">
                  <c:v>62.1020492963632</c:v>
                </c:pt>
                <c:pt idx="802">
                  <c:v>62.1023792966813</c:v>
                </c:pt>
                <c:pt idx="803">
                  <c:v>62.1027092942762</c:v>
                </c:pt>
                <c:pt idx="804">
                  <c:v>62.103039289148</c:v>
                </c:pt>
                <c:pt idx="805">
                  <c:v>62.1033692812965</c:v>
                </c:pt>
                <c:pt idx="806">
                  <c:v>62.1036992707218</c:v>
                </c:pt>
                <c:pt idx="807">
                  <c:v>62.104029257424</c:v>
                </c:pt>
                <c:pt idx="808">
                  <c:v>62.1043592414029</c:v>
                </c:pt>
                <c:pt idx="809">
                  <c:v>62.1046892226587</c:v>
                </c:pt>
                <c:pt idx="810">
                  <c:v>62.1050192011912</c:v>
                </c:pt>
                <c:pt idx="811">
                  <c:v>62.1053491770005</c:v>
                </c:pt>
                <c:pt idx="812">
                  <c:v>62.1056791500866</c:v>
                </c:pt>
                <c:pt idx="813">
                  <c:v>62.1060091204495</c:v>
                </c:pt>
                <c:pt idx="814">
                  <c:v>62.1063390880891</c:v>
                </c:pt>
                <c:pt idx="815">
                  <c:v>62.1066690530056</c:v>
                </c:pt>
                <c:pt idx="816">
                  <c:v>62.1069990151988</c:v>
                </c:pt>
                <c:pt idx="817">
                  <c:v>62.1073289746687</c:v>
                </c:pt>
                <c:pt idx="818">
                  <c:v>62.1076589314154</c:v>
                </c:pt>
                <c:pt idx="819">
                  <c:v>62.1079888854389</c:v>
                </c:pt>
                <c:pt idx="820">
                  <c:v>62.1083188367391</c:v>
                </c:pt>
                <c:pt idx="821">
                  <c:v>62.1086487853161</c:v>
                </c:pt>
                <c:pt idx="822">
                  <c:v>62.1089787311698</c:v>
                </c:pt>
                <c:pt idx="823">
                  <c:v>62.1093086743002</c:v>
                </c:pt>
                <c:pt idx="824">
                  <c:v>62.1096386147074</c:v>
                </c:pt>
                <c:pt idx="825">
                  <c:v>62.1099685523913</c:v>
                </c:pt>
                <c:pt idx="826">
                  <c:v>62.1102984873519</c:v>
                </c:pt>
                <c:pt idx="827">
                  <c:v>62.1106284195893</c:v>
                </c:pt>
                <c:pt idx="828">
                  <c:v>62.1109583491034</c:v>
                </c:pt>
                <c:pt idx="829">
                  <c:v>62.1112882758942</c:v>
                </c:pt>
                <c:pt idx="830">
                  <c:v>62.1116181999617</c:v>
                </c:pt>
                <c:pt idx="831">
                  <c:v>62.111948121306</c:v>
                </c:pt>
                <c:pt idx="832">
                  <c:v>62.1122780399268</c:v>
                </c:pt>
                <c:pt idx="833">
                  <c:v>62.1126079558245</c:v>
                </c:pt>
                <c:pt idx="834">
                  <c:v>62.1129378689988</c:v>
                </c:pt>
                <c:pt idx="835">
                  <c:v>62.1132677794498</c:v>
                </c:pt>
                <c:pt idx="836">
                  <c:v>62.1135976871776</c:v>
                </c:pt>
                <c:pt idx="837">
                  <c:v>62.113927592182</c:v>
                </c:pt>
                <c:pt idx="838">
                  <c:v>62.1142574944631</c:v>
                </c:pt>
                <c:pt idx="839">
                  <c:v>62.1145873940208</c:v>
                </c:pt>
                <c:pt idx="840">
                  <c:v>62.1149172908553</c:v>
                </c:pt>
                <c:pt idx="841">
                  <c:v>62.1152471849664</c:v>
                </c:pt>
                <c:pt idx="842">
                  <c:v>62.1155770763542</c:v>
                </c:pt>
                <c:pt idx="843">
                  <c:v>62.1159069650186</c:v>
                </c:pt>
                <c:pt idx="844">
                  <c:v>62.1162368509597</c:v>
                </c:pt>
                <c:pt idx="845">
                  <c:v>62.1165667341775</c:v>
                </c:pt>
                <c:pt idx="846">
                  <c:v>62.1168966146719</c:v>
                </c:pt>
                <c:pt idx="847">
                  <c:v>62.1172264924429</c:v>
                </c:pt>
                <c:pt idx="848">
                  <c:v>62.1175563674906</c:v>
                </c:pt>
                <c:pt idx="849">
                  <c:v>62.117886239815</c:v>
                </c:pt>
                <c:pt idx="850">
                  <c:v>62.118216109416</c:v>
                </c:pt>
                <c:pt idx="851">
                  <c:v>62.1185459762936</c:v>
                </c:pt>
                <c:pt idx="852">
                  <c:v>62.1188758404479</c:v>
                </c:pt>
                <c:pt idx="853">
                  <c:v>62.1192057018787</c:v>
                </c:pt>
                <c:pt idx="854">
                  <c:v>62.1195355605862</c:v>
                </c:pt>
                <c:pt idx="855">
                  <c:v>62.1198654165704</c:v>
                </c:pt>
                <c:pt idx="856">
                  <c:v>62.1201952698311</c:v>
                </c:pt>
                <c:pt idx="857">
                  <c:v>62.1205251203684</c:v>
                </c:pt>
                <c:pt idx="858">
                  <c:v>62.1208549681824</c:v>
                </c:pt>
                <c:pt idx="859">
                  <c:v>62.1211848132729</c:v>
                </c:pt>
                <c:pt idx="860">
                  <c:v>62.1215146556401</c:v>
                </c:pt>
                <c:pt idx="861">
                  <c:v>62.1218444952839</c:v>
                </c:pt>
                <c:pt idx="862">
                  <c:v>62.1221743322042</c:v>
                </c:pt>
                <c:pt idx="863">
                  <c:v>62.1225041664012</c:v>
                </c:pt>
                <c:pt idx="864">
                  <c:v>62.1228339978747</c:v>
                </c:pt>
                <c:pt idx="865">
                  <c:v>62.1231638266247</c:v>
                </c:pt>
                <c:pt idx="866">
                  <c:v>62.1234936526514</c:v>
                </c:pt>
                <c:pt idx="867">
                  <c:v>62.1238234759547</c:v>
                </c:pt>
                <c:pt idx="868">
                  <c:v>62.1241532965345</c:v>
                </c:pt>
                <c:pt idx="869">
                  <c:v>62.1244831143909</c:v>
                </c:pt>
                <c:pt idx="870">
                  <c:v>62.1248129295238</c:v>
                </c:pt>
                <c:pt idx="871">
                  <c:v>62.1251427419333</c:v>
                </c:pt>
                <c:pt idx="872">
                  <c:v>62.1254725516194</c:v>
                </c:pt>
                <c:pt idx="873">
                  <c:v>62.125802358582</c:v>
                </c:pt>
                <c:pt idx="874">
                  <c:v>62.1261321628212</c:v>
                </c:pt>
                <c:pt idx="875">
                  <c:v>62.1264619643369</c:v>
                </c:pt>
                <c:pt idx="876">
                  <c:v>62.1267917631291</c:v>
                </c:pt>
                <c:pt idx="877">
                  <c:v>62.1271215591979</c:v>
                </c:pt>
                <c:pt idx="878">
                  <c:v>62.1274513525432</c:v>
                </c:pt>
                <c:pt idx="879">
                  <c:v>62.1277811431651</c:v>
                </c:pt>
                <c:pt idx="880">
                  <c:v>62.1281109310634</c:v>
                </c:pt>
                <c:pt idx="881">
                  <c:v>62.1284407162383</c:v>
                </c:pt>
                <c:pt idx="882">
                  <c:v>62.1287704986897</c:v>
                </c:pt>
                <c:pt idx="883">
                  <c:v>62.1291002784176</c:v>
                </c:pt>
                <c:pt idx="884">
                  <c:v>62.1294300554221</c:v>
                </c:pt>
                <c:pt idx="885">
                  <c:v>62.129759829703</c:v>
                </c:pt>
                <c:pt idx="886">
                  <c:v>62.1300896012604</c:v>
                </c:pt>
                <c:pt idx="887">
                  <c:v>62.1304193700944</c:v>
                </c:pt>
                <c:pt idx="888">
                  <c:v>62.1307491362048</c:v>
                </c:pt>
                <c:pt idx="889">
                  <c:v>62.1310788995917</c:v>
                </c:pt>
                <c:pt idx="890">
                  <c:v>62.1314086602551</c:v>
                </c:pt>
                <c:pt idx="891">
                  <c:v>62.131738418195</c:v>
                </c:pt>
                <c:pt idx="892">
                  <c:v>62.1320681734114</c:v>
                </c:pt>
                <c:pt idx="893">
                  <c:v>62.1323979259042</c:v>
                </c:pt>
                <c:pt idx="894">
                  <c:v>62.1327276756736</c:v>
                </c:pt>
                <c:pt idx="895">
                  <c:v>62.1330574227194</c:v>
                </c:pt>
                <c:pt idx="896">
                  <c:v>62.1333871670416</c:v>
                </c:pt>
                <c:pt idx="897">
                  <c:v>62.1337169086403</c:v>
                </c:pt>
                <c:pt idx="898">
                  <c:v>62.1340466475155</c:v>
                </c:pt>
                <c:pt idx="899">
                  <c:v>62.1343763836671</c:v>
                </c:pt>
                <c:pt idx="900">
                  <c:v>62.1347061170952</c:v>
                </c:pt>
                <c:pt idx="901">
                  <c:v>62.1350358477997</c:v>
                </c:pt>
                <c:pt idx="902">
                  <c:v>62.1353655757807</c:v>
                </c:pt>
                <c:pt idx="903">
                  <c:v>62.1356953010381</c:v>
                </c:pt>
                <c:pt idx="904">
                  <c:v>62.1360250235719</c:v>
                </c:pt>
                <c:pt idx="905">
                  <c:v>62.1363547433822</c:v>
                </c:pt>
                <c:pt idx="906">
                  <c:v>62.1366844604689</c:v>
                </c:pt>
                <c:pt idx="907">
                  <c:v>62.137014174832</c:v>
                </c:pt>
                <c:pt idx="908">
                  <c:v>62.1373438864715</c:v>
                </c:pt>
                <c:pt idx="909">
                  <c:v>62.1376735953875</c:v>
                </c:pt>
                <c:pt idx="910">
                  <c:v>62.1380033015798</c:v>
                </c:pt>
                <c:pt idx="911">
                  <c:v>62.1383330050486</c:v>
                </c:pt>
                <c:pt idx="912">
                  <c:v>62.1386627057938</c:v>
                </c:pt>
                <c:pt idx="913">
                  <c:v>62.1389924038154</c:v>
                </c:pt>
                <c:pt idx="914">
                  <c:v>62.1393220991134</c:v>
                </c:pt>
                <c:pt idx="915">
                  <c:v>62.1396517916878</c:v>
                </c:pt>
                <c:pt idx="916">
                  <c:v>62.1399814815385</c:v>
                </c:pt>
                <c:pt idx="917">
                  <c:v>62.1403111686657</c:v>
                </c:pt>
                <c:pt idx="918">
                  <c:v>62.1406408530692</c:v>
                </c:pt>
                <c:pt idx="919">
                  <c:v>62.1409705347491</c:v>
                </c:pt>
                <c:pt idx="920">
                  <c:v>62.1413002137054</c:v>
                </c:pt>
                <c:pt idx="921">
                  <c:v>62.141629889938</c:v>
                </c:pt>
                <c:pt idx="922">
                  <c:v>62.1419595634471</c:v>
                </c:pt>
                <c:pt idx="923">
                  <c:v>62.1422892342325</c:v>
                </c:pt>
                <c:pt idx="924">
                  <c:v>62.1426189022942</c:v>
                </c:pt>
                <c:pt idx="925">
                  <c:v>62.1429485676323</c:v>
                </c:pt>
                <c:pt idx="926">
                  <c:v>62.1432782302468</c:v>
                </c:pt>
                <c:pt idx="927">
                  <c:v>62.1436078901376</c:v>
                </c:pt>
                <c:pt idx="928">
                  <c:v>62.1439375473048</c:v>
                </c:pt>
                <c:pt idx="929">
                  <c:v>62.1442672017483</c:v>
                </c:pt>
                <c:pt idx="930">
                  <c:v>62.1445968534681</c:v>
                </c:pt>
                <c:pt idx="931">
                  <c:v>62.1449265024643</c:v>
                </c:pt>
                <c:pt idx="932">
                  <c:v>62.1452561487368</c:v>
                </c:pt>
                <c:pt idx="933">
                  <c:v>62.1455857922856</c:v>
                </c:pt>
                <c:pt idx="934">
                  <c:v>62.1459154331108</c:v>
                </c:pt>
                <c:pt idx="935">
                  <c:v>62.1462450712122</c:v>
                </c:pt>
                <c:pt idx="936">
                  <c:v>62.14657470659</c:v>
                </c:pt>
                <c:pt idx="937">
                  <c:v>62.1469043392441</c:v>
                </c:pt>
                <c:pt idx="938">
                  <c:v>62.1472339691745</c:v>
                </c:pt>
                <c:pt idx="939">
                  <c:v>62.1475635963813</c:v>
                </c:pt>
                <c:pt idx="940">
                  <c:v>62.1478932208642</c:v>
                </c:pt>
                <c:pt idx="941">
                  <c:v>62.1482228426236</c:v>
                </c:pt>
                <c:pt idx="942">
                  <c:v>62.1485524616591</c:v>
                </c:pt>
                <c:pt idx="943">
                  <c:v>62.148882077971</c:v>
                </c:pt>
                <c:pt idx="944">
                  <c:v>62.1492116915592</c:v>
                </c:pt>
                <c:pt idx="945">
                  <c:v>62.1495413024237</c:v>
                </c:pt>
                <c:pt idx="946">
                  <c:v>62.1498709105644</c:v>
                </c:pt>
                <c:pt idx="947">
                  <c:v>62.1502005159814</c:v>
                </c:pt>
                <c:pt idx="948">
                  <c:v>62.1505301186747</c:v>
                </c:pt>
                <c:pt idx="949">
                  <c:v>62.1508597186443</c:v>
                </c:pt>
                <c:pt idx="950">
                  <c:v>62.1511893158901</c:v>
                </c:pt>
                <c:pt idx="951">
                  <c:v>62.1515189104122</c:v>
                </c:pt>
                <c:pt idx="952">
                  <c:v>62.1518485022105</c:v>
                </c:pt>
                <c:pt idx="953">
                  <c:v>62.1521780912851</c:v>
                </c:pt>
                <c:pt idx="954">
                  <c:v>62.1525076776359</c:v>
                </c:pt>
                <c:pt idx="955">
                  <c:v>62.152837261263</c:v>
                </c:pt>
                <c:pt idx="956">
                  <c:v>62.1531668421663</c:v>
                </c:pt>
                <c:pt idx="957">
                  <c:v>62.1534964203459</c:v>
                </c:pt>
                <c:pt idx="958">
                  <c:v>62.1538259958017</c:v>
                </c:pt>
                <c:pt idx="959">
                  <c:v>62.1541555685337</c:v>
                </c:pt>
                <c:pt idx="960">
                  <c:v>62.154485138542</c:v>
                </c:pt>
                <c:pt idx="961">
                  <c:v>62.1548147058264</c:v>
                </c:pt>
                <c:pt idx="962">
                  <c:v>62.1551442703872</c:v>
                </c:pt>
                <c:pt idx="963">
                  <c:v>62.1554738322241</c:v>
                </c:pt>
                <c:pt idx="964">
                  <c:v>62.1558033913372</c:v>
                </c:pt>
                <c:pt idx="965">
                  <c:v>62.1561329477265</c:v>
                </c:pt>
                <c:pt idx="966">
                  <c:v>62.156462501392</c:v>
                </c:pt>
                <c:pt idx="967">
                  <c:v>62.1567920523337</c:v>
                </c:pt>
                <c:pt idx="968">
                  <c:v>62.1571216005517</c:v>
                </c:pt>
                <c:pt idx="969">
                  <c:v>62.1574511460458</c:v>
                </c:pt>
                <c:pt idx="970">
                  <c:v>62.1577806888161</c:v>
                </c:pt>
                <c:pt idx="971">
                  <c:v>62.1581102288626</c:v>
                </c:pt>
                <c:pt idx="972">
                  <c:v>62.1584397661853</c:v>
                </c:pt>
                <c:pt idx="973">
                  <c:v>62.1587693007842</c:v>
                </c:pt>
                <c:pt idx="974">
                  <c:v>62.1590988326592</c:v>
                </c:pt>
                <c:pt idx="975">
                  <c:v>62.1594283618104</c:v>
                </c:pt>
                <c:pt idx="976">
                  <c:v>62.1597578882378</c:v>
                </c:pt>
                <c:pt idx="977">
                  <c:v>62.1600874119413</c:v>
                </c:pt>
                <c:pt idx="978">
                  <c:v>62.160416932921</c:v>
                </c:pt>
                <c:pt idx="979">
                  <c:v>62.1607464511769</c:v>
                </c:pt>
                <c:pt idx="980">
                  <c:v>62.1610759667089</c:v>
                </c:pt>
                <c:pt idx="981">
                  <c:v>62.161405479517</c:v>
                </c:pt>
                <c:pt idx="982">
                  <c:v>62.1617349896014</c:v>
                </c:pt>
                <c:pt idx="983">
                  <c:v>62.1620644969618</c:v>
                </c:pt>
                <c:pt idx="984">
                  <c:v>62.1623940015984</c:v>
                </c:pt>
                <c:pt idx="985">
                  <c:v>62.1627235035111</c:v>
                </c:pt>
                <c:pt idx="986">
                  <c:v>62.1630530027</c:v>
                </c:pt>
                <c:pt idx="987">
                  <c:v>62.1633824991649</c:v>
                </c:pt>
                <c:pt idx="988">
                  <c:v>62.163711992906</c:v>
                </c:pt>
                <c:pt idx="989">
                  <c:v>62.1640414839233</c:v>
                </c:pt>
                <c:pt idx="990">
                  <c:v>62.1643709722166</c:v>
                </c:pt>
                <c:pt idx="991">
                  <c:v>62.1647004577861</c:v>
                </c:pt>
                <c:pt idx="992">
                  <c:v>62.1650299406316</c:v>
                </c:pt>
                <c:pt idx="993">
                  <c:v>62.1653594207533</c:v>
                </c:pt>
                <c:pt idx="994">
                  <c:v>62.1656888981511</c:v>
                </c:pt>
                <c:pt idx="995">
                  <c:v>62.1660183728249</c:v>
                </c:pt>
                <c:pt idx="996">
                  <c:v>62.1663478447749</c:v>
                </c:pt>
                <c:pt idx="997">
                  <c:v>62.1666773140009</c:v>
                </c:pt>
                <c:pt idx="998">
                  <c:v>62.1670067805031</c:v>
                </c:pt>
                <c:pt idx="999">
                  <c:v>62.1673362442813</c:v>
                </c:pt>
                <c:pt idx="1000">
                  <c:v>62.1676657053356</c:v>
                </c:pt>
              </c:numCache>
            </c:numRef>
          </c:yVal>
          <c:smooth val="0"/>
        </c:ser>
        <c:axId val="61705821"/>
        <c:axId val="42914674"/>
      </c:scatterChart>
      <c:valAx>
        <c:axId val="61705821"/>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42914674"/>
        <c:crosses val="autoZero"/>
        <c:crossBetween val="midCat"/>
      </c:valAx>
      <c:valAx>
        <c:axId val="42914674"/>
        <c:scaling>
          <c:orientation val="minMax"/>
        </c:scaling>
        <c:delete val="0"/>
        <c:axPos val="l"/>
        <c:majorGridlines>
          <c:spPr>
            <a:ln w="3240">
              <a:solidFill>
                <a:srgbClr val="000000"/>
              </a:solidFill>
              <a:prstDash val="sysDash"/>
              <a:round/>
            </a:ln>
          </c:spPr>
        </c:majorGridlines>
        <c:title>
          <c:tx>
            <c:rich>
              <a:bodyPr rot="-540000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 [N]</a:t>
                </a:r>
              </a:p>
            </c:rich>
          </c:tx>
          <c:layout>
            <c:manualLayout>
              <c:xMode val="edge"/>
              <c:yMode val="edge"/>
              <c:x val="0.0200851536467975"/>
              <c:y val="0.333127470355731"/>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61705821"/>
        <c:crosses val="autoZero"/>
        <c:crossBetween val="midCat"/>
      </c:valAx>
      <c:spPr>
        <a:noFill/>
        <a:ln w="12600">
          <a:solidFill>
            <a:srgbClr val="808080"/>
          </a:solidFill>
          <a:round/>
        </a:ln>
      </c:spPr>
    </c:plotArea>
    <c:legend>
      <c:legendPos val="r"/>
      <c:layout>
        <c:manualLayout>
          <c:xMode val="edge"/>
          <c:yMode val="edge"/>
          <c:x val="0.830189298271678"/>
          <c:y val="0.3444447944007"/>
          <c:w val="0.130503268459367"/>
          <c:h val="0.228888888888889"/>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ea typeface="Arial"/>
              </a:defRPr>
            </a:pPr>
            <a:r>
              <a:rPr b="1" sz="1200" spc="-1" strike="noStrike">
                <a:solidFill>
                  <a:srgbClr val="000000"/>
                </a:solidFill>
                <a:latin typeface="Arial"/>
                <a:ea typeface="Arial"/>
              </a:rPr>
              <a:t>Vitesse</a:t>
            </a:r>
          </a:p>
        </c:rich>
      </c:tx>
      <c:overlay val="0"/>
      <c:spPr>
        <a:noFill/>
        <a:ln w="0">
          <a:noFill/>
        </a:ln>
      </c:spPr>
    </c:title>
    <c:autoTitleDeleted val="0"/>
    <c:plotArea>
      <c:layout>
        <c:manualLayout>
          <c:layoutTarget val="inner"/>
          <c:xMode val="edge"/>
          <c:yMode val="edge"/>
          <c:x val="0.104961125509071"/>
          <c:y val="0.0947264418920588"/>
          <c:w val="0.876156978896705"/>
          <c:h val="0.741756206002223"/>
        </c:manualLayout>
      </c:layout>
      <c:scatterChart>
        <c:scatterStyle val="line"/>
        <c:varyColors val="0"/>
        <c:ser>
          <c:idx val="0"/>
          <c:order val="0"/>
          <c:tx>
            <c:strRef>
              <c:f>Courbes!$B$140</c:f>
              <c:strCache>
                <c:ptCount val="1"/>
                <c:pt idx="0">
                  <c:v>Vitesse</c:v>
                </c:pt>
              </c:strCache>
            </c:strRef>
          </c:tx>
          <c:spPr>
            <a:solidFill>
              <a:srgbClr val="800000"/>
            </a:solidFill>
            <a:ln w="25560">
              <a:solidFill>
                <a:srgbClr val="8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Calculs!$I$4:$I$1004</c:f>
              <c:numCache>
                <c:formatCode>General</c:formatCode>
                <c:ptCount val="1001"/>
                <c:pt idx="0">
                  <c:v>0</c:v>
                </c:pt>
                <c:pt idx="1">
                  <c:v>0.164370603835688</c:v>
                </c:pt>
                <c:pt idx="2">
                  <c:v>1.05527799105832</c:v>
                </c:pt>
                <c:pt idx="3">
                  <c:v>2.38889243006292</c:v>
                </c:pt>
                <c:pt idx="4">
                  <c:v>3.67620072415745</c:v>
                </c:pt>
                <c:pt idx="5">
                  <c:v>4.9170930096302</c:v>
                </c:pt>
                <c:pt idx="6">
                  <c:v>6.13976414711126</c:v>
                </c:pt>
                <c:pt idx="7">
                  <c:v>7.37248287705934</c:v>
                </c:pt>
                <c:pt idx="8">
                  <c:v>8.61525302629016</c:v>
                </c:pt>
                <c:pt idx="9">
                  <c:v>9.86807820164738</c:v>
                </c:pt>
                <c:pt idx="10">
                  <c:v>11.1309617865038</c:v>
                </c:pt>
                <c:pt idx="11">
                  <c:v>12.4009700036388</c:v>
                </c:pt>
                <c:pt idx="12">
                  <c:v>13.6751612304565</c:v>
                </c:pt>
                <c:pt idx="13">
                  <c:v>14.953526965579</c:v>
                </c:pt>
                <c:pt idx="14">
                  <c:v>16.2360585562539</c:v>
                </c:pt>
                <c:pt idx="15">
                  <c:v>17.5227471979303</c:v>
                </c:pt>
                <c:pt idx="16">
                  <c:v>18.8135839338458</c:v>
                </c:pt>
                <c:pt idx="17">
                  <c:v>20.1085596546264</c:v>
                </c:pt>
                <c:pt idx="18">
                  <c:v>21.4076650978981</c:v>
                </c:pt>
                <c:pt idx="19">
                  <c:v>22.7108908479105</c:v>
                </c:pt>
                <c:pt idx="20">
                  <c:v>24.0182273351738</c:v>
                </c:pt>
                <c:pt idx="21">
                  <c:v>25.3284862859294</c:v>
                </c:pt>
                <c:pt idx="22">
                  <c:v>26.6404762898548</c:v>
                </c:pt>
                <c:pt idx="23">
                  <c:v>27.9541830324763</c:v>
                </c:pt>
                <c:pt idx="24">
                  <c:v>29.2695921111991</c:v>
                </c:pt>
                <c:pt idx="25">
                  <c:v>30.5866890358461</c:v>
                </c:pt>
                <c:pt idx="26">
                  <c:v>31.9054592292062</c:v>
                </c:pt>
                <c:pt idx="27">
                  <c:v>33.2258880275935</c:v>
                </c:pt>
                <c:pt idx="28">
                  <c:v>34.5479647329888</c:v>
                </c:pt>
                <c:pt idx="29">
                  <c:v>35.8716787357114</c:v>
                </c:pt>
                <c:pt idx="30">
                  <c:v>37.1970148561059</c:v>
                </c:pt>
                <c:pt idx="31">
                  <c:v>38.5239578465586</c:v>
                </c:pt>
                <c:pt idx="32">
                  <c:v>39.852492390507</c:v>
                </c:pt>
                <c:pt idx="33">
                  <c:v>41.1826031017068</c:v>
                </c:pt>
                <c:pt idx="34">
                  <c:v>42.5142745236728</c:v>
                </c:pt>
                <c:pt idx="35">
                  <c:v>43.8474911292681</c:v>
                </c:pt>
                <c:pt idx="36">
                  <c:v>45.1822373204233</c:v>
                </c:pt>
                <c:pt idx="37">
                  <c:v>46.5184974279685</c:v>
                </c:pt>
                <c:pt idx="38">
                  <c:v>47.8562557115639</c:v>
                </c:pt>
                <c:pt idx="39">
                  <c:v>49.1954963597181</c:v>
                </c:pt>
                <c:pt idx="40">
                  <c:v>50.5362034898835</c:v>
                </c:pt>
                <c:pt idx="41">
                  <c:v>51.8774435731385</c:v>
                </c:pt>
                <c:pt idx="42">
                  <c:v>53.2182808741501</c:v>
                </c:pt>
                <c:pt idx="43">
                  <c:v>54.558696381321</c:v>
                </c:pt>
                <c:pt idx="44">
                  <c:v>55.8986710810702</c:v>
                </c:pt>
                <c:pt idx="45">
                  <c:v>57.23818595862</c:v>
                </c:pt>
                <c:pt idx="46">
                  <c:v>58.5772219988198</c:v>
                </c:pt>
                <c:pt idx="47">
                  <c:v>59.9157601870036</c:v>
                </c:pt>
                <c:pt idx="48">
                  <c:v>61.2537815098763</c:v>
                </c:pt>
                <c:pt idx="49">
                  <c:v>62.5912669564264</c:v>
                </c:pt>
                <c:pt idx="50">
                  <c:v>63.9281975188629</c:v>
                </c:pt>
                <c:pt idx="51">
                  <c:v>65.2645541935732</c:v>
                </c:pt>
                <c:pt idx="52">
                  <c:v>66.6003179820999</c:v>
                </c:pt>
                <c:pt idx="53">
                  <c:v>67.9354698921358</c:v>
                </c:pt>
                <c:pt idx="54">
                  <c:v>69.2699909385338</c:v>
                </c:pt>
                <c:pt idx="55">
                  <c:v>70.6038621443308</c:v>
                </c:pt>
                <c:pt idx="56">
                  <c:v>71.9370645417854</c:v>
                </c:pt>
                <c:pt idx="57">
                  <c:v>73.269579173426</c:v>
                </c:pt>
                <c:pt idx="58">
                  <c:v>74.6013870931095</c:v>
                </c:pt>
                <c:pt idx="59">
                  <c:v>75.9324693670902</c:v>
                </c:pt>
                <c:pt idx="60">
                  <c:v>77.262807075096</c:v>
                </c:pt>
                <c:pt idx="61">
                  <c:v>78.5923813114129</c:v>
                </c:pt>
                <c:pt idx="62">
                  <c:v>79.9211731859762</c:v>
                </c:pt>
                <c:pt idx="63">
                  <c:v>81.2491638254675</c:v>
                </c:pt>
                <c:pt idx="64">
                  <c:v>82.5763343744173</c:v>
                </c:pt>
                <c:pt idx="65">
                  <c:v>83.9026659963126</c:v>
                </c:pt>
                <c:pt idx="66">
                  <c:v>85.2281398747082</c:v>
                </c:pt>
                <c:pt idx="67">
                  <c:v>86.5527372143418</c:v>
                </c:pt>
                <c:pt idx="68">
                  <c:v>87.8764392422525</c:v>
                </c:pt>
                <c:pt idx="69">
                  <c:v>89.199227208902</c:v>
                </c:pt>
                <c:pt idx="70">
                  <c:v>90.5210823892974</c:v>
                </c:pt>
                <c:pt idx="71">
                  <c:v>91.8419860841163</c:v>
                </c:pt>
                <c:pt idx="72">
                  <c:v>93.1619196208336</c:v>
                </c:pt>
                <c:pt idx="73">
                  <c:v>94.4808643548483</c:v>
                </c:pt>
                <c:pt idx="74">
                  <c:v>95.7988016706119</c:v>
                </c:pt>
                <c:pt idx="75">
                  <c:v>97.1157129827568</c:v>
                </c:pt>
                <c:pt idx="76">
                  <c:v>98.4315797372243</c:v>
                </c:pt>
                <c:pt idx="77">
                  <c:v>99.7463834123927</c:v>
                </c:pt>
                <c:pt idx="78">
                  <c:v>101.060105520205</c:v>
                </c:pt>
                <c:pt idx="79">
                  <c:v>102.372727607294</c:v>
                </c:pt>
                <c:pt idx="80">
                  <c:v>103.68423125611</c:v>
                </c:pt>
                <c:pt idx="81">
                  <c:v>104.993664826807</c:v>
                </c:pt>
                <c:pt idx="82">
                  <c:v>106.300075076025</c:v>
                </c:pt>
                <c:pt idx="83">
                  <c:v>107.603441811154</c:v>
                </c:pt>
                <c:pt idx="84">
                  <c:v>108.903744963259</c:v>
                </c:pt>
                <c:pt idx="85">
                  <c:v>110.200964588253</c:v>
                </c:pt>
                <c:pt idx="86">
                  <c:v>111.495080868042</c:v>
                </c:pt>
                <c:pt idx="87">
                  <c:v>112.786074111662</c:v>
                </c:pt>
                <c:pt idx="88">
                  <c:v>114.073924756408</c:v>
                </c:pt>
                <c:pt idx="89">
                  <c:v>115.358613368933</c:v>
                </c:pt>
                <c:pt idx="90">
                  <c:v>116.640120646339</c:v>
                </c:pt>
                <c:pt idx="91">
                  <c:v>117.918014883716</c:v>
                </c:pt>
                <c:pt idx="92">
                  <c:v>119.191863859777</c:v>
                </c:pt>
                <c:pt idx="93">
                  <c:v>120.461647982015</c:v>
                </c:pt>
                <c:pt idx="94">
                  <c:v>121.72734783244</c:v>
                </c:pt>
                <c:pt idx="95">
                  <c:v>122.988944168515</c:v>
                </c:pt>
                <c:pt idx="96">
                  <c:v>124.246417924077</c:v>
                </c:pt>
                <c:pt idx="97">
                  <c:v>125.499750210235</c:v>
                </c:pt>
                <c:pt idx="98">
                  <c:v>126.74892231624</c:v>
                </c:pt>
                <c:pt idx="99">
                  <c:v>127.993915710336</c:v>
                </c:pt>
                <c:pt idx="100">
                  <c:v>129.234712040588</c:v>
                </c:pt>
                <c:pt idx="101">
                  <c:v>130.471227121277</c:v>
                </c:pt>
                <c:pt idx="102">
                  <c:v>131.703376857271</c:v>
                </c:pt>
                <c:pt idx="103">
                  <c:v>132.931143355289</c:v>
                </c:pt>
                <c:pt idx="104">
                  <c:v>134.154508911421</c:v>
                </c:pt>
                <c:pt idx="105">
                  <c:v>135.373456011816</c:v>
                </c:pt>
                <c:pt idx="106">
                  <c:v>136.587967333345</c:v>
                </c:pt>
                <c:pt idx="107">
                  <c:v>137.798025744244</c:v>
                </c:pt>
                <c:pt idx="108">
                  <c:v>139.00361430473</c:v>
                </c:pt>
                <c:pt idx="109">
                  <c:v>140.204716267589</c:v>
                </c:pt>
                <c:pt idx="110">
                  <c:v>141.401315078744</c:v>
                </c:pt>
                <c:pt idx="111">
                  <c:v>142.594154774613</c:v>
                </c:pt>
                <c:pt idx="112">
                  <c:v>143.783980484937</c:v>
                </c:pt>
                <c:pt idx="113">
                  <c:v>144.97077695134</c:v>
                </c:pt>
                <c:pt idx="114">
                  <c:v>146.154529040317</c:v>
                </c:pt>
                <c:pt idx="115">
                  <c:v>147.335221743908</c:v>
                </c:pt>
                <c:pt idx="116">
                  <c:v>148.512840180357</c:v>
                </c:pt>
                <c:pt idx="117">
                  <c:v>149.68736959476</c:v>
                </c:pt>
                <c:pt idx="118">
                  <c:v>150.8587953597</c:v>
                </c:pt>
                <c:pt idx="119">
                  <c:v>152.027102975858</c:v>
                </c:pt>
                <c:pt idx="120">
                  <c:v>153.192278072621</c:v>
                </c:pt>
                <c:pt idx="121">
                  <c:v>154.353044664489</c:v>
                </c:pt>
                <c:pt idx="122">
                  <c:v>155.508125615009</c:v>
                </c:pt>
                <c:pt idx="123">
                  <c:v>156.657506167499</c:v>
                </c:pt>
                <c:pt idx="124">
                  <c:v>157.801171815064</c:v>
                </c:pt>
                <c:pt idx="125">
                  <c:v>158.939108300572</c:v>
                </c:pt>
                <c:pt idx="126">
                  <c:v>160.071301616607</c:v>
                </c:pt>
                <c:pt idx="127">
                  <c:v>161.197738005385</c:v>
                </c:pt>
                <c:pt idx="128">
                  <c:v>162.318403958635</c:v>
                </c:pt>
                <c:pt idx="129">
                  <c:v>163.433286217459</c:v>
                </c:pt>
                <c:pt idx="130">
                  <c:v>164.542371772148</c:v>
                </c:pt>
                <c:pt idx="131">
                  <c:v>165.645317398396</c:v>
                </c:pt>
                <c:pt idx="132">
                  <c:v>166.741779857663</c:v>
                </c:pt>
                <c:pt idx="133">
                  <c:v>167.831746816358</c:v>
                </c:pt>
                <c:pt idx="134">
                  <c:v>168.915206222232</c:v>
                </c:pt>
                <c:pt idx="135">
                  <c:v>169.992146303805</c:v>
                </c:pt>
                <c:pt idx="136">
                  <c:v>171.062555569779</c:v>
                </c:pt>
                <c:pt idx="137">
                  <c:v>172.126422808398</c:v>
                </c:pt>
                <c:pt idx="138">
                  <c:v>173.18373708679</c:v>
                </c:pt>
                <c:pt idx="139">
                  <c:v>174.234487750263</c:v>
                </c:pt>
                <c:pt idx="140">
                  <c:v>175.278664421579</c:v>
                </c:pt>
                <c:pt idx="141">
                  <c:v>176.312304203968</c:v>
                </c:pt>
                <c:pt idx="142">
                  <c:v>177.331442280153</c:v>
                </c:pt>
                <c:pt idx="143">
                  <c:v>178.336070007437</c:v>
                </c:pt>
                <c:pt idx="144">
                  <c:v>179.326179495941</c:v>
                </c:pt>
                <c:pt idx="145">
                  <c:v>180.301763602434</c:v>
                </c:pt>
                <c:pt idx="146">
                  <c:v>181.26281592405</c:v>
                </c:pt>
                <c:pt idx="147">
                  <c:v>182.209330791912</c:v>
                </c:pt>
                <c:pt idx="148">
                  <c:v>183.14130326465</c:v>
                </c:pt>
                <c:pt idx="149">
                  <c:v>184.058729121834</c:v>
                </c:pt>
                <c:pt idx="150">
                  <c:v>184.961604857306</c:v>
                </c:pt>
                <c:pt idx="151">
                  <c:v>185.849927672425</c:v>
                </c:pt>
                <c:pt idx="152">
                  <c:v>186.72369546923</c:v>
                </c:pt>
                <c:pt idx="153">
                  <c:v>187.582906843516</c:v>
                </c:pt>
                <c:pt idx="154">
                  <c:v>188.427561077825</c:v>
                </c:pt>
                <c:pt idx="155">
                  <c:v>189.257658134371</c:v>
                </c:pt>
                <c:pt idx="156">
                  <c:v>190.05446953731</c:v>
                </c:pt>
                <c:pt idx="157">
                  <c:v>190.799269178351</c:v>
                </c:pt>
                <c:pt idx="158">
                  <c:v>191.492084668875</c:v>
                </c:pt>
                <c:pt idx="159">
                  <c:v>192.132948690563</c:v>
                </c:pt>
                <c:pt idx="160">
                  <c:v>192.721898900273</c:v>
                </c:pt>
                <c:pt idx="161">
                  <c:v>193.235163919285</c:v>
                </c:pt>
                <c:pt idx="162">
                  <c:v>193.648996571555</c:v>
                </c:pt>
                <c:pt idx="163">
                  <c:v>193.965781940632</c:v>
                </c:pt>
                <c:pt idx="164">
                  <c:v>194.187917648069</c:v>
                </c:pt>
                <c:pt idx="165">
                  <c:v>194.338290826153</c:v>
                </c:pt>
                <c:pt idx="166">
                  <c:v>194.439766370814</c:v>
                </c:pt>
                <c:pt idx="167">
                  <c:v>194.4751271864</c:v>
                </c:pt>
                <c:pt idx="168">
                  <c:v>194.439703589843</c:v>
                </c:pt>
                <c:pt idx="169">
                  <c:v>194.297904183223</c:v>
                </c:pt>
                <c:pt idx="170">
                  <c:v>194.039250560445</c:v>
                </c:pt>
                <c:pt idx="171">
                  <c:v>193.741353200177</c:v>
                </c:pt>
                <c:pt idx="172">
                  <c:v>193.444115089689</c:v>
                </c:pt>
                <c:pt idx="173">
                  <c:v>193.147533615286</c:v>
                </c:pt>
                <c:pt idx="174">
                  <c:v>192.851606177085</c:v>
                </c:pt>
                <c:pt idx="175">
                  <c:v>192.556330188925</c:v>
                </c:pt>
                <c:pt idx="176">
                  <c:v>192.261703078278</c:v>
                </c:pt>
                <c:pt idx="177">
                  <c:v>191.967722286158</c:v>
                </c:pt>
                <c:pt idx="178">
                  <c:v>191.67438526703</c:v>
                </c:pt>
                <c:pt idx="179">
                  <c:v>191.381689488721</c:v>
                </c:pt>
                <c:pt idx="180">
                  <c:v>191.089632432335</c:v>
                </c:pt>
                <c:pt idx="181">
                  <c:v>190.798211592161</c:v>
                </c:pt>
                <c:pt idx="182">
                  <c:v>190.507424475591</c:v>
                </c:pt>
                <c:pt idx="183">
                  <c:v>190.21726860303</c:v>
                </c:pt>
                <c:pt idx="184">
                  <c:v>189.927741507812</c:v>
                </c:pt>
                <c:pt idx="185">
                  <c:v>189.638840736118</c:v>
                </c:pt>
                <c:pt idx="186">
                  <c:v>189.350563846887</c:v>
                </c:pt>
                <c:pt idx="187">
                  <c:v>189.062908411737</c:v>
                </c:pt>
                <c:pt idx="188">
                  <c:v>188.775872014879</c:v>
                </c:pt>
                <c:pt idx="189">
                  <c:v>188.489452253038</c:v>
                </c:pt>
                <c:pt idx="190">
                  <c:v>188.203646735367</c:v>
                </c:pt>
                <c:pt idx="191">
                  <c:v>187.918453083374</c:v>
                </c:pt>
                <c:pt idx="192">
                  <c:v>187.633868930834</c:v>
                </c:pt>
                <c:pt idx="193">
                  <c:v>187.349891923712</c:v>
                </c:pt>
                <c:pt idx="194">
                  <c:v>187.066519720087</c:v>
                </c:pt>
                <c:pt idx="195">
                  <c:v>186.783749990069</c:v>
                </c:pt>
                <c:pt idx="196">
                  <c:v>186.501580415728</c:v>
                </c:pt>
                <c:pt idx="197">
                  <c:v>186.220008691007</c:v>
                </c:pt>
                <c:pt idx="198">
                  <c:v>185.939032521657</c:v>
                </c:pt>
                <c:pt idx="199">
                  <c:v>185.65864962515</c:v>
                </c:pt>
                <c:pt idx="200">
                  <c:v>185.378857730613</c:v>
                </c:pt>
                <c:pt idx="201">
                  <c:v>182.586923623357</c:v>
                </c:pt>
                <c:pt idx="202">
                  <c:v>179.853155139296</c:v>
                </c:pt>
                <c:pt idx="203">
                  <c:v>177.175369586193</c:v>
                </c:pt>
                <c:pt idx="204">
                  <c:v>174.551492367505</c:v>
                </c:pt>
                <c:pt idx="205">
                  <c:v>171.979550325795</c:v>
                </c:pt>
                <c:pt idx="206">
                  <c:v>169.457665576155</c:v>
                </c:pt>
                <c:pt idx="207">
                  <c:v>166.984049787994</c:v>
                </c:pt>
                <c:pt idx="208">
                  <c:v>164.556998877559</c:v>
                </c:pt>
                <c:pt idx="209">
                  <c:v>162.174888077135</c:v>
                </c:pt>
                <c:pt idx="210">
                  <c:v>159.836167350103</c:v>
                </c:pt>
                <c:pt idx="211">
                  <c:v>157.539357123854</c:v>
                </c:pt>
                <c:pt idx="212">
                  <c:v>155.283044315185</c:v>
                </c:pt>
                <c:pt idx="213">
                  <c:v>153.06587862506</c:v>
                </c:pt>
                <c:pt idx="214">
                  <c:v>150.886569081737</c:v>
                </c:pt>
                <c:pt idx="215">
                  <c:v>148.743880813105</c:v>
                </c:pt>
                <c:pt idx="216">
                  <c:v>146.636632030757</c:v>
                </c:pt>
                <c:pt idx="217">
                  <c:v>144.563691209862</c:v>
                </c:pt>
                <c:pt idx="218">
                  <c:v>142.523974450258</c:v>
                </c:pt>
                <c:pt idx="219">
                  <c:v>140.516443005427</c:v>
                </c:pt>
                <c:pt idx="220">
                  <c:v>138.540100967153</c:v>
                </c:pt>
                <c:pt idx="221">
                  <c:v>136.593993094656</c:v>
                </c:pt>
                <c:pt idx="222">
                  <c:v>134.677202777958</c:v>
                </c:pt>
                <c:pt idx="223">
                  <c:v>132.788850126038</c:v>
                </c:pt>
                <c:pt idx="224">
                  <c:v>130.928090171128</c:v>
                </c:pt>
                <c:pt idx="225">
                  <c:v>129.094111181179</c:v>
                </c:pt>
                <c:pt idx="226">
                  <c:v>127.286133073179</c:v>
                </c:pt>
                <c:pt idx="227">
                  <c:v>125.50340592057</c:v>
                </c:pt>
                <c:pt idx="228">
                  <c:v>123.745208548542</c:v>
                </c:pt>
                <c:pt idx="229">
                  <c:v>122.010847211485</c:v>
                </c:pt>
                <c:pt idx="230">
                  <c:v>120.299654347297</c:v>
                </c:pt>
                <c:pt idx="231">
                  <c:v>118.610987403675</c:v>
                </c:pt>
                <c:pt idx="232">
                  <c:v>116.944227731883</c:v>
                </c:pt>
                <c:pt idx="233">
                  <c:v>115.298779543831</c:v>
                </c:pt>
                <c:pt idx="234">
                  <c:v>113.674068928618</c:v>
                </c:pt>
                <c:pt idx="235">
                  <c:v>112.069542924994</c:v>
                </c:pt>
                <c:pt idx="236">
                  <c:v>110.484668646441</c:v>
                </c:pt>
                <c:pt idx="237">
                  <c:v>108.918932455863</c:v>
                </c:pt>
                <c:pt idx="238">
                  <c:v>107.371839187046</c:v>
                </c:pt>
                <c:pt idx="239">
                  <c:v>105.842911410334</c:v>
                </c:pt>
                <c:pt idx="240">
                  <c:v>104.331688740105</c:v>
                </c:pt>
                <c:pt idx="241">
                  <c:v>102.837727181851</c:v>
                </c:pt>
                <c:pt idx="242">
                  <c:v>101.360598516832</c:v>
                </c:pt>
                <c:pt idx="243">
                  <c:v>99.8998897224276</c:v>
                </c:pt>
                <c:pt idx="244">
                  <c:v>98.4552024264746</c:v>
                </c:pt>
                <c:pt idx="245">
                  <c:v>97.0261523940117</c:v>
                </c:pt>
                <c:pt idx="246">
                  <c:v>95.612369044994</c:v>
                </c:pt>
                <c:pt idx="247">
                  <c:v>94.2134950016662</c:v>
                </c:pt>
                <c:pt idx="248">
                  <c:v>92.8291856644059</c:v>
                </c:pt>
                <c:pt idx="249">
                  <c:v>91.4591088149653</c:v>
                </c:pt>
                <c:pt idx="250">
                  <c:v>90.1029442461509</c:v>
                </c:pt>
                <c:pt idx="251">
                  <c:v>88.7603834170915</c:v>
                </c:pt>
                <c:pt idx="252">
                  <c:v>87.4311291333469</c:v>
                </c:pt>
                <c:pt idx="253">
                  <c:v>86.1148952512164</c:v>
                </c:pt>
                <c:pt idx="254">
                  <c:v>84.811406405702</c:v>
                </c:pt>
                <c:pt idx="255">
                  <c:v>83.5203977616885</c:v>
                </c:pt>
                <c:pt idx="256">
                  <c:v>82.2416147879947</c:v>
                </c:pt>
                <c:pt idx="257">
                  <c:v>80.9748130540549</c:v>
                </c:pt>
                <c:pt idx="258">
                  <c:v>79.7197580490906</c:v>
                </c:pt>
                <c:pt idx="259">
                  <c:v>78.4762250237314</c:v>
                </c:pt>
                <c:pt idx="260">
                  <c:v>77.2439988541536</c:v>
                </c:pt>
                <c:pt idx="261">
                  <c:v>76.0228739289113</c:v>
                </c:pt>
                <c:pt idx="262">
                  <c:v>74.8126540587468</c:v>
                </c:pt>
                <c:pt idx="263">
                  <c:v>73.6131524097861</c:v>
                </c:pt>
                <c:pt idx="264">
                  <c:v>72.4241914606465</c:v>
                </c:pt>
                <c:pt idx="265">
                  <c:v>71.2456029841157</c:v>
                </c:pt>
                <c:pt idx="266">
                  <c:v>70.0772280541967</c:v>
                </c:pt>
                <c:pt idx="267">
                  <c:v>68.9189170794609</c:v>
                </c:pt>
                <c:pt idx="268">
                  <c:v>67.7705298638082</c:v>
                </c:pt>
                <c:pt idx="269">
                  <c:v>66.6319356958983</c:v>
                </c:pt>
                <c:pt idx="270">
                  <c:v>65.5030134687014</c:v>
                </c:pt>
                <c:pt idx="271">
                  <c:v>64.3836518308041</c:v>
                </c:pt>
                <c:pt idx="272">
                  <c:v>63.2737493713196</c:v>
                </c:pt>
                <c:pt idx="273">
                  <c:v>62.1732148404745</c:v>
                </c:pt>
                <c:pt idx="274">
                  <c:v>61.0819674081848</c:v>
                </c:pt>
                <c:pt idx="275">
                  <c:v>59.9999369632001</c:v>
                </c:pt>
                <c:pt idx="276">
                  <c:v>58.9270644556713</c:v>
                </c:pt>
                <c:pt idx="277">
                  <c:v>57.8633022863063</c:v>
                </c:pt>
                <c:pt idx="278">
                  <c:v>56.8086147456004</c:v>
                </c:pt>
                <c:pt idx="279">
                  <c:v>55.7629785069804</c:v>
                </c:pt>
                <c:pt idx="280">
                  <c:v>54.7263831780729</c:v>
                </c:pt>
                <c:pt idx="281">
                  <c:v>53.6988319147036</c:v>
                </c:pt>
                <c:pt idx="282">
                  <c:v>52.6803421026538</c:v>
                </c:pt>
                <c:pt idx="283">
                  <c:v>51.670946112636</c:v>
                </c:pt>
                <c:pt idx="284">
                  <c:v>50.6706921344017</c:v>
                </c:pt>
                <c:pt idx="285">
                  <c:v>49.6796450963602</c:v>
                </c:pt>
                <c:pt idx="286">
                  <c:v>48.6978876775423</c:v>
                </c:pt>
                <c:pt idx="287">
                  <c:v>47.725521419198</c:v>
                </c:pt>
                <c:pt idx="288">
                  <c:v>46.7626679437315</c:v>
                </c:pt>
                <c:pt idx="289">
                  <c:v>45.809470289048</c:v>
                </c:pt>
                <c:pt idx="290">
                  <c:v>44.8660943666695</c:v>
                </c:pt>
                <c:pt idx="291">
                  <c:v>43.9327305521405</c:v>
                </c:pt>
                <c:pt idx="292">
                  <c:v>43.0095954162355</c:v>
                </c:pt>
                <c:pt idx="293">
                  <c:v>42.0969336052324</c:v>
                </c:pt>
                <c:pt idx="294">
                  <c:v>41.1950198779479</c:v>
                </c:pt>
                <c:pt idx="295">
                  <c:v>40.3041613062392</c:v>
                </c:pt>
                <c:pt idx="296">
                  <c:v>39.4246996441319</c:v>
                </c:pt>
                <c:pt idx="297">
                  <c:v>38.557013868472</c:v>
                </c:pt>
                <c:pt idx="298">
                  <c:v>37.70152289084</c:v>
                </c:pt>
                <c:pt idx="299">
                  <c:v>36.858688436153</c:v>
                </c:pt>
                <c:pt idx="300">
                  <c:v>36.0290180776626</c:v>
                </c:pt>
                <c:pt idx="301">
                  <c:v>35.2130684105916</c:v>
                </c:pt>
                <c:pt idx="302">
                  <c:v>34.4114483370873</c:v>
                </c:pt>
                <c:pt idx="303">
                  <c:v>33.6248224230915</c:v>
                </c:pt>
                <c:pt idx="304">
                  <c:v>32.8539142727224</c:v>
                </c:pt>
                <c:pt idx="305">
                  <c:v>32.0995098473934</c:v>
                </c:pt>
                <c:pt idx="306">
                  <c:v>31.3624606347982</c:v>
                </c:pt>
                <c:pt idx="307">
                  <c:v>30.6436865467957</c:v>
                </c:pt>
                <c:pt idx="308">
                  <c:v>29.9441783950747</c:v>
                </c:pt>
                <c:pt idx="309">
                  <c:v>29.2649997595452</c:v>
                </c:pt>
                <c:pt idx="310">
                  <c:v>28.6072880274453</c:v>
                </c:pt>
                <c:pt idx="311">
                  <c:v>27.9722543426475</c:v>
                </c:pt>
                <c:pt idx="312">
                  <c:v>27.3611821669593</c:v>
                </c:pt>
                <c:pt idx="313">
                  <c:v>26.7754241218825</c:v>
                </c:pt>
                <c:pt idx="314">
                  <c:v>26.2163967551585</c:v>
                </c:pt>
                <c:pt idx="315">
                  <c:v>25.6855728677484</c:v>
                </c:pt>
                <c:pt idx="316">
                  <c:v>25.1844710511804</c:v>
                </c:pt>
                <c:pt idx="317">
                  <c:v>24.714642130772</c:v>
                </c:pt>
                <c:pt idx="318">
                  <c:v>24.2776522953455</c:v>
                </c:pt>
                <c:pt idx="319">
                  <c:v>23.8750628254658</c:v>
                </c:pt>
                <c:pt idx="320">
                  <c:v>23.5084065133335</c:v>
                </c:pt>
                <c:pt idx="321">
                  <c:v>23.1791610960368</c:v>
                </c:pt>
                <c:pt idx="322">
                  <c:v>22.8887202899324</c:v>
                </c:pt>
                <c:pt idx="323">
                  <c:v>22.6383632982085</c:v>
                </c:pt>
                <c:pt idx="324">
                  <c:v>22.429223937574</c:v>
                </c:pt>
                <c:pt idx="325">
                  <c:v>22.2622607575684</c:v>
                </c:pt>
                <c:pt idx="326">
                  <c:v>22.1382296684551</c:v>
                </c:pt>
                <c:pt idx="327">
                  <c:v>22.0576606162519</c:v>
                </c:pt>
                <c:pt idx="328">
                  <c:v>22.0208397230727</c:v>
                </c:pt>
                <c:pt idx="329">
                  <c:v>22.0277980432066</c:v>
                </c:pt>
                <c:pt idx="330">
                  <c:v>22.0783076885089</c:v>
                </c:pt>
                <c:pt idx="331">
                  <c:v>22.1718855909473</c:v>
                </c:pt>
                <c:pt idx="332">
                  <c:v>22.3078046517988</c:v>
                </c:pt>
                <c:pt idx="333">
                  <c:v>22.4851115384289</c:v>
                </c:pt>
                <c:pt idx="334">
                  <c:v>22.7026499876701</c:v>
                </c:pt>
                <c:pt idx="335">
                  <c:v>22.9590882008369</c:v>
                </c:pt>
                <c:pt idx="336">
                  <c:v>23.2529487888258</c:v>
                </c:pt>
                <c:pt idx="337">
                  <c:v>23.5826397432046</c:v>
                </c:pt>
                <c:pt idx="338">
                  <c:v>23.946485048301</c:v>
                </c:pt>
                <c:pt idx="339">
                  <c:v>24.3427537754933</c:v>
                </c:pt>
                <c:pt idx="340">
                  <c:v>24.7696867752774</c:v>
                </c:pt>
                <c:pt idx="341">
                  <c:v>25.2255203688517</c:v>
                </c:pt>
                <c:pt idx="342">
                  <c:v>25.7085067097259</c:v>
                </c:pt>
                <c:pt idx="343">
                  <c:v>26.2169307174169</c:v>
                </c:pt>
                <c:pt idx="344">
                  <c:v>26.7491236692093</c:v>
                </c:pt>
                <c:pt idx="345">
                  <c:v>27.3034736697303</c:v>
                </c:pt>
                <c:pt idx="346">
                  <c:v>27.8784333049626</c:v>
                </c:pt>
                <c:pt idx="347">
                  <c:v>28.4725248340407</c:v>
                </c:pt>
                <c:pt idx="348">
                  <c:v>29.084343287052</c:v>
                </c:pt>
                <c:pt idx="349">
                  <c:v>29.712557828534</c:v>
                </c:pt>
                <c:pt idx="350">
                  <c:v>30.3559117220395</c:v>
                </c:pt>
                <c:pt idx="351">
                  <c:v>31.0132211974181</c:v>
                </c:pt>
                <c:pt idx="352">
                  <c:v>31.6833734842701</c:v>
                </c:pt>
                <c:pt idx="353">
                  <c:v>32.3653242359673</c:v>
                </c:pt>
                <c:pt idx="354">
                  <c:v>33.058094531149</c:v>
                </c:pt>
                <c:pt idx="355">
                  <c:v>33.7607676051667</c:v>
                </c:pt>
                <c:pt idx="356">
                  <c:v>34.4724854333729</c:v>
                </c:pt>
                <c:pt idx="357">
                  <c:v>35.1924452616898</c:v>
                </c:pt>
                <c:pt idx="358">
                  <c:v>35.9198961575039</c:v>
                </c:pt>
                <c:pt idx="359">
                  <c:v>36.6541356353396</c:v>
                </c:pt>
                <c:pt idx="360">
                  <c:v>37.3945063965781</c:v>
                </c:pt>
                <c:pt idx="361">
                  <c:v>38.1403932102927</c:v>
                </c:pt>
                <c:pt idx="362">
                  <c:v>38.891219952613</c:v>
                </c:pt>
                <c:pt idx="363">
                  <c:v>39.646446814515</c:v>
                </c:pt>
                <c:pt idx="364">
                  <c:v>40.405567682176</c:v>
                </c:pt>
                <c:pt idx="365">
                  <c:v>41.1681076897149</c:v>
                </c:pt>
                <c:pt idx="366">
                  <c:v>41.933620940968</c:v>
                </c:pt>
                <c:pt idx="367">
                  <c:v>42.7016883947022</c:v>
                </c:pt>
                <c:pt idx="368">
                  <c:v>43.4719159061324</c:v>
                </c:pt>
                <c:pt idx="369">
                  <c:v>44.2439324166346</c:v>
                </c:pt>
                <c:pt idx="370">
                  <c:v>45.0173882829978</c:v>
                </c:pt>
                <c:pt idx="371">
                  <c:v>45.7919537373277</c:v>
                </c:pt>
                <c:pt idx="372">
                  <c:v>46.5673174687238</c:v>
                </c:pt>
                <c:pt idx="373">
                  <c:v>47.3431853180325</c:v>
                </c:pt>
                <c:pt idx="374">
                  <c:v>48.1192790772771</c:v>
                </c:pt>
                <c:pt idx="375">
                  <c:v>48.8953353857481</c:v>
                </c:pt>
                <c:pt idx="376">
                  <c:v>49.6711047151665</c:v>
                </c:pt>
                <c:pt idx="377">
                  <c:v>50.4463504367922</c:v>
                </c:pt>
                <c:pt idx="378">
                  <c:v>51.2208479638155</c:v>
                </c:pt>
                <c:pt idx="379">
                  <c:v>51.9943839628401</c:v>
                </c:pt>
                <c:pt idx="380">
                  <c:v>52.7667556287174</c:v>
                </c:pt>
                <c:pt idx="381">
                  <c:v>53.5377700174317</c:v>
                </c:pt>
                <c:pt idx="382">
                  <c:v>54.3072434321544</c:v>
                </c:pt>
                <c:pt idx="383">
                  <c:v>55.075000857976</c:v>
                </c:pt>
                <c:pt idx="384">
                  <c:v>55.8408754411961</c:v>
                </c:pt>
                <c:pt idx="385">
                  <c:v>56.6047080093942</c:v>
                </c:pt>
                <c:pt idx="386">
                  <c:v>57.3663466288233</c:v>
                </c:pt>
                <c:pt idx="387">
                  <c:v>58.1256461959617</c:v>
                </c:pt>
                <c:pt idx="388">
                  <c:v>58.8824680603334</c:v>
                </c:pt>
                <c:pt idx="389">
                  <c:v>59.6366796759518</c:v>
                </c:pt>
                <c:pt idx="390">
                  <c:v>60.3881542789752</c:v>
                </c:pt>
                <c:pt idx="391">
                  <c:v>61.1367705893695</c:v>
                </c:pt>
                <c:pt idx="392">
                  <c:v>61.8824125345655</c:v>
                </c:pt>
                <c:pt idx="393">
                  <c:v>62.6249689932743</c:v>
                </c:pt>
                <c:pt idx="394">
                  <c:v>63.3643335577826</c:v>
                </c:pt>
                <c:pt idx="395">
                  <c:v>64.1004043131968</c:v>
                </c:pt>
                <c:pt idx="396">
                  <c:v>64.8330836322364</c:v>
                </c:pt>
                <c:pt idx="397">
                  <c:v>65.5622779843003</c:v>
                </c:pt>
                <c:pt idx="398">
                  <c:v>66.2878977576362</c:v>
                </c:pt>
                <c:pt idx="399">
                  <c:v>67.0098570935484</c:v>
                </c:pt>
                <c:pt idx="400">
                  <c:v>67.7280737316674</c:v>
                </c:pt>
                <c:pt idx="401">
                  <c:v>68.4424688653887</c:v>
                </c:pt>
                <c:pt idx="402">
                  <c:v>69.152967006666</c:v>
                </c:pt>
                <c:pt idx="403">
                  <c:v>69.8594958594109</c:v>
                </c:pt>
                <c:pt idx="404">
                  <c:v>70.5619862008147</c:v>
                </c:pt>
                <c:pt idx="405">
                  <c:v>71.2603717699683</c:v>
                </c:pt>
                <c:pt idx="406">
                  <c:v>71.9545891632025</c:v>
                </c:pt>
                <c:pt idx="407">
                  <c:v>72.6445777356272</c:v>
                </c:pt>
                <c:pt idx="408">
                  <c:v>73.330279508383</c:v>
                </c:pt>
                <c:pt idx="409">
                  <c:v>74.0116390811654</c:v>
                </c:pt>
                <c:pt idx="410">
                  <c:v>74.6886035496141</c:v>
                </c:pt>
                <c:pt idx="411">
                  <c:v>75.3611224271959</c:v>
                </c:pt>
                <c:pt idx="412">
                  <c:v>76.0291475712374</c:v>
                </c:pt>
                <c:pt idx="413">
                  <c:v>76.6926331127938</c:v>
                </c:pt>
                <c:pt idx="414">
                  <c:v>77.3515353900645</c:v>
                </c:pt>
                <c:pt idx="415">
                  <c:v>78.0058128850906</c:v>
                </c:pt>
                <c:pt idx="416">
                  <c:v>78.6554261634879</c:v>
                </c:pt>
                <c:pt idx="417">
                  <c:v>79.3003378169931</c:v>
                </c:pt>
                <c:pt idx="418">
                  <c:v>79.9405124086141</c:v>
                </c:pt>
                <c:pt idx="419">
                  <c:v>80.5759164201962</c:v>
                </c:pt>
                <c:pt idx="420">
                  <c:v>81.2065182022261</c:v>
                </c:pt>
                <c:pt idx="421">
                  <c:v>81.8322879257158</c:v>
                </c:pt>
                <c:pt idx="422">
                  <c:v>82.4531975360142</c:v>
                </c:pt>
                <c:pt idx="423">
                  <c:v>83.0692207084124</c:v>
                </c:pt>
                <c:pt idx="424">
                  <c:v>83.6803328054145</c:v>
                </c:pt>
                <c:pt idx="425">
                  <c:v>84.2865108355587</c:v>
                </c:pt>
                <c:pt idx="426">
                  <c:v>84.8877334136811</c:v>
                </c:pt>
                <c:pt idx="427">
                  <c:v>85.4839807225238</c:v>
                </c:pt>
                <c:pt idx="428">
                  <c:v>86.075234475596</c:v>
                </c:pt>
                <c:pt idx="429">
                  <c:v>86.6614778812041</c:v>
                </c:pt>
                <c:pt idx="430">
                  <c:v>87.2426956075741</c:v>
                </c:pt>
                <c:pt idx="431">
                  <c:v>87.8188737489941</c:v>
                </c:pt>
                <c:pt idx="432">
                  <c:v>88.389999792912</c:v>
                </c:pt>
                <c:pt idx="433">
                  <c:v>88.9560625879278</c:v>
                </c:pt>
                <c:pt idx="434">
                  <c:v>89.5170523126238</c:v>
                </c:pt>
                <c:pt idx="435">
                  <c:v>90.0729604451828</c:v>
                </c:pt>
                <c:pt idx="436">
                  <c:v>90.6237797337455</c:v>
                </c:pt>
                <c:pt idx="437">
                  <c:v>91.1695041674646</c:v>
                </c:pt>
                <c:pt idx="438">
                  <c:v>91.7101289482152</c:v>
                </c:pt>
                <c:pt idx="439">
                  <c:v>92.2456504629235</c:v>
                </c:pt>
                <c:pt idx="440">
                  <c:v>92.7760662564814</c:v>
                </c:pt>
                <c:pt idx="441">
                  <c:v>93.3013750052151</c:v>
                </c:pt>
                <c:pt idx="442">
                  <c:v>93.8215764908782</c:v>
                </c:pt>
                <c:pt idx="443">
                  <c:v>94.3366715751441</c:v>
                </c:pt>
                <c:pt idx="444">
                  <c:v>94.8466621745722</c:v>
                </c:pt>
                <c:pt idx="445">
                  <c:v>95.3515512360269</c:v>
                </c:pt>
                <c:pt idx="446">
                  <c:v>95.8513427125275</c:v>
                </c:pt>
                <c:pt idx="447">
                  <c:v>96.3460415395116</c:v>
                </c:pt>
                <c:pt idx="448">
                  <c:v>96.8356536114937</c:v>
                </c:pt>
                <c:pt idx="449">
                  <c:v>97.3201857591038</c:v>
                </c:pt>
                <c:pt idx="450">
                  <c:v>97.7996457264914</c:v>
                </c:pt>
                <c:pt idx="451">
                  <c:v>98.2740421490819</c:v>
                </c:pt>
                <c:pt idx="452">
                  <c:v>98.7433845316727</c:v>
                </c:pt>
                <c:pt idx="453">
                  <c:v>99.2076832268589</c:v>
                </c:pt>
                <c:pt idx="454">
                  <c:v>99.6669494137776</c:v>
                </c:pt>
                <c:pt idx="455">
                  <c:v>100.121195077162</c:v>
                </c:pt>
                <c:pt idx="456">
                  <c:v>100.570432986698</c:v>
                </c:pt>
                <c:pt idx="457">
                  <c:v>101.014676676673</c:v>
                </c:pt>
                <c:pt idx="458">
                  <c:v>101.453940425911</c:v>
                </c:pt>
                <c:pt idx="459">
                  <c:v>101.888239237993</c:v>
                </c:pt>
                <c:pt idx="460">
                  <c:v>102.317588821746</c:v>
                </c:pt>
                <c:pt idx="461">
                  <c:v>102.742005572005</c:v>
                </c:pt>
                <c:pt idx="462">
                  <c:v>103.16150655064</c:v>
                </c:pt>
                <c:pt idx="463">
                  <c:v>103.576109467841</c:v>
                </c:pt>
                <c:pt idx="464">
                  <c:v>103.985832663665</c:v>
                </c:pt>
                <c:pt idx="465">
                  <c:v>104.39069508983</c:v>
                </c:pt>
                <c:pt idx="466">
                  <c:v>104.790716291761</c:v>
                </c:pt>
                <c:pt idx="467">
                  <c:v>105.185916390888</c:v>
                </c:pt>
                <c:pt idx="468">
                  <c:v>105.576316067179</c:v>
                </c:pt>
                <c:pt idx="469">
                  <c:v>105.961936541927</c:v>
                </c:pt>
                <c:pt idx="470">
                  <c:v>106.342799560763</c:v>
                </c:pt>
                <c:pt idx="471">
                  <c:v>106.718927376921</c:v>
                </c:pt>
                <c:pt idx="472">
                  <c:v>107.090342734729</c:v>
                </c:pt>
                <c:pt idx="473">
                  <c:v>107.457068853339</c:v>
                </c:pt>
                <c:pt idx="474">
                  <c:v>107.819129410692</c:v>
                </c:pt>
                <c:pt idx="475">
                  <c:v>108.176548527707</c:v>
                </c:pt>
                <c:pt idx="476">
                  <c:v>108.529350752709</c:v>
                </c:pt>
                <c:pt idx="477">
                  <c:v>108.877561046085</c:v>
                </c:pt>
                <c:pt idx="478">
                  <c:v>109.22120476516</c:v>
                </c:pt>
                <c:pt idx="479">
                  <c:v>109.560307649311</c:v>
                </c:pt>
                <c:pt idx="480">
                  <c:v>109.8948958053</c:v>
                </c:pt>
                <c:pt idx="481">
                  <c:v>110.224995692835</c:v>
                </c:pt>
                <c:pt idx="482">
                  <c:v>110.550634110355</c:v>
                </c:pt>
                <c:pt idx="483">
                  <c:v>110.871838181037</c:v>
                </c:pt>
                <c:pt idx="484">
                  <c:v>111.188635339027</c:v>
                </c:pt>
                <c:pt idx="485">
                  <c:v>111.501053315893</c:v>
                </c:pt>
                <c:pt idx="486">
                  <c:v>111.809120127295</c:v>
                </c:pt>
                <c:pt idx="487">
                  <c:v>112.112864059882</c:v>
                </c:pt>
                <c:pt idx="488">
                  <c:v>112.4123136584</c:v>
                </c:pt>
                <c:pt idx="489">
                  <c:v>112.707497713022</c:v>
                </c:pt>
                <c:pt idx="490">
                  <c:v>112.998445246898</c:v>
                </c:pt>
                <c:pt idx="491">
                  <c:v>113.285185503916</c:v>
                </c:pt>
                <c:pt idx="492">
                  <c:v>113.56774793668</c:v>
                </c:pt>
                <c:pt idx="493">
                  <c:v>113.846162194703</c:v>
                </c:pt>
                <c:pt idx="494">
                  <c:v>114.120458112816</c:v>
                </c:pt>
                <c:pt idx="495">
                  <c:v>114.390665699783</c:v>
                </c:pt>
                <c:pt idx="496">
                  <c:v>114.656815127133</c:v>
                </c:pt>
                <c:pt idx="497">
                  <c:v>114.918936718198</c:v>
                </c:pt>
                <c:pt idx="498">
                  <c:v>115.177060937361</c:v>
                </c:pt>
                <c:pt idx="499">
                  <c:v>115.431218379515</c:v>
                </c:pt>
                <c:pt idx="500">
                  <c:v>115.681439759723</c:v>
                </c:pt>
                <c:pt idx="501">
                  <c:v>115.927755903088</c:v>
                </c:pt>
                <c:pt idx="502">
                  <c:v>115.92799830422</c:v>
                </c:pt>
                <c:pt idx="503">
                  <c:v>115.928240701518</c:v>
                </c:pt>
                <c:pt idx="504">
                  <c:v>115.928483094983</c:v>
                </c:pt>
                <c:pt idx="505">
                  <c:v>115.928725484615</c:v>
                </c:pt>
                <c:pt idx="506">
                  <c:v>115.928967870413</c:v>
                </c:pt>
                <c:pt idx="507">
                  <c:v>115.929210252378</c:v>
                </c:pt>
                <c:pt idx="508">
                  <c:v>115.929452630511</c:v>
                </c:pt>
                <c:pt idx="509">
                  <c:v>115.929695004809</c:v>
                </c:pt>
                <c:pt idx="510">
                  <c:v>115.929937375275</c:v>
                </c:pt>
                <c:pt idx="511">
                  <c:v>115.930179741908</c:v>
                </c:pt>
                <c:pt idx="512">
                  <c:v>115.930422104707</c:v>
                </c:pt>
                <c:pt idx="513">
                  <c:v>115.930664463674</c:v>
                </c:pt>
                <c:pt idx="514">
                  <c:v>115.930906818807</c:v>
                </c:pt>
                <c:pt idx="515">
                  <c:v>115.931149170108</c:v>
                </c:pt>
                <c:pt idx="516">
                  <c:v>115.931391517576</c:v>
                </c:pt>
                <c:pt idx="517">
                  <c:v>115.93163386121</c:v>
                </c:pt>
                <c:pt idx="518">
                  <c:v>115.931876201012</c:v>
                </c:pt>
                <c:pt idx="519">
                  <c:v>115.932118536981</c:v>
                </c:pt>
                <c:pt idx="520">
                  <c:v>115.932360869117</c:v>
                </c:pt>
                <c:pt idx="521">
                  <c:v>115.932603197421</c:v>
                </c:pt>
                <c:pt idx="522">
                  <c:v>115.932845521891</c:v>
                </c:pt>
                <c:pt idx="523">
                  <c:v>115.933087842529</c:v>
                </c:pt>
                <c:pt idx="524">
                  <c:v>115.933330159334</c:v>
                </c:pt>
                <c:pt idx="525">
                  <c:v>115.933572472307</c:v>
                </c:pt>
                <c:pt idx="526">
                  <c:v>115.933814781446</c:v>
                </c:pt>
                <c:pt idx="527">
                  <c:v>115.934057086754</c:v>
                </c:pt>
                <c:pt idx="528">
                  <c:v>115.934299388228</c:v>
                </c:pt>
                <c:pt idx="529">
                  <c:v>115.934541685871</c:v>
                </c:pt>
                <c:pt idx="530">
                  <c:v>115.93478397968</c:v>
                </c:pt>
                <c:pt idx="531">
                  <c:v>115.935026269657</c:v>
                </c:pt>
                <c:pt idx="532">
                  <c:v>115.935268555802</c:v>
                </c:pt>
                <c:pt idx="533">
                  <c:v>115.935510838114</c:v>
                </c:pt>
                <c:pt idx="534">
                  <c:v>115.935753116594</c:v>
                </c:pt>
                <c:pt idx="535">
                  <c:v>115.935995391241</c:v>
                </c:pt>
                <c:pt idx="536">
                  <c:v>115.936237662057</c:v>
                </c:pt>
                <c:pt idx="537">
                  <c:v>115.936479929039</c:v>
                </c:pt>
                <c:pt idx="538">
                  <c:v>115.93672219219</c:v>
                </c:pt>
                <c:pt idx="539">
                  <c:v>115.936964451508</c:v>
                </c:pt>
                <c:pt idx="540">
                  <c:v>115.937206706994</c:v>
                </c:pt>
                <c:pt idx="541">
                  <c:v>115.937448958648</c:v>
                </c:pt>
                <c:pt idx="542">
                  <c:v>115.93769120647</c:v>
                </c:pt>
                <c:pt idx="543">
                  <c:v>115.93793345046</c:v>
                </c:pt>
                <c:pt idx="544">
                  <c:v>115.938175690617</c:v>
                </c:pt>
                <c:pt idx="545">
                  <c:v>115.938417926943</c:v>
                </c:pt>
                <c:pt idx="546">
                  <c:v>115.938660159436</c:v>
                </c:pt>
                <c:pt idx="547">
                  <c:v>115.938902388098</c:v>
                </c:pt>
                <c:pt idx="548">
                  <c:v>115.939144612928</c:v>
                </c:pt>
                <c:pt idx="549">
                  <c:v>115.939386833925</c:v>
                </c:pt>
                <c:pt idx="550">
                  <c:v>115.939629051091</c:v>
                </c:pt>
                <c:pt idx="551">
                  <c:v>115.939871264425</c:v>
                </c:pt>
                <c:pt idx="552">
                  <c:v>115.940113473927</c:v>
                </c:pt>
                <c:pt idx="553">
                  <c:v>115.940355679597</c:v>
                </c:pt>
                <c:pt idx="554">
                  <c:v>115.940597881435</c:v>
                </c:pt>
                <c:pt idx="555">
                  <c:v>115.940840079442</c:v>
                </c:pt>
                <c:pt idx="556">
                  <c:v>115.941082273617</c:v>
                </c:pt>
                <c:pt idx="557">
                  <c:v>115.94132446396</c:v>
                </c:pt>
                <c:pt idx="558">
                  <c:v>115.941566650472</c:v>
                </c:pt>
                <c:pt idx="559">
                  <c:v>115.941808833152</c:v>
                </c:pt>
                <c:pt idx="560">
                  <c:v>115.942051012</c:v>
                </c:pt>
                <c:pt idx="561">
                  <c:v>115.942293187017</c:v>
                </c:pt>
                <c:pt idx="562">
                  <c:v>115.942535358202</c:v>
                </c:pt>
                <c:pt idx="563">
                  <c:v>115.942777525556</c:v>
                </c:pt>
                <c:pt idx="564">
                  <c:v>115.943019689078</c:v>
                </c:pt>
                <c:pt idx="565">
                  <c:v>115.943261848769</c:v>
                </c:pt>
                <c:pt idx="566">
                  <c:v>115.943504004628</c:v>
                </c:pt>
                <c:pt idx="567">
                  <c:v>115.943746156657</c:v>
                </c:pt>
                <c:pt idx="568">
                  <c:v>115.943988304853</c:v>
                </c:pt>
                <c:pt idx="569">
                  <c:v>115.944230449219</c:v>
                </c:pt>
                <c:pt idx="570">
                  <c:v>115.944472589753</c:v>
                </c:pt>
                <c:pt idx="571">
                  <c:v>115.944714726456</c:v>
                </c:pt>
                <c:pt idx="572">
                  <c:v>115.944956859327</c:v>
                </c:pt>
                <c:pt idx="573">
                  <c:v>115.945198988368</c:v>
                </c:pt>
                <c:pt idx="574">
                  <c:v>115.945441113577</c:v>
                </c:pt>
                <c:pt idx="575">
                  <c:v>115.945683234955</c:v>
                </c:pt>
                <c:pt idx="576">
                  <c:v>115.945925352502</c:v>
                </c:pt>
                <c:pt idx="577">
                  <c:v>115.946167466218</c:v>
                </c:pt>
                <c:pt idx="578">
                  <c:v>115.946409576103</c:v>
                </c:pt>
                <c:pt idx="579">
                  <c:v>115.946651682157</c:v>
                </c:pt>
                <c:pt idx="580">
                  <c:v>115.946893784379</c:v>
                </c:pt>
                <c:pt idx="581">
                  <c:v>115.947135882771</c:v>
                </c:pt>
                <c:pt idx="582">
                  <c:v>115.947377977332</c:v>
                </c:pt>
                <c:pt idx="583">
                  <c:v>115.947620068063</c:v>
                </c:pt>
                <c:pt idx="584">
                  <c:v>115.947862154962</c:v>
                </c:pt>
                <c:pt idx="585">
                  <c:v>115.94810423803</c:v>
                </c:pt>
                <c:pt idx="586">
                  <c:v>115.948346317268</c:v>
                </c:pt>
                <c:pt idx="587">
                  <c:v>115.948588392675</c:v>
                </c:pt>
                <c:pt idx="588">
                  <c:v>115.948830464251</c:v>
                </c:pt>
                <c:pt idx="589">
                  <c:v>115.949072531996</c:v>
                </c:pt>
                <c:pt idx="590">
                  <c:v>115.949314595911</c:v>
                </c:pt>
                <c:pt idx="591">
                  <c:v>115.949556655995</c:v>
                </c:pt>
                <c:pt idx="592">
                  <c:v>115.949798712249</c:v>
                </c:pt>
                <c:pt idx="593">
                  <c:v>115.950040764672</c:v>
                </c:pt>
                <c:pt idx="594">
                  <c:v>115.950282813264</c:v>
                </c:pt>
                <c:pt idx="595">
                  <c:v>115.950524858026</c:v>
                </c:pt>
                <c:pt idx="596">
                  <c:v>115.950766898957</c:v>
                </c:pt>
                <c:pt idx="597">
                  <c:v>115.951008936058</c:v>
                </c:pt>
                <c:pt idx="598">
                  <c:v>115.951250969328</c:v>
                </c:pt>
                <c:pt idx="599">
                  <c:v>115.951492998768</c:v>
                </c:pt>
                <c:pt idx="600">
                  <c:v>115.951735024378</c:v>
                </c:pt>
                <c:pt idx="601">
                  <c:v>115.951977046157</c:v>
                </c:pt>
                <c:pt idx="602">
                  <c:v>115.952219064106</c:v>
                </c:pt>
                <c:pt idx="603">
                  <c:v>115.952461078225</c:v>
                </c:pt>
                <c:pt idx="604">
                  <c:v>115.952703088514</c:v>
                </c:pt>
                <c:pt idx="605">
                  <c:v>115.952945094972</c:v>
                </c:pt>
                <c:pt idx="606">
                  <c:v>115.9531870976</c:v>
                </c:pt>
                <c:pt idx="607">
                  <c:v>115.953429096398</c:v>
                </c:pt>
                <c:pt idx="608">
                  <c:v>115.953671091366</c:v>
                </c:pt>
                <c:pt idx="609">
                  <c:v>115.953913082504</c:v>
                </c:pt>
                <c:pt idx="610">
                  <c:v>115.954155069811</c:v>
                </c:pt>
                <c:pt idx="611">
                  <c:v>115.954397053289</c:v>
                </c:pt>
                <c:pt idx="612">
                  <c:v>115.954639032937</c:v>
                </c:pt>
                <c:pt idx="613">
                  <c:v>115.954881008754</c:v>
                </c:pt>
                <c:pt idx="614">
                  <c:v>115.955122980742</c:v>
                </c:pt>
                <c:pt idx="615">
                  <c:v>115.9553649489</c:v>
                </c:pt>
                <c:pt idx="616">
                  <c:v>115.955606913228</c:v>
                </c:pt>
                <c:pt idx="617">
                  <c:v>115.955848873726</c:v>
                </c:pt>
                <c:pt idx="618">
                  <c:v>115.956090830394</c:v>
                </c:pt>
                <c:pt idx="619">
                  <c:v>115.956332783233</c:v>
                </c:pt>
                <c:pt idx="620">
                  <c:v>115.956574732241</c:v>
                </c:pt>
                <c:pt idx="621">
                  <c:v>115.95681667742</c:v>
                </c:pt>
                <c:pt idx="622">
                  <c:v>115.95705861877</c:v>
                </c:pt>
                <c:pt idx="623">
                  <c:v>115.957300556289</c:v>
                </c:pt>
                <c:pt idx="624">
                  <c:v>115.957542489979</c:v>
                </c:pt>
                <c:pt idx="625">
                  <c:v>115.95778441984</c:v>
                </c:pt>
                <c:pt idx="626">
                  <c:v>115.958026345871</c:v>
                </c:pt>
                <c:pt idx="627">
                  <c:v>115.958268268072</c:v>
                </c:pt>
                <c:pt idx="628">
                  <c:v>115.958510186444</c:v>
                </c:pt>
                <c:pt idx="629">
                  <c:v>115.958752100986</c:v>
                </c:pt>
                <c:pt idx="630">
                  <c:v>115.958994011699</c:v>
                </c:pt>
                <c:pt idx="631">
                  <c:v>115.959235918582</c:v>
                </c:pt>
                <c:pt idx="632">
                  <c:v>115.959477821636</c:v>
                </c:pt>
                <c:pt idx="633">
                  <c:v>115.959719720861</c:v>
                </c:pt>
                <c:pt idx="634">
                  <c:v>115.959961616256</c:v>
                </c:pt>
                <c:pt idx="635">
                  <c:v>115.960203507822</c:v>
                </c:pt>
                <c:pt idx="636">
                  <c:v>115.960445395559</c:v>
                </c:pt>
                <c:pt idx="637">
                  <c:v>115.960687279467</c:v>
                </c:pt>
                <c:pt idx="638">
                  <c:v>115.960929159545</c:v>
                </c:pt>
                <c:pt idx="639">
                  <c:v>115.961171035794</c:v>
                </c:pt>
                <c:pt idx="640">
                  <c:v>115.961412908215</c:v>
                </c:pt>
                <c:pt idx="641">
                  <c:v>115.961654776805</c:v>
                </c:pt>
                <c:pt idx="642">
                  <c:v>115.961896641567</c:v>
                </c:pt>
                <c:pt idx="643">
                  <c:v>115.9621385025</c:v>
                </c:pt>
                <c:pt idx="644">
                  <c:v>115.962380359604</c:v>
                </c:pt>
                <c:pt idx="645">
                  <c:v>115.962622212879</c:v>
                </c:pt>
                <c:pt idx="646">
                  <c:v>115.962864062325</c:v>
                </c:pt>
                <c:pt idx="647">
                  <c:v>115.963105907942</c:v>
                </c:pt>
                <c:pt idx="648">
                  <c:v>115.96334774973</c:v>
                </c:pt>
                <c:pt idx="649">
                  <c:v>115.963589587689</c:v>
                </c:pt>
                <c:pt idx="650">
                  <c:v>115.963831421819</c:v>
                </c:pt>
                <c:pt idx="651">
                  <c:v>115.964073252121</c:v>
                </c:pt>
                <c:pt idx="652">
                  <c:v>115.964315078593</c:v>
                </c:pt>
                <c:pt idx="653">
                  <c:v>115.964556901237</c:v>
                </c:pt>
                <c:pt idx="654">
                  <c:v>115.964798720053</c:v>
                </c:pt>
                <c:pt idx="655">
                  <c:v>115.965040535039</c:v>
                </c:pt>
                <c:pt idx="656">
                  <c:v>115.965282346197</c:v>
                </c:pt>
                <c:pt idx="657">
                  <c:v>115.965524153527</c:v>
                </c:pt>
                <c:pt idx="658">
                  <c:v>115.965765957027</c:v>
                </c:pt>
                <c:pt idx="659">
                  <c:v>115.9660077567</c:v>
                </c:pt>
                <c:pt idx="660">
                  <c:v>115.966249552543</c:v>
                </c:pt>
                <c:pt idx="661">
                  <c:v>115.966491344558</c:v>
                </c:pt>
                <c:pt idx="662">
                  <c:v>115.966733132745</c:v>
                </c:pt>
                <c:pt idx="663">
                  <c:v>115.966974917103</c:v>
                </c:pt>
                <c:pt idx="664">
                  <c:v>115.967216697633</c:v>
                </c:pt>
                <c:pt idx="665">
                  <c:v>115.967458474335</c:v>
                </c:pt>
                <c:pt idx="666">
                  <c:v>115.967700247208</c:v>
                </c:pt>
                <c:pt idx="667">
                  <c:v>115.967942016253</c:v>
                </c:pt>
                <c:pt idx="668">
                  <c:v>115.968183781469</c:v>
                </c:pt>
                <c:pt idx="669">
                  <c:v>115.968425542857</c:v>
                </c:pt>
                <c:pt idx="670">
                  <c:v>115.968667300417</c:v>
                </c:pt>
                <c:pt idx="671">
                  <c:v>115.968909054149</c:v>
                </c:pt>
                <c:pt idx="672">
                  <c:v>115.969150804053</c:v>
                </c:pt>
                <c:pt idx="673">
                  <c:v>115.969392550129</c:v>
                </c:pt>
                <c:pt idx="674">
                  <c:v>115.969634292376</c:v>
                </c:pt>
                <c:pt idx="675">
                  <c:v>115.969876030796</c:v>
                </c:pt>
                <c:pt idx="676">
                  <c:v>115.970117765387</c:v>
                </c:pt>
                <c:pt idx="677">
                  <c:v>115.97035949615</c:v>
                </c:pt>
                <c:pt idx="678">
                  <c:v>115.970601223086</c:v>
                </c:pt>
                <c:pt idx="679">
                  <c:v>115.970842946193</c:v>
                </c:pt>
                <c:pt idx="680">
                  <c:v>115.971084665473</c:v>
                </c:pt>
                <c:pt idx="681">
                  <c:v>115.971326380924</c:v>
                </c:pt>
                <c:pt idx="682">
                  <c:v>115.971568092548</c:v>
                </c:pt>
                <c:pt idx="683">
                  <c:v>115.971809800344</c:v>
                </c:pt>
                <c:pt idx="684">
                  <c:v>115.972051504312</c:v>
                </c:pt>
                <c:pt idx="685">
                  <c:v>115.972293204453</c:v>
                </c:pt>
                <c:pt idx="686">
                  <c:v>115.972534900765</c:v>
                </c:pt>
                <c:pt idx="687">
                  <c:v>115.97277659325</c:v>
                </c:pt>
                <c:pt idx="688">
                  <c:v>115.973018281908</c:v>
                </c:pt>
                <c:pt idx="689">
                  <c:v>115.973259966737</c:v>
                </c:pt>
                <c:pt idx="690">
                  <c:v>115.97350164774</c:v>
                </c:pt>
                <c:pt idx="691">
                  <c:v>115.973743324914</c:v>
                </c:pt>
                <c:pt idx="692">
                  <c:v>115.973984998261</c:v>
                </c:pt>
                <c:pt idx="693">
                  <c:v>115.97422666778</c:v>
                </c:pt>
                <c:pt idx="694">
                  <c:v>115.974468333472</c:v>
                </c:pt>
                <c:pt idx="695">
                  <c:v>115.974709995337</c:v>
                </c:pt>
                <c:pt idx="696">
                  <c:v>115.974951653374</c:v>
                </c:pt>
                <c:pt idx="697">
                  <c:v>115.975193307584</c:v>
                </c:pt>
                <c:pt idx="698">
                  <c:v>115.975434957966</c:v>
                </c:pt>
                <c:pt idx="699">
                  <c:v>115.975676604521</c:v>
                </c:pt>
                <c:pt idx="700">
                  <c:v>115.975918247249</c:v>
                </c:pt>
                <c:pt idx="701">
                  <c:v>115.976159886149</c:v>
                </c:pt>
                <c:pt idx="702">
                  <c:v>115.976401521222</c:v>
                </c:pt>
                <c:pt idx="703">
                  <c:v>115.976643152468</c:v>
                </c:pt>
                <c:pt idx="704">
                  <c:v>115.976884779887</c:v>
                </c:pt>
                <c:pt idx="705">
                  <c:v>115.977126403479</c:v>
                </c:pt>
                <c:pt idx="706">
                  <c:v>115.977368023243</c:v>
                </c:pt>
                <c:pt idx="707">
                  <c:v>115.97760963918</c:v>
                </c:pt>
                <c:pt idx="708">
                  <c:v>115.977851251291</c:v>
                </c:pt>
                <c:pt idx="709">
                  <c:v>115.978092859574</c:v>
                </c:pt>
                <c:pt idx="710">
                  <c:v>115.978334464031</c:v>
                </c:pt>
                <c:pt idx="711">
                  <c:v>115.97857606466</c:v>
                </c:pt>
                <c:pt idx="712">
                  <c:v>115.978817661462</c:v>
                </c:pt>
                <c:pt idx="713">
                  <c:v>115.979059254438</c:v>
                </c:pt>
                <c:pt idx="714">
                  <c:v>115.979300843587</c:v>
                </c:pt>
                <c:pt idx="715">
                  <c:v>115.979542428908</c:v>
                </c:pt>
                <c:pt idx="716">
                  <c:v>115.979784010403</c:v>
                </c:pt>
                <c:pt idx="717">
                  <c:v>115.980025588072</c:v>
                </c:pt>
                <c:pt idx="718">
                  <c:v>115.980267161913</c:v>
                </c:pt>
                <c:pt idx="719">
                  <c:v>115.980508731928</c:v>
                </c:pt>
                <c:pt idx="720">
                  <c:v>115.980750298116</c:v>
                </c:pt>
                <c:pt idx="721">
                  <c:v>115.980991860478</c:v>
                </c:pt>
                <c:pt idx="722">
                  <c:v>115.981233419012</c:v>
                </c:pt>
                <c:pt idx="723">
                  <c:v>115.981474973721</c:v>
                </c:pt>
                <c:pt idx="724">
                  <c:v>115.981716524602</c:v>
                </c:pt>
                <c:pt idx="725">
                  <c:v>115.981958071657</c:v>
                </c:pt>
                <c:pt idx="726">
                  <c:v>115.982199614886</c:v>
                </c:pt>
                <c:pt idx="727">
                  <c:v>115.982441154288</c:v>
                </c:pt>
                <c:pt idx="728">
                  <c:v>115.982682689864</c:v>
                </c:pt>
                <c:pt idx="729">
                  <c:v>115.982924221613</c:v>
                </c:pt>
                <c:pt idx="730">
                  <c:v>115.983165749536</c:v>
                </c:pt>
                <c:pt idx="731">
                  <c:v>115.983407273633</c:v>
                </c:pt>
                <c:pt idx="732">
                  <c:v>115.983648793903</c:v>
                </c:pt>
                <c:pt idx="733">
                  <c:v>115.983890310347</c:v>
                </c:pt>
                <c:pt idx="734">
                  <c:v>115.984131822965</c:v>
                </c:pt>
                <c:pt idx="735">
                  <c:v>115.984373331756</c:v>
                </c:pt>
                <c:pt idx="736">
                  <c:v>115.984614836721</c:v>
                </c:pt>
                <c:pt idx="737">
                  <c:v>115.98485633786</c:v>
                </c:pt>
                <c:pt idx="738">
                  <c:v>115.985097835173</c:v>
                </c:pt>
                <c:pt idx="739">
                  <c:v>115.98533932866</c:v>
                </c:pt>
                <c:pt idx="740">
                  <c:v>115.985580818321</c:v>
                </c:pt>
                <c:pt idx="741">
                  <c:v>115.985822304156</c:v>
                </c:pt>
                <c:pt idx="742">
                  <c:v>115.986063786164</c:v>
                </c:pt>
                <c:pt idx="743">
                  <c:v>115.986305264347</c:v>
                </c:pt>
                <c:pt idx="744">
                  <c:v>115.986546738704</c:v>
                </c:pt>
                <c:pt idx="745">
                  <c:v>115.986788209235</c:v>
                </c:pt>
                <c:pt idx="746">
                  <c:v>115.98702967594</c:v>
                </c:pt>
                <c:pt idx="747">
                  <c:v>115.987271138819</c:v>
                </c:pt>
                <c:pt idx="748">
                  <c:v>115.987512597872</c:v>
                </c:pt>
                <c:pt idx="749">
                  <c:v>115.9877540531</c:v>
                </c:pt>
                <c:pt idx="750">
                  <c:v>115.987995504502</c:v>
                </c:pt>
                <c:pt idx="751">
                  <c:v>115.988236952078</c:v>
                </c:pt>
                <c:pt idx="752">
                  <c:v>115.988478395828</c:v>
                </c:pt>
                <c:pt idx="753">
                  <c:v>115.988719835753</c:v>
                </c:pt>
                <c:pt idx="754">
                  <c:v>115.988961271851</c:v>
                </c:pt>
                <c:pt idx="755">
                  <c:v>115.989202704125</c:v>
                </c:pt>
                <c:pt idx="756">
                  <c:v>115.989444132573</c:v>
                </c:pt>
                <c:pt idx="757">
                  <c:v>115.989685557195</c:v>
                </c:pt>
                <c:pt idx="758">
                  <c:v>115.989926977992</c:v>
                </c:pt>
                <c:pt idx="759">
                  <c:v>115.990168394963</c:v>
                </c:pt>
                <c:pt idx="760">
                  <c:v>115.990409808109</c:v>
                </c:pt>
                <c:pt idx="761">
                  <c:v>115.990651217429</c:v>
                </c:pt>
                <c:pt idx="762">
                  <c:v>115.990892622924</c:v>
                </c:pt>
                <c:pt idx="763">
                  <c:v>115.991134024593</c:v>
                </c:pt>
                <c:pt idx="764">
                  <c:v>115.991375422438</c:v>
                </c:pt>
                <c:pt idx="765">
                  <c:v>115.991616816457</c:v>
                </c:pt>
                <c:pt idx="766">
                  <c:v>115.99185820665</c:v>
                </c:pt>
                <c:pt idx="767">
                  <c:v>115.992099593019</c:v>
                </c:pt>
                <c:pt idx="768">
                  <c:v>115.992340975562</c:v>
                </c:pt>
                <c:pt idx="769">
                  <c:v>115.99258235428</c:v>
                </c:pt>
                <c:pt idx="770">
                  <c:v>115.992823729173</c:v>
                </c:pt>
                <c:pt idx="771">
                  <c:v>115.99306510024</c:v>
                </c:pt>
                <c:pt idx="772">
                  <c:v>115.993306467483</c:v>
                </c:pt>
                <c:pt idx="773">
                  <c:v>115.993547830901</c:v>
                </c:pt>
                <c:pt idx="774">
                  <c:v>115.993789190493</c:v>
                </c:pt>
                <c:pt idx="775">
                  <c:v>115.994030546261</c:v>
                </c:pt>
                <c:pt idx="776">
                  <c:v>115.994271898203</c:v>
                </c:pt>
                <c:pt idx="777">
                  <c:v>115.994513246321</c:v>
                </c:pt>
                <c:pt idx="778">
                  <c:v>115.994754590614</c:v>
                </c:pt>
                <c:pt idx="779">
                  <c:v>115.994995931081</c:v>
                </c:pt>
                <c:pt idx="780">
                  <c:v>115.995237267724</c:v>
                </c:pt>
                <c:pt idx="781">
                  <c:v>115.995478600543</c:v>
                </c:pt>
                <c:pt idx="782">
                  <c:v>115.995719929536</c:v>
                </c:pt>
                <c:pt idx="783">
                  <c:v>115.995961254705</c:v>
                </c:pt>
                <c:pt idx="784">
                  <c:v>115.996202576049</c:v>
                </c:pt>
                <c:pt idx="785">
                  <c:v>115.996443893568</c:v>
                </c:pt>
                <c:pt idx="786">
                  <c:v>115.996685207262</c:v>
                </c:pt>
                <c:pt idx="787">
                  <c:v>115.996926517132</c:v>
                </c:pt>
                <c:pt idx="788">
                  <c:v>115.997167823178</c:v>
                </c:pt>
                <c:pt idx="789">
                  <c:v>115.997409125398</c:v>
                </c:pt>
                <c:pt idx="790">
                  <c:v>115.997650423795</c:v>
                </c:pt>
                <c:pt idx="791">
                  <c:v>115.997891718366</c:v>
                </c:pt>
                <c:pt idx="792">
                  <c:v>115.998133009114</c:v>
                </c:pt>
                <c:pt idx="793">
                  <c:v>115.998374296036</c:v>
                </c:pt>
                <c:pt idx="794">
                  <c:v>115.998615579135</c:v>
                </c:pt>
                <c:pt idx="795">
                  <c:v>115.998856858409</c:v>
                </c:pt>
                <c:pt idx="796">
                  <c:v>115.999098133858</c:v>
                </c:pt>
                <c:pt idx="797">
                  <c:v>115.999339405484</c:v>
                </c:pt>
                <c:pt idx="798">
                  <c:v>115.999580673285</c:v>
                </c:pt>
                <c:pt idx="799">
                  <c:v>115.999821937261</c:v>
                </c:pt>
                <c:pt idx="800">
                  <c:v>116.000063197414</c:v>
                </c:pt>
                <c:pt idx="801">
                  <c:v>116.000304453742</c:v>
                </c:pt>
                <c:pt idx="802">
                  <c:v>116.000545706246</c:v>
                </c:pt>
                <c:pt idx="803">
                  <c:v>116.000786954926</c:v>
                </c:pt>
                <c:pt idx="804">
                  <c:v>116.001028199782</c:v>
                </c:pt>
                <c:pt idx="805">
                  <c:v>116.001269440814</c:v>
                </c:pt>
                <c:pt idx="806">
                  <c:v>116.001510678022</c:v>
                </c:pt>
                <c:pt idx="807">
                  <c:v>116.001751911406</c:v>
                </c:pt>
                <c:pt idx="808">
                  <c:v>116.001993140965</c:v>
                </c:pt>
                <c:pt idx="809">
                  <c:v>116.002234366701</c:v>
                </c:pt>
                <c:pt idx="810">
                  <c:v>116.002475588613</c:v>
                </c:pt>
                <c:pt idx="811">
                  <c:v>116.002716806701</c:v>
                </c:pt>
                <c:pt idx="812">
                  <c:v>116.002958020965</c:v>
                </c:pt>
                <c:pt idx="813">
                  <c:v>116.003199231405</c:v>
                </c:pt>
                <c:pt idx="814">
                  <c:v>116.003440438022</c:v>
                </c:pt>
                <c:pt idx="815">
                  <c:v>116.003681640815</c:v>
                </c:pt>
                <c:pt idx="816">
                  <c:v>116.003922839784</c:v>
                </c:pt>
                <c:pt idx="817">
                  <c:v>116.004164034929</c:v>
                </c:pt>
                <c:pt idx="818">
                  <c:v>116.00440522625</c:v>
                </c:pt>
                <c:pt idx="819">
                  <c:v>116.004646413748</c:v>
                </c:pt>
                <c:pt idx="820">
                  <c:v>116.004887597423</c:v>
                </c:pt>
                <c:pt idx="821">
                  <c:v>116.005128777273</c:v>
                </c:pt>
                <c:pt idx="822">
                  <c:v>116.005369953301</c:v>
                </c:pt>
                <c:pt idx="823">
                  <c:v>116.005611125504</c:v>
                </c:pt>
                <c:pt idx="824">
                  <c:v>116.005852293884</c:v>
                </c:pt>
                <c:pt idx="825">
                  <c:v>116.006093458441</c:v>
                </c:pt>
                <c:pt idx="826">
                  <c:v>116.006334619174</c:v>
                </c:pt>
                <c:pt idx="827">
                  <c:v>116.006575776084</c:v>
                </c:pt>
                <c:pt idx="828">
                  <c:v>116.006816929171</c:v>
                </c:pt>
                <c:pt idx="829">
                  <c:v>116.007058078434</c:v>
                </c:pt>
                <c:pt idx="830">
                  <c:v>116.007299223874</c:v>
                </c:pt>
                <c:pt idx="831">
                  <c:v>116.00754036549</c:v>
                </c:pt>
                <c:pt idx="832">
                  <c:v>116.007781503283</c:v>
                </c:pt>
                <c:pt idx="833">
                  <c:v>116.008022637253</c:v>
                </c:pt>
                <c:pt idx="834">
                  <c:v>116.0082637674</c:v>
                </c:pt>
                <c:pt idx="835">
                  <c:v>116.008504893724</c:v>
                </c:pt>
                <c:pt idx="836">
                  <c:v>116.008746016225</c:v>
                </c:pt>
                <c:pt idx="837">
                  <c:v>116.008987134902</c:v>
                </c:pt>
                <c:pt idx="838">
                  <c:v>116.009228249757</c:v>
                </c:pt>
                <c:pt idx="839">
                  <c:v>116.009469360788</c:v>
                </c:pt>
                <c:pt idx="840">
                  <c:v>116.009710467996</c:v>
                </c:pt>
                <c:pt idx="841">
                  <c:v>116.009951571382</c:v>
                </c:pt>
                <c:pt idx="842">
                  <c:v>116.010192670944</c:v>
                </c:pt>
                <c:pt idx="843">
                  <c:v>116.010433766684</c:v>
                </c:pt>
                <c:pt idx="844">
                  <c:v>116.0106748586</c:v>
                </c:pt>
                <c:pt idx="845">
                  <c:v>116.010915946694</c:v>
                </c:pt>
                <c:pt idx="846">
                  <c:v>116.011157030965</c:v>
                </c:pt>
                <c:pt idx="847">
                  <c:v>116.011398111414</c:v>
                </c:pt>
                <c:pt idx="848">
                  <c:v>116.011639188039</c:v>
                </c:pt>
                <c:pt idx="849">
                  <c:v>116.011880260842</c:v>
                </c:pt>
                <c:pt idx="850">
                  <c:v>116.012121329822</c:v>
                </c:pt>
                <c:pt idx="851">
                  <c:v>116.012362394979</c:v>
                </c:pt>
                <c:pt idx="852">
                  <c:v>116.012603456314</c:v>
                </c:pt>
                <c:pt idx="853">
                  <c:v>116.012844513826</c:v>
                </c:pt>
                <c:pt idx="854">
                  <c:v>116.013085567515</c:v>
                </c:pt>
                <c:pt idx="855">
                  <c:v>116.013326617382</c:v>
                </c:pt>
                <c:pt idx="856">
                  <c:v>116.013567663427</c:v>
                </c:pt>
                <c:pt idx="857">
                  <c:v>116.013808705649</c:v>
                </c:pt>
                <c:pt idx="858">
                  <c:v>116.014049744049</c:v>
                </c:pt>
                <c:pt idx="859">
                  <c:v>116.014290778626</c:v>
                </c:pt>
                <c:pt idx="860">
                  <c:v>116.01453180938</c:v>
                </c:pt>
                <c:pt idx="861">
                  <c:v>116.014772836313</c:v>
                </c:pt>
                <c:pt idx="862">
                  <c:v>116.015013859423</c:v>
                </c:pt>
                <c:pt idx="863">
                  <c:v>116.015254878711</c:v>
                </c:pt>
                <c:pt idx="864">
                  <c:v>116.015495894176</c:v>
                </c:pt>
                <c:pt idx="865">
                  <c:v>116.015736905819</c:v>
                </c:pt>
                <c:pt idx="866">
                  <c:v>116.01597791364</c:v>
                </c:pt>
                <c:pt idx="867">
                  <c:v>116.016218917639</c:v>
                </c:pt>
                <c:pt idx="868">
                  <c:v>116.016459917816</c:v>
                </c:pt>
                <c:pt idx="869">
                  <c:v>116.01670091417</c:v>
                </c:pt>
                <c:pt idx="870">
                  <c:v>116.016941906703</c:v>
                </c:pt>
                <c:pt idx="871">
                  <c:v>116.017182895413</c:v>
                </c:pt>
                <c:pt idx="872">
                  <c:v>116.017423880302</c:v>
                </c:pt>
                <c:pt idx="873">
                  <c:v>116.017664861368</c:v>
                </c:pt>
                <c:pt idx="874">
                  <c:v>116.017905838613</c:v>
                </c:pt>
                <c:pt idx="875">
                  <c:v>116.018146812035</c:v>
                </c:pt>
                <c:pt idx="876">
                  <c:v>116.018387781636</c:v>
                </c:pt>
                <c:pt idx="877">
                  <c:v>116.018628747415</c:v>
                </c:pt>
                <c:pt idx="878">
                  <c:v>116.018869709372</c:v>
                </c:pt>
                <c:pt idx="879">
                  <c:v>116.019110667507</c:v>
                </c:pt>
                <c:pt idx="880">
                  <c:v>116.01935162182</c:v>
                </c:pt>
                <c:pt idx="881">
                  <c:v>116.019592572312</c:v>
                </c:pt>
                <c:pt idx="882">
                  <c:v>116.019833518982</c:v>
                </c:pt>
                <c:pt idx="883">
                  <c:v>116.02007446183</c:v>
                </c:pt>
                <c:pt idx="884">
                  <c:v>116.020315400857</c:v>
                </c:pt>
                <c:pt idx="885">
                  <c:v>116.020556336062</c:v>
                </c:pt>
                <c:pt idx="886">
                  <c:v>116.020797267445</c:v>
                </c:pt>
                <c:pt idx="887">
                  <c:v>116.021038195007</c:v>
                </c:pt>
                <c:pt idx="888">
                  <c:v>116.021279118747</c:v>
                </c:pt>
                <c:pt idx="889">
                  <c:v>116.021520038666</c:v>
                </c:pt>
                <c:pt idx="890">
                  <c:v>116.021760954763</c:v>
                </c:pt>
                <c:pt idx="891">
                  <c:v>116.022001867039</c:v>
                </c:pt>
                <c:pt idx="892">
                  <c:v>116.022242775493</c:v>
                </c:pt>
                <c:pt idx="893">
                  <c:v>116.022483680126</c:v>
                </c:pt>
                <c:pt idx="894">
                  <c:v>116.022724580938</c:v>
                </c:pt>
                <c:pt idx="895">
                  <c:v>116.022965477928</c:v>
                </c:pt>
                <c:pt idx="896">
                  <c:v>116.023206371098</c:v>
                </c:pt>
                <c:pt idx="897">
                  <c:v>116.023447260445</c:v>
                </c:pt>
                <c:pt idx="898">
                  <c:v>116.023688145972</c:v>
                </c:pt>
                <c:pt idx="899">
                  <c:v>116.023929027677</c:v>
                </c:pt>
                <c:pt idx="900">
                  <c:v>116.024169905562</c:v>
                </c:pt>
                <c:pt idx="901">
                  <c:v>116.024410779625</c:v>
                </c:pt>
                <c:pt idx="902">
                  <c:v>116.024651649867</c:v>
                </c:pt>
                <c:pt idx="903">
                  <c:v>116.024892516288</c:v>
                </c:pt>
                <c:pt idx="904">
                  <c:v>116.025133378888</c:v>
                </c:pt>
                <c:pt idx="905">
                  <c:v>116.025374237667</c:v>
                </c:pt>
                <c:pt idx="906">
                  <c:v>116.025615092625</c:v>
                </c:pt>
                <c:pt idx="907">
                  <c:v>116.025855943762</c:v>
                </c:pt>
                <c:pt idx="908">
                  <c:v>116.026096791078</c:v>
                </c:pt>
                <c:pt idx="909">
                  <c:v>116.026337634573</c:v>
                </c:pt>
                <c:pt idx="910">
                  <c:v>116.026578474247</c:v>
                </c:pt>
                <c:pt idx="911">
                  <c:v>116.026819310101</c:v>
                </c:pt>
                <c:pt idx="912">
                  <c:v>116.027060142134</c:v>
                </c:pt>
                <c:pt idx="913">
                  <c:v>116.027300970345</c:v>
                </c:pt>
                <c:pt idx="914">
                  <c:v>116.027541794737</c:v>
                </c:pt>
                <c:pt idx="915">
                  <c:v>116.027782615307</c:v>
                </c:pt>
                <c:pt idx="916">
                  <c:v>116.028023432057</c:v>
                </c:pt>
                <c:pt idx="917">
                  <c:v>116.028264244986</c:v>
                </c:pt>
                <c:pt idx="918">
                  <c:v>116.028505054095</c:v>
                </c:pt>
                <c:pt idx="919">
                  <c:v>116.028745859383</c:v>
                </c:pt>
                <c:pt idx="920">
                  <c:v>116.02898666085</c:v>
                </c:pt>
                <c:pt idx="921">
                  <c:v>116.029227458497</c:v>
                </c:pt>
                <c:pt idx="922">
                  <c:v>116.029468252324</c:v>
                </c:pt>
                <c:pt idx="923">
                  <c:v>116.02970904233</c:v>
                </c:pt>
                <c:pt idx="924">
                  <c:v>116.029949828515</c:v>
                </c:pt>
                <c:pt idx="925">
                  <c:v>116.03019061088</c:v>
                </c:pt>
                <c:pt idx="926">
                  <c:v>116.030431389425</c:v>
                </c:pt>
                <c:pt idx="927">
                  <c:v>116.03067216415</c:v>
                </c:pt>
                <c:pt idx="928">
                  <c:v>116.030912935054</c:v>
                </c:pt>
                <c:pt idx="929">
                  <c:v>116.031153702138</c:v>
                </c:pt>
                <c:pt idx="930">
                  <c:v>116.031394465401</c:v>
                </c:pt>
                <c:pt idx="931">
                  <c:v>116.031635224845</c:v>
                </c:pt>
                <c:pt idx="932">
                  <c:v>116.031875980468</c:v>
                </c:pt>
                <c:pt idx="933">
                  <c:v>116.032116732271</c:v>
                </c:pt>
                <c:pt idx="934">
                  <c:v>116.032357480254</c:v>
                </c:pt>
                <c:pt idx="935">
                  <c:v>116.032598224417</c:v>
                </c:pt>
                <c:pt idx="936">
                  <c:v>116.03283896476</c:v>
                </c:pt>
                <c:pt idx="937">
                  <c:v>116.033079701283</c:v>
                </c:pt>
                <c:pt idx="938">
                  <c:v>116.033320433986</c:v>
                </c:pt>
                <c:pt idx="939">
                  <c:v>116.033561162869</c:v>
                </c:pt>
                <c:pt idx="940">
                  <c:v>116.033801887932</c:v>
                </c:pt>
                <c:pt idx="941">
                  <c:v>116.034042609175</c:v>
                </c:pt>
                <c:pt idx="942">
                  <c:v>116.034283326598</c:v>
                </c:pt>
                <c:pt idx="943">
                  <c:v>116.034524040201</c:v>
                </c:pt>
                <c:pt idx="944">
                  <c:v>116.034764749984</c:v>
                </c:pt>
                <c:pt idx="945">
                  <c:v>116.035005455948</c:v>
                </c:pt>
                <c:pt idx="946">
                  <c:v>116.035246158092</c:v>
                </c:pt>
                <c:pt idx="947">
                  <c:v>116.035486856416</c:v>
                </c:pt>
                <c:pt idx="948">
                  <c:v>116.035727550921</c:v>
                </c:pt>
                <c:pt idx="949">
                  <c:v>116.035968241606</c:v>
                </c:pt>
                <c:pt idx="950">
                  <c:v>116.036208928471</c:v>
                </c:pt>
                <c:pt idx="951">
                  <c:v>116.036449611517</c:v>
                </c:pt>
                <c:pt idx="952">
                  <c:v>116.036690290743</c:v>
                </c:pt>
                <c:pt idx="953">
                  <c:v>116.03693096615</c:v>
                </c:pt>
                <c:pt idx="954">
                  <c:v>116.037171637737</c:v>
                </c:pt>
                <c:pt idx="955">
                  <c:v>116.037412305504</c:v>
                </c:pt>
                <c:pt idx="956">
                  <c:v>116.037652969452</c:v>
                </c:pt>
                <c:pt idx="957">
                  <c:v>116.037893629581</c:v>
                </c:pt>
                <c:pt idx="958">
                  <c:v>116.03813428589</c:v>
                </c:pt>
                <c:pt idx="959">
                  <c:v>116.03837493838</c:v>
                </c:pt>
                <c:pt idx="960">
                  <c:v>116.038615587051</c:v>
                </c:pt>
                <c:pt idx="961">
                  <c:v>116.038856231902</c:v>
                </c:pt>
                <c:pt idx="962">
                  <c:v>116.039096872935</c:v>
                </c:pt>
                <c:pt idx="963">
                  <c:v>116.039337510147</c:v>
                </c:pt>
                <c:pt idx="964">
                  <c:v>116.039578143541</c:v>
                </c:pt>
                <c:pt idx="965">
                  <c:v>116.039818773116</c:v>
                </c:pt>
                <c:pt idx="966">
                  <c:v>116.040059398871</c:v>
                </c:pt>
                <c:pt idx="967">
                  <c:v>116.040300020807</c:v>
                </c:pt>
                <c:pt idx="968">
                  <c:v>116.040540638925</c:v>
                </c:pt>
                <c:pt idx="969">
                  <c:v>116.040781253223</c:v>
                </c:pt>
                <c:pt idx="970">
                  <c:v>116.041021863702</c:v>
                </c:pt>
                <c:pt idx="971">
                  <c:v>116.041262470362</c:v>
                </c:pt>
                <c:pt idx="972">
                  <c:v>116.041503073203</c:v>
                </c:pt>
                <c:pt idx="973">
                  <c:v>116.041743672226</c:v>
                </c:pt>
                <c:pt idx="974">
                  <c:v>116.041984267429</c:v>
                </c:pt>
                <c:pt idx="975">
                  <c:v>116.042224858814</c:v>
                </c:pt>
                <c:pt idx="976">
                  <c:v>116.042465446379</c:v>
                </c:pt>
                <c:pt idx="977">
                  <c:v>116.042706030126</c:v>
                </c:pt>
                <c:pt idx="978">
                  <c:v>116.042946610054</c:v>
                </c:pt>
                <c:pt idx="979">
                  <c:v>116.043187186164</c:v>
                </c:pt>
                <c:pt idx="980">
                  <c:v>116.043427758455</c:v>
                </c:pt>
                <c:pt idx="981">
                  <c:v>116.043668326927</c:v>
                </c:pt>
                <c:pt idx="982">
                  <c:v>116.04390889158</c:v>
                </c:pt>
                <c:pt idx="983">
                  <c:v>116.044149452415</c:v>
                </c:pt>
                <c:pt idx="984">
                  <c:v>116.044390009431</c:v>
                </c:pt>
                <c:pt idx="985">
                  <c:v>116.044630562629</c:v>
                </c:pt>
                <c:pt idx="986">
                  <c:v>116.044871112008</c:v>
                </c:pt>
                <c:pt idx="987">
                  <c:v>116.045111657568</c:v>
                </c:pt>
                <c:pt idx="988">
                  <c:v>116.04535219931</c:v>
                </c:pt>
                <c:pt idx="989">
                  <c:v>116.045592737234</c:v>
                </c:pt>
                <c:pt idx="990">
                  <c:v>116.045833271339</c:v>
                </c:pt>
                <c:pt idx="991">
                  <c:v>116.046073801626</c:v>
                </c:pt>
                <c:pt idx="992">
                  <c:v>116.046314328095</c:v>
                </c:pt>
                <c:pt idx="993">
                  <c:v>116.046554850745</c:v>
                </c:pt>
                <c:pt idx="994">
                  <c:v>116.046795369577</c:v>
                </c:pt>
                <c:pt idx="995">
                  <c:v>116.047035884591</c:v>
                </c:pt>
                <c:pt idx="996">
                  <c:v>116.047276395787</c:v>
                </c:pt>
                <c:pt idx="997">
                  <c:v>116.047516903164</c:v>
                </c:pt>
                <c:pt idx="998">
                  <c:v>116.047757406723</c:v>
                </c:pt>
                <c:pt idx="999">
                  <c:v>116.047997906465</c:v>
                </c:pt>
                <c:pt idx="1000">
                  <c:v>116.048238402388</c:v>
                </c:pt>
              </c:numCache>
            </c:numRef>
          </c:yVal>
          <c:smooth val="0"/>
        </c:ser>
        <c:axId val="72991008"/>
        <c:axId val="59475168"/>
      </c:scatterChart>
      <c:valAx>
        <c:axId val="72991008"/>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59475168"/>
        <c:crosses val="autoZero"/>
        <c:crossBetween val="midCat"/>
      </c:valAx>
      <c:valAx>
        <c:axId val="59475168"/>
        <c:scaling>
          <c:orientation val="minMax"/>
        </c:scaling>
        <c:delete val="0"/>
        <c:axPos val="l"/>
        <c:majorGridlines>
          <c:spPr>
            <a:ln w="3240">
              <a:solidFill>
                <a:srgbClr val="000000"/>
              </a:solidFill>
              <a:prstDash val="sysDash"/>
              <a:round/>
            </a:ln>
          </c:spPr>
        </c:majorGridlines>
        <c:title>
          <c:tx>
            <c:rich>
              <a:bodyPr rot="-5400000"/>
              <a:lstStyle/>
              <a:p>
                <a:pPr>
                  <a:defRPr b="1" sz="1000" spc="-1" strike="noStrike">
                    <a:solidFill>
                      <a:srgbClr val="000000"/>
                    </a:solidFill>
                    <a:latin typeface="Arial"/>
                    <a:ea typeface="Arial"/>
                  </a:defRPr>
                </a:pPr>
                <a:r>
                  <a:rPr b="1" sz="1000" spc="-1" strike="noStrike">
                    <a:solidFill>
                      <a:srgbClr val="000000"/>
                    </a:solidFill>
                    <a:latin typeface="Arial"/>
                    <a:ea typeface="Arial"/>
                  </a:rPr>
                  <a:t>Vitesse [m/s]</a:t>
                </a:r>
              </a:p>
            </c:rich>
          </c:tx>
          <c:layout>
            <c:manualLayout>
              <c:xMode val="edge"/>
              <c:yMode val="edge"/>
              <c:x val="0.0259163272861903"/>
              <c:y val="0.22860318636532"/>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72991008"/>
        <c:crosses val="autoZero"/>
        <c:crossBetween val="midCat"/>
      </c:valAx>
      <c:spPr>
        <a:noFill/>
        <a:ln w="12600">
          <a:solidFill>
            <a:srgbClr val="808080"/>
          </a:solidFill>
          <a:round/>
        </a:ln>
      </c:spPr>
    </c:plotArea>
    <c:legend>
      <c:legendPos val="r"/>
      <c:layout>
        <c:manualLayout>
          <c:xMode val="edge"/>
          <c:yMode val="edge"/>
          <c:x val="0.81839684544149"/>
          <c:y val="0.4644447944007"/>
          <c:w val="0.132075595503392"/>
          <c:h val="0.077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Accélérations</a:t>
            </a:r>
          </a:p>
        </c:rich>
      </c:tx>
      <c:overlay val="0"/>
      <c:spPr>
        <a:noFill/>
        <a:ln w="0">
          <a:noFill/>
        </a:ln>
      </c:spPr>
    </c:title>
    <c:autoTitleDeleted val="0"/>
    <c:plotArea>
      <c:layout>
        <c:manualLayout>
          <c:layoutTarget val="inner"/>
          <c:xMode val="edge"/>
          <c:yMode val="edge"/>
          <c:x val="0.0943169196593854"/>
          <c:y val="0.0947381422924901"/>
          <c:w val="0.886754905590522"/>
          <c:h val="0.816946640316206"/>
        </c:manualLayout>
      </c:layout>
      <c:scatterChart>
        <c:scatterStyle val="line"/>
        <c:varyColors val="0"/>
        <c:ser>
          <c:idx val="0"/>
          <c:order val="0"/>
          <c:tx>
            <c:strRef>
              <c:f>Courbes!$B$137</c:f>
              <c:strCache>
                <c:ptCount val="1"/>
                <c:pt idx="0">
                  <c:v>Accélération longitudinale</c:v>
                </c:pt>
              </c:strCache>
            </c:strRef>
          </c:tx>
          <c:spPr>
            <a:solidFill>
              <a:srgbClr val="800000"/>
            </a:solidFill>
            <a:ln w="25560">
              <a:solidFill>
                <a:srgbClr val="8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Calculs!$AG$4:$AG$1004</c:f>
              <c:numCache>
                <c:formatCode>General</c:formatCode>
                <c:ptCount val="1001"/>
                <c:pt idx="1">
                  <c:v>16.4370603821168</c:v>
                </c:pt>
                <c:pt idx="2">
                  <c:v>89.0907387185395</c:v>
                </c:pt>
                <c:pt idx="3">
                  <c:v>133.36144389511</c:v>
                </c:pt>
                <c:pt idx="4">
                  <c:v>128.730829404246</c:v>
                </c:pt>
                <c:pt idx="5">
                  <c:v>124.089228542225</c:v>
                </c:pt>
                <c:pt idx="6">
                  <c:v>122.267113743119</c:v>
                </c:pt>
                <c:pt idx="7">
                  <c:v>123.271872989784</c:v>
                </c:pt>
                <c:pt idx="8">
                  <c:v>124.277014918022</c:v>
                </c:pt>
                <c:pt idx="9">
                  <c:v>125.282517530627</c:v>
                </c:pt>
                <c:pt idx="10">
                  <c:v>126.288358480513</c:v>
                </c:pt>
                <c:pt idx="11">
                  <c:v>127.000821708342</c:v>
                </c:pt>
                <c:pt idx="12">
                  <c:v>127.419122676597</c:v>
                </c:pt>
                <c:pt idx="13">
                  <c:v>127.836573507059</c:v>
                </c:pt>
                <c:pt idx="14">
                  <c:v>128.253159062289</c:v>
                </c:pt>
                <c:pt idx="15">
                  <c:v>128.668864162415</c:v>
                </c:pt>
                <c:pt idx="16">
                  <c:v>129.083673586314</c:v>
                </c:pt>
                <c:pt idx="17">
                  <c:v>129.49757207281</c:v>
                </c:pt>
                <c:pt idx="18">
                  <c:v>129.910544321895</c:v>
                </c:pt>
                <c:pt idx="19">
                  <c:v>130.322574995958</c:v>
                </c:pt>
                <c:pt idx="20">
                  <c:v>130.733648721033</c:v>
                </c:pt>
                <c:pt idx="21">
                  <c:v>131.025895070236</c:v>
                </c:pt>
                <c:pt idx="22">
                  <c:v>131.199000387219</c:v>
                </c:pt>
                <c:pt idx="23">
                  <c:v>131.370674256817</c:v>
                </c:pt>
                <c:pt idx="24">
                  <c:v>131.540907866946</c:v>
                </c:pt>
                <c:pt idx="25">
                  <c:v>131.709692459351</c:v>
                </c:pt>
                <c:pt idx="26">
                  <c:v>131.877019330647</c:v>
                </c:pt>
                <c:pt idx="27">
                  <c:v>132.04287983336</c:v>
                </c:pt>
                <c:pt idx="28">
                  <c:v>132.207265376967</c:v>
                </c:pt>
                <c:pt idx="29">
                  <c:v>132.370993567262</c:v>
                </c:pt>
                <c:pt idx="30">
                  <c:v>132.533217710218</c:v>
                </c:pt>
                <c:pt idx="31">
                  <c:v>132.693916318623</c:v>
                </c:pt>
                <c:pt idx="32">
                  <c:v>132.853082569498</c:v>
                </c:pt>
                <c:pt idx="33">
                  <c:v>133.010709557833</c:v>
                </c:pt>
                <c:pt idx="34">
                  <c:v>133.166790315209</c:v>
                </c:pt>
                <c:pt idx="35">
                  <c:v>133.321317825798</c:v>
                </c:pt>
                <c:pt idx="36">
                  <c:v>133.474285040194</c:v>
                </c:pt>
                <c:pt idx="37">
                  <c:v>133.625684887442</c:v>
                </c:pt>
                <c:pt idx="38">
                  <c:v>133.77551028556</c:v>
                </c:pt>
                <c:pt idx="39">
                  <c:v>133.923754150792</c:v>
                </c:pt>
                <c:pt idx="40">
                  <c:v>134.070409405802</c:v>
                </c:pt>
                <c:pt idx="41">
                  <c:v>134.123711433473</c:v>
                </c:pt>
                <c:pt idx="42">
                  <c:v>134.083439611477</c:v>
                </c:pt>
                <c:pt idx="43">
                  <c:v>134.041266335639</c:v>
                </c:pt>
                <c:pt idx="44">
                  <c:v>133.997191427747</c:v>
                </c:pt>
                <c:pt idx="45">
                  <c:v>133.951214786482</c:v>
                </c:pt>
                <c:pt idx="46">
                  <c:v>133.903336391311</c:v>
                </c:pt>
                <c:pt idx="47">
                  <c:v>133.85355630596</c:v>
                </c:pt>
                <c:pt idx="48">
                  <c:v>133.801874681507</c:v>
                </c:pt>
                <c:pt idx="49">
                  <c:v>133.748291759167</c:v>
                </c:pt>
                <c:pt idx="50">
                  <c:v>133.692807872771</c:v>
                </c:pt>
                <c:pt idx="51">
                  <c:v>133.635423451012</c:v>
                </c:pt>
                <c:pt idx="52">
                  <c:v>133.576139019453</c:v>
                </c:pt>
                <c:pt idx="53">
                  <c:v>133.514955202342</c:v>
                </c:pt>
                <c:pt idx="54">
                  <c:v>133.45187272425</c:v>
                </c:pt>
                <c:pt idx="55">
                  <c:v>133.386892411544</c:v>
                </c:pt>
                <c:pt idx="56">
                  <c:v>133.320015193721</c:v>
                </c:pt>
                <c:pt idx="57">
                  <c:v>133.25124210461</c:v>
                </c:pt>
                <c:pt idx="58">
                  <c:v>133.180574283459</c:v>
                </c:pt>
                <c:pt idx="59">
                  <c:v>133.108012975908</c:v>
                </c:pt>
                <c:pt idx="60">
                  <c:v>133.033559534875</c:v>
                </c:pt>
                <c:pt idx="61">
                  <c:v>132.957215421343</c:v>
                </c:pt>
                <c:pt idx="62">
                  <c:v>132.878982205073</c:v>
                </c:pt>
                <c:pt idx="63">
                  <c:v>132.798861565235</c:v>
                </c:pt>
                <c:pt idx="64">
                  <c:v>132.716855290973</c:v>
                </c:pt>
                <c:pt idx="65">
                  <c:v>132.632965281904</c:v>
                </c:pt>
                <c:pt idx="66">
                  <c:v>132.547193548558</c:v>
                </c:pt>
                <c:pt idx="67">
                  <c:v>132.459542212761</c:v>
                </c:pt>
                <c:pt idx="68">
                  <c:v>132.370013507966</c:v>
                </c:pt>
                <c:pt idx="69">
                  <c:v>132.278609779531</c:v>
                </c:pt>
                <c:pt idx="70">
                  <c:v>132.185333484962</c:v>
                </c:pt>
                <c:pt idx="71">
                  <c:v>132.090187194096</c:v>
                </c:pt>
                <c:pt idx="72">
                  <c:v>131.993173589258</c:v>
                </c:pt>
                <c:pt idx="73">
                  <c:v>131.894295465368</c:v>
                </c:pt>
                <c:pt idx="74">
                  <c:v>131.793555730017</c:v>
                </c:pt>
                <c:pt idx="75">
                  <c:v>131.690957403505</c:v>
                </c:pt>
                <c:pt idx="76">
                  <c:v>131.586503618848</c:v>
                </c:pt>
                <c:pt idx="77">
                  <c:v>131.480197621746</c:v>
                </c:pt>
                <c:pt idx="78">
                  <c:v>131.372042770528</c:v>
                </c:pt>
                <c:pt idx="79">
                  <c:v>131.262042536062</c:v>
                </c:pt>
                <c:pt idx="80">
                  <c:v>131.15020050164</c:v>
                </c:pt>
                <c:pt idx="81">
                  <c:v>130.943194438001</c:v>
                </c:pt>
                <c:pt idx="82">
                  <c:v>130.640863993925</c:v>
                </c:pt>
                <c:pt idx="83">
                  <c:v>130.336514245956</c:v>
                </c:pt>
                <c:pt idx="84">
                  <c:v>130.030157563424</c:v>
                </c:pt>
                <c:pt idx="85">
                  <c:v>129.721806432214</c:v>
                </c:pt>
                <c:pt idx="86">
                  <c:v>129.411473453299</c:v>
                </c:pt>
                <c:pt idx="87">
                  <c:v>129.099171341266</c:v>
                </c:pt>
                <c:pt idx="88">
                  <c:v>128.784912922801</c:v>
                </c:pt>
                <c:pt idx="89">
                  <c:v>128.468711135168</c:v>
                </c:pt>
                <c:pt idx="90">
                  <c:v>128.150579024658</c:v>
                </c:pt>
                <c:pt idx="91">
                  <c:v>127.789276390411</c:v>
                </c:pt>
                <c:pt idx="92">
                  <c:v>127.384751595275</c:v>
                </c:pt>
                <c:pt idx="93">
                  <c:v>126.9782675186</c:v>
                </c:pt>
                <c:pt idx="94">
                  <c:v>126.56984161278</c:v>
                </c:pt>
                <c:pt idx="95">
                  <c:v>126.159491424331</c:v>
                </c:pt>
                <c:pt idx="96">
                  <c:v>125.747234591614</c:v>
                </c:pt>
                <c:pt idx="97">
                  <c:v>125.333088842551</c:v>
                </c:pt>
                <c:pt idx="98">
                  <c:v>124.917071992325</c:v>
                </c:pt>
                <c:pt idx="99">
                  <c:v>124.499201941072</c:v>
                </c:pt>
                <c:pt idx="100">
                  <c:v>124.079496671563</c:v>
                </c:pt>
                <c:pt idx="101">
                  <c:v>123.651372806153</c:v>
                </c:pt>
                <c:pt idx="102">
                  <c:v>123.214839404265</c:v>
                </c:pt>
                <c:pt idx="103">
                  <c:v>122.776516651717</c:v>
                </c:pt>
                <c:pt idx="104">
                  <c:v>122.336423486139</c:v>
                </c:pt>
                <c:pt idx="105">
                  <c:v>121.89457891408</c:v>
                </c:pt>
                <c:pt idx="106">
                  <c:v>121.451002008549</c:v>
                </c:pt>
                <c:pt idx="107">
                  <c:v>121.005711906548</c:v>
                </c:pt>
                <c:pt idx="108">
                  <c:v>120.558727806615</c:v>
                </c:pt>
                <c:pt idx="109">
                  <c:v>120.110068966347</c:v>
                </c:pt>
                <c:pt idx="110">
                  <c:v>119.659754699942</c:v>
                </c:pt>
                <c:pt idx="111">
                  <c:v>119.283844058218</c:v>
                </c:pt>
                <c:pt idx="112">
                  <c:v>118.982446374235</c:v>
                </c:pt>
                <c:pt idx="113">
                  <c:v>118.679522837129</c:v>
                </c:pt>
                <c:pt idx="114">
                  <c:v>118.37508593416</c:v>
                </c:pt>
                <c:pt idx="115">
                  <c:v>118.069148220161</c:v>
                </c:pt>
                <c:pt idx="116">
                  <c:v>117.761722316079</c:v>
                </c:pt>
                <c:pt idx="117">
                  <c:v>117.452820907509</c:v>
                </c:pt>
                <c:pt idx="118">
                  <c:v>117.142456743222</c:v>
                </c:pt>
                <c:pt idx="119">
                  <c:v>116.830642633684</c:v>
                </c:pt>
                <c:pt idx="120">
                  <c:v>116.517391449577</c:v>
                </c:pt>
                <c:pt idx="121">
                  <c:v>116.076541701734</c:v>
                </c:pt>
                <c:pt idx="122">
                  <c:v>115.507978294156</c:v>
                </c:pt>
                <c:pt idx="123">
                  <c:v>114.937939204315</c:v>
                </c:pt>
                <c:pt idx="124">
                  <c:v>114.366449411167</c:v>
                </c:pt>
                <c:pt idx="125">
                  <c:v>113.793533891653</c:v>
                </c:pt>
                <c:pt idx="126">
                  <c:v>113.219217617516</c:v>
                </c:pt>
                <c:pt idx="127">
                  <c:v>112.643525552144</c:v>
                </c:pt>
                <c:pt idx="128">
                  <c:v>112.066482647432</c:v>
                </c:pt>
                <c:pt idx="129">
                  <c:v>111.488113840657</c:v>
                </c:pt>
                <c:pt idx="130">
                  <c:v>110.908444051381</c:v>
                </c:pt>
                <c:pt idx="131">
                  <c:v>110.29445181967</c:v>
                </c:pt>
                <c:pt idx="132">
                  <c:v>109.646135722223</c:v>
                </c:pt>
                <c:pt idx="133">
                  <c:v>108.996586254487</c:v>
                </c:pt>
                <c:pt idx="134">
                  <c:v>108.345831550453</c:v>
                </c:pt>
                <c:pt idx="135">
                  <c:v>107.693899687812</c:v>
                </c:pt>
                <c:pt idx="136">
                  <c:v>107.040818684516</c:v>
                </c:pt>
                <c:pt idx="137">
                  <c:v>106.386616495394</c:v>
                </c:pt>
                <c:pt idx="138">
                  <c:v>105.731321008783</c:v>
                </c:pt>
                <c:pt idx="139">
                  <c:v>105.074960043209</c:v>
                </c:pt>
                <c:pt idx="140">
                  <c:v>104.417561344095</c:v>
                </c:pt>
                <c:pt idx="141">
                  <c:v>103.363872956096</c:v>
                </c:pt>
                <c:pt idx="142">
                  <c:v>101.913702826567</c:v>
                </c:pt>
                <c:pt idx="143">
                  <c:v>100.462668413643</c:v>
                </c:pt>
                <c:pt idx="144">
                  <c:v>99.0108449997305</c:v>
                </c:pt>
                <c:pt idx="145">
                  <c:v>97.5583072496942</c:v>
                </c:pt>
                <c:pt idx="146">
                  <c:v>96.1051292005015</c:v>
                </c:pt>
                <c:pt idx="147">
                  <c:v>94.6513842511526</c:v>
                </c:pt>
                <c:pt idx="148">
                  <c:v>93.1971451528949</c:v>
                </c:pt>
                <c:pt idx="149">
                  <c:v>91.7424839997236</c:v>
                </c:pt>
                <c:pt idx="150">
                  <c:v>90.287472219167</c:v>
                </c:pt>
                <c:pt idx="151">
                  <c:v>88.8321805633586</c:v>
                </c:pt>
                <c:pt idx="152">
                  <c:v>87.3766791003934</c:v>
                </c:pt>
                <c:pt idx="153">
                  <c:v>85.9210372059693</c:v>
                </c:pt>
                <c:pt idx="154">
                  <c:v>84.4653235553138</c:v>
                </c:pt>
                <c:pt idx="155">
                  <c:v>83.0096061153933</c:v>
                </c:pt>
                <c:pt idx="156">
                  <c:v>79.6810410713989</c:v>
                </c:pt>
                <c:pt idx="157">
                  <c:v>74.4798651688052</c:v>
                </c:pt>
                <c:pt idx="158">
                  <c:v>69.2814503757179</c:v>
                </c:pt>
                <c:pt idx="159">
                  <c:v>64.0863037224711</c:v>
                </c:pt>
                <c:pt idx="160">
                  <c:v>58.8949227272631</c:v>
                </c:pt>
                <c:pt idx="161">
                  <c:v>51.3264038205568</c:v>
                </c:pt>
                <c:pt idx="162">
                  <c:v>41.3831672586305</c:v>
                </c:pt>
                <c:pt idx="163">
                  <c:v>31.6784390021117</c:v>
                </c:pt>
                <c:pt idx="164">
                  <c:v>22.2134728531247</c:v>
                </c:pt>
                <c:pt idx="165">
                  <c:v>15.0372198967273</c:v>
                </c:pt>
                <c:pt idx="166">
                  <c:v>10.1474565087147</c:v>
                </c:pt>
                <c:pt idx="167">
                  <c:v>3.53598352209288</c:v>
                </c:pt>
                <c:pt idx="168">
                  <c:v>-3.54245780696336</c:v>
                </c:pt>
                <c:pt idx="169">
                  <c:v>-14.1800389821253</c:v>
                </c:pt>
                <c:pt idx="170">
                  <c:v>-25.8654608264373</c:v>
                </c:pt>
                <c:pt idx="171">
                  <c:v>-29.7898348247699</c:v>
                </c:pt>
                <c:pt idx="172">
                  <c:v>-29.7239100966952</c:v>
                </c:pt>
                <c:pt idx="173">
                  <c:v>-29.6582467389893</c:v>
                </c:pt>
                <c:pt idx="174">
                  <c:v>-29.5928433702171</c:v>
                </c:pt>
                <c:pt idx="175">
                  <c:v>-29.5276986181165</c:v>
                </c:pt>
                <c:pt idx="176">
                  <c:v>-29.4628111195255</c:v>
                </c:pt>
                <c:pt idx="177">
                  <c:v>-29.3981795203095</c:v>
                </c:pt>
                <c:pt idx="178">
                  <c:v>-29.3338024752887</c:v>
                </c:pt>
                <c:pt idx="179">
                  <c:v>-29.2696786481671</c:v>
                </c:pt>
                <c:pt idx="180">
                  <c:v>-29.2058067114621</c:v>
                </c:pt>
                <c:pt idx="181">
                  <c:v>-29.1421853464336</c:v>
                </c:pt>
                <c:pt idx="182">
                  <c:v>-29.0788132430153</c:v>
                </c:pt>
                <c:pt idx="183">
                  <c:v>-29.0156890997455</c:v>
                </c:pt>
                <c:pt idx="184">
                  <c:v>-28.9528116236993</c:v>
                </c:pt>
                <c:pt idx="185">
                  <c:v>-28.8901795304209</c:v>
                </c:pt>
                <c:pt idx="186">
                  <c:v>-28.8277915438566</c:v>
                </c:pt>
                <c:pt idx="187">
                  <c:v>-28.765646396289</c:v>
                </c:pt>
                <c:pt idx="188">
                  <c:v>-28.7037428282705</c:v>
                </c:pt>
                <c:pt idx="189">
                  <c:v>-28.6420795885594</c:v>
                </c:pt>
                <c:pt idx="190">
                  <c:v>-28.5806554340543</c:v>
                </c:pt>
                <c:pt idx="191">
                  <c:v>-28.5194691297309</c:v>
                </c:pt>
                <c:pt idx="192">
                  <c:v>-28.4585194485787</c:v>
                </c:pt>
                <c:pt idx="193">
                  <c:v>-28.3978051715381</c:v>
                </c:pt>
                <c:pt idx="194">
                  <c:v>-28.3373250874382</c:v>
                </c:pt>
                <c:pt idx="195">
                  <c:v>-28.2770779929354</c:v>
                </c:pt>
                <c:pt idx="196">
                  <c:v>-28.2170626924527</c:v>
                </c:pt>
                <c:pt idx="197">
                  <c:v>-28.1572779981184</c:v>
                </c:pt>
                <c:pt idx="198">
                  <c:v>-28.0977227297071</c:v>
                </c:pt>
                <c:pt idx="199">
                  <c:v>-28.0383957145799</c:v>
                </c:pt>
                <c:pt idx="200">
                  <c:v>-27.9792957876254</c:v>
                </c:pt>
                <c:pt idx="201">
                  <c:v>-27.9204217912021</c:v>
                </c:pt>
                <c:pt idx="202">
                  <c:v>-27.3387935604517</c:v>
                </c:pt>
                <c:pt idx="203">
                  <c:v>-26.7789930591236</c:v>
                </c:pt>
                <c:pt idx="204">
                  <c:v>-26.2399393623075</c:v>
                </c:pt>
                <c:pt idx="205">
                  <c:v>-25.7206181123995</c:v>
                </c:pt>
                <c:pt idx="206">
                  <c:v>-25.2200766190844</c:v>
                </c:pt>
                <c:pt idx="207">
                  <c:v>-24.7374193757845</c:v>
                </c:pt>
                <c:pt idx="208">
                  <c:v>-24.2718039524225</c:v>
                </c:pt>
                <c:pt idx="209">
                  <c:v>-23.8224372286531</c:v>
                </c:pt>
                <c:pt idx="210">
                  <c:v>-23.3885719355213</c:v>
                </c:pt>
                <c:pt idx="211">
                  <c:v>-22.9695034768589</c:v>
                </c:pt>
                <c:pt idx="212">
                  <c:v>-22.5645670047049</c:v>
                </c:pt>
                <c:pt idx="213">
                  <c:v>-22.1731347256614</c:v>
                </c:pt>
                <c:pt idx="214">
                  <c:v>-21.7946134174342</c:v>
                </c:pt>
                <c:pt idx="215">
                  <c:v>-21.4284421368793</c:v>
                </c:pt>
                <c:pt idx="216">
                  <c:v>-21.0740901027236</c:v>
                </c:pt>
                <c:pt idx="217">
                  <c:v>-20.7310547377677</c:v>
                </c:pt>
                <c:pt idx="218">
                  <c:v>-20.3988598568521</c:v>
                </c:pt>
                <c:pt idx="219">
                  <c:v>-20.0770539881712</c:v>
                </c:pt>
                <c:pt idx="220">
                  <c:v>-19.7652088166956</c:v>
                </c:pt>
                <c:pt idx="221">
                  <c:v>-19.4629177395112</c:v>
                </c:pt>
                <c:pt idx="222">
                  <c:v>-19.169794523823</c:v>
                </c:pt>
                <c:pt idx="223">
                  <c:v>-18.8854720592176</c:v>
                </c:pt>
                <c:pt idx="224">
                  <c:v>-18.6096011965356</c:v>
                </c:pt>
                <c:pt idx="225">
                  <c:v>-18.3418496663878</c:v>
                </c:pt>
                <c:pt idx="226">
                  <c:v>-18.0819010709624</c:v>
                </c:pt>
                <c:pt idx="227">
                  <c:v>-17.8294539433272</c:v>
                </c:pt>
                <c:pt idx="228">
                  <c:v>-17.5842208689245</c:v>
                </c:pt>
                <c:pt idx="229">
                  <c:v>-17.3459276644133</c:v>
                </c:pt>
                <c:pt idx="230">
                  <c:v>-17.1143126094166</c:v>
                </c:pt>
                <c:pt idx="231">
                  <c:v>-16.8891257271017</c:v>
                </c:pt>
                <c:pt idx="232">
                  <c:v>-16.6701281098535</c:v>
                </c:pt>
                <c:pt idx="233">
                  <c:v>-16.4570912866048</c:v>
                </c:pt>
                <c:pt idx="234">
                  <c:v>-16.2497966286576</c:v>
                </c:pt>
                <c:pt idx="235">
                  <c:v>-16.0480347910792</c:v>
                </c:pt>
                <c:pt idx="236">
                  <c:v>-15.8516051869818</c:v>
                </c:pt>
                <c:pt idx="237">
                  <c:v>-15.6603154921939</c:v>
                </c:pt>
                <c:pt idx="238">
                  <c:v>-15.4739811780223</c:v>
                </c:pt>
                <c:pt idx="239">
                  <c:v>-15.2924250699631</c:v>
                </c:pt>
                <c:pt idx="240">
                  <c:v>-15.1154769303777</c:v>
                </c:pt>
                <c:pt idx="241">
                  <c:v>-14.9429730632817</c:v>
                </c:pt>
                <c:pt idx="242">
                  <c:v>-14.7747559395214</c:v>
                </c:pt>
                <c:pt idx="243">
                  <c:v>-14.6106738407206</c:v>
                </c:pt>
                <c:pt idx="244">
                  <c:v>-14.4505805204839</c:v>
                </c:pt>
                <c:pt idx="245">
                  <c:v>-14.2943348814286</c:v>
                </c:pt>
                <c:pt idx="246">
                  <c:v>-14.1418006667012</c:v>
                </c:pt>
                <c:pt idx="247">
                  <c:v>-13.9928461647015</c:v>
                </c:pt>
                <c:pt idx="248">
                  <c:v>-13.8473439258021</c:v>
                </c:pt>
                <c:pt idx="249">
                  <c:v>-13.7051704899061</c:v>
                </c:pt>
                <c:pt idx="250">
                  <c:v>-13.5662061237301</c:v>
                </c:pt>
                <c:pt idx="251">
                  <c:v>-13.4303345667408</c:v>
                </c:pt>
                <c:pt idx="252">
                  <c:v>-13.2974427847065</c:v>
                </c:pt>
                <c:pt idx="253">
                  <c:v>-13.1674207298486</c:v>
                </c:pt>
                <c:pt idx="254">
                  <c:v>-13.0401611065983</c:v>
                </c:pt>
                <c:pt idx="255">
                  <c:v>-12.9155591419762</c:v>
                </c:pt>
                <c:pt idx="256">
                  <c:v>-12.7935123596162</c:v>
                </c:pt>
                <c:pt idx="257">
                  <c:v>-12.6739203564572</c:v>
                </c:pt>
                <c:pt idx="258">
                  <c:v>-12.5566845811137</c:v>
                </c:pt>
                <c:pt idx="259">
                  <c:v>-12.4417081129266</c:v>
                </c:pt>
                <c:pt idx="260">
                  <c:v>-12.3288954406683</c:v>
                </c:pt>
                <c:pt idx="261">
                  <c:v>-12.2181522398511</c:v>
                </c:pt>
                <c:pt idx="262">
                  <c:v>-12.1093851475472</c:v>
                </c:pt>
                <c:pt idx="263">
                  <c:v>-12.0025015335847</c:v>
                </c:pt>
                <c:pt idx="264">
                  <c:v>-11.89740926693</c:v>
                </c:pt>
                <c:pt idx="265">
                  <c:v>-11.7940164760025</c:v>
                </c:pt>
                <c:pt idx="266">
                  <c:v>-11.6922313015953</c:v>
                </c:pt>
                <c:pt idx="267">
                  <c:v>-11.5919616409928</c:v>
                </c:pt>
                <c:pt idx="268">
                  <c:v>-11.4931148817818</c:v>
                </c:pt>
                <c:pt idx="269">
                  <c:v>-11.3955976237453</c:v>
                </c:pt>
                <c:pt idx="270">
                  <c:v>-11.2993153871152</c:v>
                </c:pt>
                <c:pt idx="271">
                  <c:v>-11.204172305324</c:v>
                </c:pt>
                <c:pt idx="272">
                  <c:v>-11.1100708002571</c:v>
                </c:pt>
                <c:pt idx="273">
                  <c:v>-11.016911237847</c:v>
                </c:pt>
                <c:pt idx="274">
                  <c:v>-10.9245915616807</c:v>
                </c:pt>
                <c:pt idx="275">
                  <c:v>-10.8330069021076</c:v>
                </c:pt>
                <c:pt idx="276">
                  <c:v>-10.7420491581344</c:v>
                </c:pt>
                <c:pt idx="277">
                  <c:v>-10.6516065491858</c:v>
                </c:pt>
                <c:pt idx="278">
                  <c:v>-10.5615631335846</c:v>
                </c:pt>
                <c:pt idx="279">
                  <c:v>-10.4717982903778</c:v>
                </c:pt>
                <c:pt idx="280">
                  <c:v>-10.3821861608966</c:v>
                </c:pt>
                <c:pt idx="281">
                  <c:v>-10.2925950462075</c:v>
                </c:pt>
                <c:pt idx="282">
                  <c:v>-10.202886756384</c:v>
                </c:pt>
                <c:pt idx="283">
                  <c:v>-10.1129159073201</c:v>
                </c:pt>
                <c:pt idx="284">
                  <c:v>-10.0225291606337</c:v>
                </c:pt>
                <c:pt idx="285">
                  <c:v>-9.93156440208117</c:v>
                </c:pt>
                <c:pt idx="286">
                  <c:v>-9.83984985385506</c:v>
                </c:pt>
                <c:pt idx="287">
                  <c:v>-9.74720311619124</c:v>
                </c:pt>
                <c:pt idx="288">
                  <c:v>-9.65343013391257</c:v>
                </c:pt>
                <c:pt idx="289">
                  <c:v>-9.55832408393322</c:v>
                </c:pt>
                <c:pt idx="290">
                  <c:v>-9.4616641804067</c:v>
                </c:pt>
                <c:pt idx="291">
                  <c:v>-9.36321439520442</c:v>
                </c:pt>
                <c:pt idx="292">
                  <c:v>-9.26272209286189</c:v>
                </c:pt>
                <c:pt idx="293">
                  <c:v>-9.15991658115587</c:v>
                </c:pt>
                <c:pt idx="294">
                  <c:v>-9.0545075812344</c:v>
                </c:pt>
                <c:pt idx="295">
                  <c:v>-8.946183624907</c:v>
                </c:pt>
                <c:pt idx="296">
                  <c:v>-8.83461039154459</c:v>
                </c:pt>
                <c:pt idx="297">
                  <c:v>-8.71942900331699</c:v>
                </c:pt>
                <c:pt idx="298">
                  <c:v>-8.60025430553239</c:v>
                </c:pt>
                <c:pt idx="299">
                  <c:v>-8.47667316901102</c:v>
                </c:pt>
                <c:pt idx="300">
                  <c:v>-8.34824286413862</c:v>
                </c:pt>
                <c:pt idx="301">
                  <c:v>-8.21448957195034</c:v>
                </c:pt>
                <c:pt idx="302">
                  <c:v>-8.07490711674449</c:v>
                </c:pt>
                <c:pt idx="303">
                  <c:v>-7.92895602773654</c:v>
                </c:pt>
                <c:pt idx="304">
                  <c:v>-7.77606306445356</c:v>
                </c:pt>
                <c:pt idx="305">
                  <c:v>-7.61562137205902</c:v>
                </c:pt>
                <c:pt idx="306">
                  <c:v>-7.44699146836747</c:v>
                </c:pt>
                <c:pt idx="307">
                  <c:v>-7.26950330320954</c:v>
                </c:pt>
                <c:pt idx="308">
                  <c:v>-7.08245967150986</c:v>
                </c:pt>
                <c:pt idx="309">
                  <c:v>-6.88514130132219</c:v>
                </c:pt>
                <c:pt idx="310">
                  <c:v>-6.67681397305666</c:v>
                </c:pt>
                <c:pt idx="311">
                  <c:v>-6.45673805033879</c:v>
                </c:pt>
                <c:pt idx="312">
                  <c:v>-6.22418080832023</c:v>
                </c:pt>
                <c:pt idx="313">
                  <c:v>-5.97843192147318</c:v>
                </c:pt>
                <c:pt idx="314">
                  <c:v>-5.71882240746774</c:v>
                </c:pt>
                <c:pt idx="315">
                  <c:v>-5.44474720277177</c:v>
                </c:pt>
                <c:pt idx="316">
                  <c:v>-5.15569135538035</c:v>
                </c:pt>
                <c:pt idx="317">
                  <c:v>-4.85125954957548</c:v>
                </c:pt>
                <c:pt idx="318">
                  <c:v>-4.53120832237162</c:v>
                </c:pt>
                <c:pt idx="319">
                  <c:v>-4.19547989822482</c:v>
                </c:pt>
                <c:pt idx="320">
                  <c:v>-3.84423608120807</c:v>
                </c:pt>
                <c:pt idx="321">
                  <c:v>-3.47789014678731</c:v>
                </c:pt>
                <c:pt idx="322">
                  <c:v>-3.0971342359792</c:v>
                </c:pt>
                <c:pt idx="323">
                  <c:v>-2.70295945997516</c:v>
                </c:pt>
                <c:pt idx="324">
                  <c:v>-2.29666586946152</c:v>
                </c:pt>
                <c:pt idx="325">
                  <c:v>-1.87985971727457</c:v>
                </c:pt>
                <c:pt idx="326">
                  <c:v>-1.4544361004517</c:v>
                </c:pt>
                <c:pt idx="327">
                  <c:v>-1.02254610549055</c:v>
                </c:pt>
                <c:pt idx="328">
                  <c:v>-0.586548920851118</c:v>
                </c:pt>
                <c:pt idx="329">
                  <c:v>-0.14895086821329</c:v>
                </c:pt>
                <c:pt idx="330">
                  <c:v>0.287665274700191</c:v>
                </c:pt>
                <c:pt idx="331">
                  <c:v>0.720716163630451</c:v>
                </c:pt>
                <c:pt idx="332">
                  <c:v>1.14769386656251</c:v>
                </c:pt>
                <c:pt idx="333">
                  <c:v>1.56623679398429</c:v>
                </c:pt>
                <c:pt idx="334">
                  <c:v>1.97419104352764</c:v>
                </c:pt>
                <c:pt idx="335">
                  <c:v>2.36965872766245</c:v>
                </c:pt>
                <c:pt idx="336">
                  <c:v>2.75103126865978</c:v>
                </c:pt>
                <c:pt idx="337">
                  <c:v>3.1170071384935</c:v>
                </c:pt>
                <c:pt idx="338">
                  <c:v>3.46659487653359</c:v>
                </c:pt>
                <c:pt idx="339">
                  <c:v>3.79910327528575</c:v>
                </c:pt>
                <c:pt idx="340">
                  <c:v>4.11412130171575</c:v>
                </c:pt>
                <c:pt idx="341">
                  <c:v>4.41149061264412</c:v>
                </c:pt>
                <c:pt idx="342">
                  <c:v>4.69127348004177</c:v>
                </c:pt>
                <c:pt idx="343">
                  <c:v>4.95371865275868</c:v>
                </c:pt>
                <c:pt idx="344">
                  <c:v>5.19922724218744</c:v>
                </c:pt>
                <c:pt idx="345">
                  <c:v>5.42832021892943</c:v>
                </c:pt>
                <c:pt idx="346">
                  <c:v>5.64160861466357</c:v>
                </c:pt>
                <c:pt idx="347">
                  <c:v>5.83976708410113</c:v>
                </c:pt>
                <c:pt idx="348">
                  <c:v>6.02351112070474</c:v>
                </c:pt>
                <c:pt idx="349">
                  <c:v>6.19357794428432</c:v>
                </c:pt>
                <c:pt idx="350">
                  <c:v>6.35071088447275</c:v>
                </c:pt>
                <c:pt idx="351">
                  <c:v>6.49564696044881</c:v>
                </c:pt>
                <c:pt idx="352">
                  <c:v>6.62910729023634</c:v>
                </c:pt>
                <c:pt idx="353">
                  <c:v>6.75178993837218</c:v>
                </c:pt>
                <c:pt idx="354">
                  <c:v>6.86436481599932</c:v>
                </c:pt>
                <c:pt idx="355">
                  <c:v>6.96747027195153</c:v>
                </c:pt>
                <c:pt idx="356">
                  <c:v>7.06171104894213</c:v>
                </c:pt>
                <c:pt idx="357">
                  <c:v>7.14765731952528</c:v>
                </c:pt>
                <c:pt idx="358">
                  <c:v>7.22584455790093</c:v>
                </c:pt>
                <c:pt idx="359">
                  <c:v>7.29677404320329</c:v>
                </c:pt>
                <c:pt idx="360">
                  <c:v>7.36091382608225</c:v>
                </c:pt>
                <c:pt idx="361">
                  <c:v>7.41870002239294</c:v>
                </c:pt>
                <c:pt idx="362">
                  <c:v>7.47053832542824</c:v>
                </c:pt>
                <c:pt idx="363">
                  <c:v>7.51680565148564</c:v>
                </c:pt>
                <c:pt idx="364">
                  <c:v>7.55785185297977</c:v>
                </c:pt>
                <c:pt idx="365">
                  <c:v>7.59400144922344</c:v>
                </c:pt>
                <c:pt idx="366">
                  <c:v>7.62555533786587</c:v>
                </c:pt>
                <c:pt idx="367">
                  <c:v>7.65279246025286</c:v>
                </c:pt>
                <c:pt idx="368">
                  <c:v>7.67597140208409</c:v>
                </c:pt>
                <c:pt idx="369">
                  <c:v>7.69533191706664</c:v>
                </c:pt>
                <c:pt idx="370">
                  <c:v>7.71109636613271</c:v>
                </c:pt>
                <c:pt idx="371">
                  <c:v>7.72347106848422</c:v>
                </c:pt>
                <c:pt idx="372">
                  <c:v>7.73264756348527</c:v>
                </c:pt>
                <c:pt idx="373">
                  <c:v>7.73880378444064</c:v>
                </c:pt>
                <c:pt idx="374">
                  <c:v>7.74210514673476</c:v>
                </c:pt>
                <c:pt idx="375">
                  <c:v>7.74270555379176</c:v>
                </c:pt>
                <c:pt idx="376">
                  <c:v>7.74074832495657</c:v>
                </c:pt>
                <c:pt idx="377">
                  <c:v>7.7363670497739</c:v>
                </c:pt>
                <c:pt idx="378">
                  <c:v>7.72968637332132</c:v>
                </c:pt>
                <c:pt idx="379">
                  <c:v>7.7208227172873</c:v>
                </c:pt>
                <c:pt idx="380">
                  <c:v>7.7098849414144</c:v>
                </c:pt>
                <c:pt idx="381">
                  <c:v>7.69697494978329</c:v>
                </c:pt>
                <c:pt idx="382">
                  <c:v>7.68218824622</c:v>
                </c:pt>
                <c:pt idx="383">
                  <c:v>7.66561444288272</c:v>
                </c:pt>
                <c:pt idx="384">
                  <c:v>7.64733772584195</c:v>
                </c:pt>
                <c:pt idx="385">
                  <c:v>7.62743728121655</c:v>
                </c:pt>
                <c:pt idx="386">
                  <c:v>7.60598768517785</c:v>
                </c:pt>
                <c:pt idx="387">
                  <c:v>7.58305926088765</c:v>
                </c:pt>
                <c:pt idx="388">
                  <c:v>7.55871840519921</c:v>
                </c:pt>
                <c:pt idx="389">
                  <c:v>7.53302788772435</c:v>
                </c:pt>
                <c:pt idx="390">
                  <c:v>7.50604712465651</c:v>
                </c:pt>
                <c:pt idx="391">
                  <c:v>7.47783242953977</c:v>
                </c:pt>
                <c:pt idx="392">
                  <c:v>7.44843724298777</c:v>
                </c:pt>
                <c:pt idx="393">
                  <c:v>7.41791234318395</c:v>
                </c:pt>
                <c:pt idx="394">
                  <c:v>7.38630603883514</c:v>
                </c:pt>
                <c:pt idx="395">
                  <c:v>7.35366434610405</c:v>
                </c:pt>
                <c:pt idx="396">
                  <c:v>7.32003115091159</c:v>
                </c:pt>
                <c:pt idx="397">
                  <c:v>7.2854483578768</c:v>
                </c:pt>
                <c:pt idx="398">
                  <c:v>7.24995602704934</c:v>
                </c:pt>
                <c:pt idx="399">
                  <c:v>7.21359249948704</c:v>
                </c:pt>
                <c:pt idx="400">
                  <c:v>7.17639451263674</c:v>
                </c:pt>
                <c:pt idx="401">
                  <c:v>7.13839730639182</c:v>
                </c:pt>
                <c:pt idx="402">
                  <c:v>7.09963472062167</c:v>
                </c:pt>
                <c:pt idx="403">
                  <c:v>7.0601392848979</c:v>
                </c:pt>
                <c:pt idx="404">
                  <c:v>7.01994230107773</c:v>
                </c:pt>
                <c:pt idx="405">
                  <c:v>6.97907391934664</c:v>
                </c:pt>
                <c:pt idx="406">
                  <c:v>6.93756320826924</c:v>
                </c:pt>
                <c:pt idx="407">
                  <c:v>6.89543821934904</c:v>
                </c:pt>
                <c:pt idx="408">
                  <c:v>6.85272604655404</c:v>
                </c:pt>
                <c:pt idx="409">
                  <c:v>6.80945288122523</c:v>
                </c:pt>
                <c:pt idx="410">
                  <c:v>6.76564406274888</c:v>
                </c:pt>
                <c:pt idx="411">
                  <c:v>6.72132412534045</c:v>
                </c:pt>
                <c:pt idx="412">
                  <c:v>6.67651684125835</c:v>
                </c:pt>
                <c:pt idx="413">
                  <c:v>6.63124526073827</c:v>
                </c:pt>
                <c:pt idx="414">
                  <c:v>6.58553174891414</c:v>
                </c:pt>
                <c:pt idx="415">
                  <c:v>6.5393980199693</c:v>
                </c:pt>
                <c:pt idx="416">
                  <c:v>6.49286516874094</c:v>
                </c:pt>
                <c:pt idx="417">
                  <c:v>6.44595369998202</c:v>
                </c:pt>
                <c:pt idx="418">
                  <c:v>6.39868355546815</c:v>
                </c:pt>
                <c:pt idx="419">
                  <c:v>6.35107413912102</c:v>
                </c:pt>
                <c:pt idx="420">
                  <c:v>6.30314434030615</c:v>
                </c:pt>
                <c:pt idx="421">
                  <c:v>6.25491255544955</c:v>
                </c:pt>
                <c:pt idx="422">
                  <c:v>6.20639670810621</c:v>
                </c:pt>
                <c:pt idx="423">
                  <c:v>6.15761426760247</c:v>
                </c:pt>
                <c:pt idx="424">
                  <c:v>6.10858226636465</c:v>
                </c:pt>
                <c:pt idx="425">
                  <c:v>6.05931731603691</c:v>
                </c:pt>
                <c:pt idx="426">
                  <c:v>6.00983562248356</c:v>
                </c:pt>
                <c:pt idx="427">
                  <c:v>5.96015299976311</c:v>
                </c:pt>
                <c:pt idx="428">
                  <c:v>5.91028488315453</c:v>
                </c:pt>
                <c:pt idx="429">
                  <c:v>5.86024634131</c:v>
                </c:pt>
                <c:pt idx="430">
                  <c:v>5.81005208760225</c:v>
                </c:pt>
                <c:pt idx="431">
                  <c:v>5.75971649072976</c:v>
                </c:pt>
                <c:pt idx="432">
                  <c:v>5.70925358463763</c:v>
                </c:pt>
                <c:pt idx="433">
                  <c:v>5.65867707780788</c:v>
                </c:pt>
                <c:pt idx="434">
                  <c:v>5.60800036196852</c:v>
                </c:pt>
                <c:pt idx="435">
                  <c:v>5.55723652026706</c:v>
                </c:pt>
                <c:pt idx="436">
                  <c:v>5.5063983349505</c:v>
                </c:pt>
                <c:pt idx="437">
                  <c:v>5.45549829459075</c:v>
                </c:pt>
                <c:pt idx="438">
                  <c:v>5.4045486008914</c:v>
                </c:pt>
                <c:pt idx="439">
                  <c:v>5.35356117510892</c:v>
                </c:pt>
                <c:pt idx="440">
                  <c:v>5.30254766411901</c:v>
                </c:pt>
                <c:pt idx="441">
                  <c:v>5.25151944615636</c:v>
                </c:pt>
                <c:pt idx="442">
                  <c:v>5.20048763625393</c:v>
                </c:pt>
                <c:pt idx="443">
                  <c:v>5.14946309140603</c:v>
                </c:pt>
                <c:pt idx="444">
                  <c:v>5.09845641547737</c:v>
                </c:pt>
                <c:pt idx="445">
                  <c:v>5.04747796387877</c:v>
                </c:pt>
                <c:pt idx="446">
                  <c:v>4.99653784802856</c:v>
                </c:pt>
                <c:pt idx="447">
                  <c:v>4.94564593961726</c:v>
                </c:pt>
                <c:pt idx="448">
                  <c:v>4.89481187469176</c:v>
                </c:pt>
                <c:pt idx="449">
                  <c:v>4.84404505757403</c:v>
                </c:pt>
                <c:pt idx="450">
                  <c:v>4.79335466462814</c:v>
                </c:pt>
                <c:pt idx="451">
                  <c:v>4.74274964788839</c:v>
                </c:pt>
                <c:pt idx="452">
                  <c:v>4.69223873856033</c:v>
                </c:pt>
                <c:pt idx="453">
                  <c:v>4.64183045040546</c:v>
                </c:pt>
                <c:pt idx="454">
                  <c:v>4.59153308301975</c:v>
                </c:pt>
                <c:pt idx="455">
                  <c:v>4.54135472501492</c:v>
                </c:pt>
                <c:pt idx="456">
                  <c:v>4.49130325711128</c:v>
                </c:pt>
                <c:pt idx="457">
                  <c:v>4.44138635514965</c:v>
                </c:pt>
                <c:pt idx="458">
                  <c:v>4.39161149302964</c:v>
                </c:pt>
                <c:pt idx="459">
                  <c:v>4.34198594558083</c:v>
                </c:pt>
                <c:pt idx="460">
                  <c:v>4.29251679137286</c:v>
                </c:pt>
                <c:pt idx="461">
                  <c:v>4.24321091547</c:v>
                </c:pt>
                <c:pt idx="462">
                  <c:v>4.19407501213507</c:v>
                </c:pt>
                <c:pt idx="463">
                  <c:v>4.14511558748761</c:v>
                </c:pt>
                <c:pt idx="464">
                  <c:v>4.09633896212019</c:v>
                </c:pt>
                <c:pt idx="465">
                  <c:v>4.04775127367689</c:v>
                </c:pt>
                <c:pt idx="466">
                  <c:v>3.99935847939735</c:v>
                </c:pt>
                <c:pt idx="467">
                  <c:v>3.95116635862956</c:v>
                </c:pt>
                <c:pt idx="468">
                  <c:v>3.90318051531418</c:v>
                </c:pt>
                <c:pt idx="469">
                  <c:v>3.85540638044308</c:v>
                </c:pt>
                <c:pt idx="470">
                  <c:v>3.80784921449429</c:v>
                </c:pt>
                <c:pt idx="471">
                  <c:v>3.76051410984556</c:v>
                </c:pt>
                <c:pt idx="472">
                  <c:v>3.71340599316815</c:v>
                </c:pt>
                <c:pt idx="473">
                  <c:v>3.66652962780287</c:v>
                </c:pt>
                <c:pt idx="474">
                  <c:v>3.61988961611946</c:v>
                </c:pt>
                <c:pt idx="475">
                  <c:v>3.57349040186076</c:v>
                </c:pt>
                <c:pt idx="476">
                  <c:v>3.52733627247283</c:v>
                </c:pt>
                <c:pt idx="477">
                  <c:v>3.4814313614219</c:v>
                </c:pt>
                <c:pt idx="478">
                  <c:v>3.43577965049898</c:v>
                </c:pt>
                <c:pt idx="479">
                  <c:v>3.3903849721129</c:v>
                </c:pt>
                <c:pt idx="480">
                  <c:v>3.34525101157236</c:v>
                </c:pt>
                <c:pt idx="481">
                  <c:v>3.30038130935736</c:v>
                </c:pt>
                <c:pt idx="482">
                  <c:v>3.25577926338058</c:v>
                </c:pt>
                <c:pt idx="483">
                  <c:v>3.21144813123886</c:v>
                </c:pt>
                <c:pt idx="484">
                  <c:v>3.16739103245495</c:v>
                </c:pt>
                <c:pt idx="485">
                  <c:v>3.12361095070992</c:v>
                </c:pt>
                <c:pt idx="486">
                  <c:v>3.08011073606595</c:v>
                </c:pt>
                <c:pt idx="487">
                  <c:v>3.03689310717981</c:v>
                </c:pt>
                <c:pt idx="488">
                  <c:v>2.99396065350677</c:v>
                </c:pt>
                <c:pt idx="489">
                  <c:v>2.95131583749499</c:v>
                </c:pt>
                <c:pt idx="490">
                  <c:v>2.90896099677008</c:v>
                </c:pt>
                <c:pt idx="491">
                  <c:v>2.86689834630987</c:v>
                </c:pt>
                <c:pt idx="492">
                  <c:v>2.82512998060896</c:v>
                </c:pt>
                <c:pt idx="493">
                  <c:v>2.78365787583285</c:v>
                </c:pt>
                <c:pt idx="494">
                  <c:v>2.74248389196152</c:v>
                </c:pt>
                <c:pt idx="495">
                  <c:v>2.70160977492191</c:v>
                </c:pt>
                <c:pt idx="496">
                  <c:v>2.66103715870918</c:v>
                </c:pt>
                <c:pt idx="497">
                  <c:v>2.62076756749628</c:v>
                </c:pt>
                <c:pt idx="498">
                  <c:v>2.5808024177316</c:v>
                </c:pt>
                <c:pt idx="499">
                  <c:v>2.54114302022413</c:v>
                </c:pt>
                <c:pt idx="500">
                  <c:v>2.50179058221601</c:v>
                </c:pt>
                <c:pt idx="501">
                  <c:v>2.46274620944186</c:v>
                </c:pt>
                <c:pt idx="502">
                  <c:v>2.42401090817465</c:v>
                </c:pt>
                <c:pt idx="503">
                  <c:v>2.42397257473928</c:v>
                </c:pt>
                <c:pt idx="504">
                  <c:v>2.42393424161058</c:v>
                </c:pt>
                <c:pt idx="505">
                  <c:v>2.42389590878855</c:v>
                </c:pt>
                <c:pt idx="506">
                  <c:v>2.42385757627321</c:v>
                </c:pt>
                <c:pt idx="507">
                  <c:v>2.42381924406453</c:v>
                </c:pt>
                <c:pt idx="508">
                  <c:v>2.42378091216254</c:v>
                </c:pt>
                <c:pt idx="509">
                  <c:v>2.42374258056721</c:v>
                </c:pt>
                <c:pt idx="510">
                  <c:v>2.42370424927857</c:v>
                </c:pt>
                <c:pt idx="511">
                  <c:v>2.42366591829661</c:v>
                </c:pt>
                <c:pt idx="512">
                  <c:v>2.42362758762133</c:v>
                </c:pt>
                <c:pt idx="513">
                  <c:v>2.42358925725273</c:v>
                </c:pt>
                <c:pt idx="514">
                  <c:v>2.4235509271908</c:v>
                </c:pt>
                <c:pt idx="515">
                  <c:v>2.42351259743557</c:v>
                </c:pt>
                <c:pt idx="516">
                  <c:v>2.42347426798701</c:v>
                </c:pt>
                <c:pt idx="517">
                  <c:v>2.42343593884515</c:v>
                </c:pt>
                <c:pt idx="518">
                  <c:v>2.42339761000996</c:v>
                </c:pt>
                <c:pt idx="519">
                  <c:v>2.42335928148146</c:v>
                </c:pt>
                <c:pt idx="520">
                  <c:v>2.42332095325965</c:v>
                </c:pt>
                <c:pt idx="521">
                  <c:v>2.42328262534452</c:v>
                </c:pt>
                <c:pt idx="522">
                  <c:v>2.42324429773609</c:v>
                </c:pt>
                <c:pt idx="523">
                  <c:v>2.42320597043434</c:v>
                </c:pt>
                <c:pt idx="524">
                  <c:v>2.42316764343928</c:v>
                </c:pt>
                <c:pt idx="525">
                  <c:v>2.42312931675091</c:v>
                </c:pt>
                <c:pt idx="526">
                  <c:v>2.42309099036924</c:v>
                </c:pt>
                <c:pt idx="527">
                  <c:v>2.42305266429426</c:v>
                </c:pt>
                <c:pt idx="528">
                  <c:v>2.42301433852597</c:v>
                </c:pt>
                <c:pt idx="529">
                  <c:v>2.42297601306437</c:v>
                </c:pt>
                <c:pt idx="530">
                  <c:v>2.42293768790947</c:v>
                </c:pt>
                <c:pt idx="531">
                  <c:v>2.42289936306127</c:v>
                </c:pt>
                <c:pt idx="532">
                  <c:v>2.42286103851976</c:v>
                </c:pt>
                <c:pt idx="533">
                  <c:v>2.42282271428495</c:v>
                </c:pt>
                <c:pt idx="534">
                  <c:v>2.42278439035684</c:v>
                </c:pt>
                <c:pt idx="535">
                  <c:v>2.42274606673542</c:v>
                </c:pt>
                <c:pt idx="536">
                  <c:v>2.42270774342071</c:v>
                </c:pt>
                <c:pt idx="537">
                  <c:v>2.4226694204127</c:v>
                </c:pt>
                <c:pt idx="538">
                  <c:v>2.42263109771138</c:v>
                </c:pt>
                <c:pt idx="539">
                  <c:v>2.42259277531677</c:v>
                </c:pt>
                <c:pt idx="540">
                  <c:v>2.42255445322887</c:v>
                </c:pt>
                <c:pt idx="541">
                  <c:v>2.42251613144767</c:v>
                </c:pt>
                <c:pt idx="542">
                  <c:v>2.42247780997317</c:v>
                </c:pt>
                <c:pt idx="543">
                  <c:v>2.42243948880537</c:v>
                </c:pt>
                <c:pt idx="544">
                  <c:v>2.42240116794429</c:v>
                </c:pt>
                <c:pt idx="545">
                  <c:v>2.42236284738991</c:v>
                </c:pt>
                <c:pt idx="546">
                  <c:v>2.42232452714224</c:v>
                </c:pt>
                <c:pt idx="547">
                  <c:v>2.42228620720128</c:v>
                </c:pt>
                <c:pt idx="548">
                  <c:v>2.42224788756703</c:v>
                </c:pt>
                <c:pt idx="549">
                  <c:v>2.42220956823949</c:v>
                </c:pt>
                <c:pt idx="550">
                  <c:v>2.42217124921866</c:v>
                </c:pt>
                <c:pt idx="551">
                  <c:v>2.42213293050454</c:v>
                </c:pt>
                <c:pt idx="552">
                  <c:v>2.42209461209714</c:v>
                </c:pt>
                <c:pt idx="553">
                  <c:v>2.42205629399644</c:v>
                </c:pt>
                <c:pt idx="554">
                  <c:v>2.42201797620247</c:v>
                </c:pt>
                <c:pt idx="555">
                  <c:v>2.4219796587152</c:v>
                </c:pt>
                <c:pt idx="556">
                  <c:v>2.42194134153466</c:v>
                </c:pt>
                <c:pt idx="557">
                  <c:v>2.42190302466083</c:v>
                </c:pt>
                <c:pt idx="558">
                  <c:v>2.42186470809372</c:v>
                </c:pt>
                <c:pt idx="559">
                  <c:v>2.42182639183333</c:v>
                </c:pt>
                <c:pt idx="560">
                  <c:v>2.42178807587966</c:v>
                </c:pt>
                <c:pt idx="561">
                  <c:v>2.42174976023271</c:v>
                </c:pt>
                <c:pt idx="562">
                  <c:v>2.42171144489248</c:v>
                </c:pt>
                <c:pt idx="563">
                  <c:v>2.42167312985897</c:v>
                </c:pt>
                <c:pt idx="564">
                  <c:v>2.42163481513218</c:v>
                </c:pt>
                <c:pt idx="565">
                  <c:v>2.42159650071212</c:v>
                </c:pt>
                <c:pt idx="566">
                  <c:v>2.42155818659878</c:v>
                </c:pt>
                <c:pt idx="567">
                  <c:v>2.42151987279217</c:v>
                </c:pt>
                <c:pt idx="568">
                  <c:v>2.42148155929229</c:v>
                </c:pt>
                <c:pt idx="569">
                  <c:v>2.42144324609912</c:v>
                </c:pt>
                <c:pt idx="570">
                  <c:v>2.42140493321269</c:v>
                </c:pt>
                <c:pt idx="571">
                  <c:v>2.42136662063299</c:v>
                </c:pt>
                <c:pt idx="572">
                  <c:v>2.42132830836002</c:v>
                </c:pt>
                <c:pt idx="573">
                  <c:v>2.42128999639378</c:v>
                </c:pt>
                <c:pt idx="574">
                  <c:v>2.42125168473427</c:v>
                </c:pt>
                <c:pt idx="575">
                  <c:v>2.42121337338149</c:v>
                </c:pt>
                <c:pt idx="576">
                  <c:v>2.42117506233544</c:v>
                </c:pt>
                <c:pt idx="577">
                  <c:v>2.42113675159612</c:v>
                </c:pt>
                <c:pt idx="578">
                  <c:v>2.42109844116354</c:v>
                </c:pt>
                <c:pt idx="579">
                  <c:v>2.4210601310377</c:v>
                </c:pt>
                <c:pt idx="580">
                  <c:v>2.42102182121859</c:v>
                </c:pt>
                <c:pt idx="581">
                  <c:v>2.42098351170622</c:v>
                </c:pt>
                <c:pt idx="582">
                  <c:v>2.42094520250059</c:v>
                </c:pt>
                <c:pt idx="583">
                  <c:v>2.42090689360169</c:v>
                </c:pt>
                <c:pt idx="584">
                  <c:v>2.42086858500953</c:v>
                </c:pt>
                <c:pt idx="585">
                  <c:v>2.42083027672412</c:v>
                </c:pt>
                <c:pt idx="586">
                  <c:v>2.42079196874544</c:v>
                </c:pt>
                <c:pt idx="587">
                  <c:v>2.42075366107351</c:v>
                </c:pt>
                <c:pt idx="588">
                  <c:v>2.42071535370832</c:v>
                </c:pt>
                <c:pt idx="589">
                  <c:v>2.42067704664987</c:v>
                </c:pt>
                <c:pt idx="590">
                  <c:v>2.42063873989816</c:v>
                </c:pt>
                <c:pt idx="591">
                  <c:v>2.4206004334532</c:v>
                </c:pt>
                <c:pt idx="592">
                  <c:v>2.42056212731499</c:v>
                </c:pt>
                <c:pt idx="593">
                  <c:v>2.42052382148353</c:v>
                </c:pt>
                <c:pt idx="594">
                  <c:v>2.42048551595881</c:v>
                </c:pt>
                <c:pt idx="595">
                  <c:v>2.42044721074084</c:v>
                </c:pt>
                <c:pt idx="596">
                  <c:v>2.42040890582962</c:v>
                </c:pt>
                <c:pt idx="597">
                  <c:v>2.42037060122514</c:v>
                </c:pt>
                <c:pt idx="598">
                  <c:v>2.42033229692742</c:v>
                </c:pt>
                <c:pt idx="599">
                  <c:v>2.42029399293645</c:v>
                </c:pt>
                <c:pt idx="600">
                  <c:v>2.42025568925223</c:v>
                </c:pt>
                <c:pt idx="601">
                  <c:v>2.42021738587477</c:v>
                </c:pt>
                <c:pt idx="602">
                  <c:v>2.42017908280406</c:v>
                </c:pt>
                <c:pt idx="603">
                  <c:v>2.4201407800401</c:v>
                </c:pt>
                <c:pt idx="604">
                  <c:v>2.4201024775829</c:v>
                </c:pt>
                <c:pt idx="605">
                  <c:v>2.42006417543246</c:v>
                </c:pt>
                <c:pt idx="606">
                  <c:v>2.42002587358877</c:v>
                </c:pt>
                <c:pt idx="607">
                  <c:v>2.41998757205184</c:v>
                </c:pt>
                <c:pt idx="608">
                  <c:v>2.41994927082168</c:v>
                </c:pt>
                <c:pt idx="609">
                  <c:v>2.41991096989826</c:v>
                </c:pt>
                <c:pt idx="610">
                  <c:v>2.41987266928161</c:v>
                </c:pt>
                <c:pt idx="611">
                  <c:v>2.41983436897172</c:v>
                </c:pt>
                <c:pt idx="612">
                  <c:v>2.4197960689686</c:v>
                </c:pt>
                <c:pt idx="613">
                  <c:v>2.41975776927223</c:v>
                </c:pt>
                <c:pt idx="614">
                  <c:v>2.41971946988263</c:v>
                </c:pt>
                <c:pt idx="615">
                  <c:v>2.4196811707998</c:v>
                </c:pt>
                <c:pt idx="616">
                  <c:v>2.41964287202373</c:v>
                </c:pt>
                <c:pt idx="617">
                  <c:v>2.41960457355443</c:v>
                </c:pt>
                <c:pt idx="618">
                  <c:v>2.41956627539189</c:v>
                </c:pt>
                <c:pt idx="619">
                  <c:v>2.41952797753612</c:v>
                </c:pt>
                <c:pt idx="620">
                  <c:v>2.41948967998712</c:v>
                </c:pt>
                <c:pt idx="621">
                  <c:v>2.41945138274489</c:v>
                </c:pt>
                <c:pt idx="622">
                  <c:v>2.41941308580943</c:v>
                </c:pt>
                <c:pt idx="623">
                  <c:v>2.41937478918074</c:v>
                </c:pt>
                <c:pt idx="624">
                  <c:v>2.41933649285882</c:v>
                </c:pt>
                <c:pt idx="625">
                  <c:v>2.41929819684368</c:v>
                </c:pt>
                <c:pt idx="626">
                  <c:v>2.4192599011353</c:v>
                </c:pt>
                <c:pt idx="627">
                  <c:v>2.41922160573371</c:v>
                </c:pt>
                <c:pt idx="628">
                  <c:v>2.41918331063889</c:v>
                </c:pt>
                <c:pt idx="629">
                  <c:v>2.41914501585084</c:v>
                </c:pt>
                <c:pt idx="630">
                  <c:v>2.41910672136958</c:v>
                </c:pt>
                <c:pt idx="631">
                  <c:v>2.41906842719508</c:v>
                </c:pt>
                <c:pt idx="632">
                  <c:v>2.41903013332737</c:v>
                </c:pt>
                <c:pt idx="633">
                  <c:v>2.41899183976644</c:v>
                </c:pt>
                <c:pt idx="634">
                  <c:v>2.41895354651228</c:v>
                </c:pt>
                <c:pt idx="635">
                  <c:v>2.41891525356491</c:v>
                </c:pt>
                <c:pt idx="636">
                  <c:v>2.41887696092432</c:v>
                </c:pt>
                <c:pt idx="637">
                  <c:v>2.41883866859051</c:v>
                </c:pt>
                <c:pt idx="638">
                  <c:v>2.41880037656348</c:v>
                </c:pt>
                <c:pt idx="639">
                  <c:v>2.41876208484324</c:v>
                </c:pt>
                <c:pt idx="640">
                  <c:v>2.41872379342979</c:v>
                </c:pt>
                <c:pt idx="641">
                  <c:v>2.41868550232312</c:v>
                </c:pt>
                <c:pt idx="642">
                  <c:v>2.41864721152323</c:v>
                </c:pt>
                <c:pt idx="643">
                  <c:v>2.41860892103014</c:v>
                </c:pt>
                <c:pt idx="644">
                  <c:v>2.41857063084383</c:v>
                </c:pt>
                <c:pt idx="645">
                  <c:v>2.41853234096431</c:v>
                </c:pt>
                <c:pt idx="646">
                  <c:v>2.41849405139158</c:v>
                </c:pt>
                <c:pt idx="647">
                  <c:v>2.41845576212564</c:v>
                </c:pt>
                <c:pt idx="648">
                  <c:v>2.41841747316649</c:v>
                </c:pt>
                <c:pt idx="649">
                  <c:v>2.41837918451414</c:v>
                </c:pt>
                <c:pt idx="650">
                  <c:v>2.41834089616858</c:v>
                </c:pt>
                <c:pt idx="651">
                  <c:v>2.41830260812981</c:v>
                </c:pt>
                <c:pt idx="652">
                  <c:v>2.41826432039783</c:v>
                </c:pt>
                <c:pt idx="653">
                  <c:v>2.41822603297265</c:v>
                </c:pt>
                <c:pt idx="654">
                  <c:v>2.41818774585427</c:v>
                </c:pt>
                <c:pt idx="655">
                  <c:v>2.41814945904269</c:v>
                </c:pt>
                <c:pt idx="656">
                  <c:v>2.4181111725379</c:v>
                </c:pt>
                <c:pt idx="657">
                  <c:v>2.41807288633991</c:v>
                </c:pt>
                <c:pt idx="658">
                  <c:v>2.41803460044872</c:v>
                </c:pt>
                <c:pt idx="659">
                  <c:v>2.41799631486433</c:v>
                </c:pt>
                <c:pt idx="660">
                  <c:v>2.41795802958675</c:v>
                </c:pt>
                <c:pt idx="661">
                  <c:v>2.41791974461596</c:v>
                </c:pt>
                <c:pt idx="662">
                  <c:v>2.41788145995198</c:v>
                </c:pt>
                <c:pt idx="663">
                  <c:v>2.4178431755948</c:v>
                </c:pt>
                <c:pt idx="664">
                  <c:v>2.41780489154443</c:v>
                </c:pt>
                <c:pt idx="665">
                  <c:v>2.41776660780086</c:v>
                </c:pt>
                <c:pt idx="666">
                  <c:v>2.4177283243641</c:v>
                </c:pt>
                <c:pt idx="667">
                  <c:v>2.41769004123414</c:v>
                </c:pt>
                <c:pt idx="668">
                  <c:v>2.417651758411</c:v>
                </c:pt>
                <c:pt idx="669">
                  <c:v>2.41761347589465</c:v>
                </c:pt>
                <c:pt idx="670">
                  <c:v>2.41757519368512</c:v>
                </c:pt>
                <c:pt idx="671">
                  <c:v>2.4175369117824</c:v>
                </c:pt>
                <c:pt idx="672">
                  <c:v>2.41749863018649</c:v>
                </c:pt>
                <c:pt idx="673">
                  <c:v>2.41746034889739</c:v>
                </c:pt>
                <c:pt idx="674">
                  <c:v>2.41742206791511</c:v>
                </c:pt>
                <c:pt idx="675">
                  <c:v>2.41738378723963</c:v>
                </c:pt>
                <c:pt idx="676">
                  <c:v>2.41734550687098</c:v>
                </c:pt>
                <c:pt idx="677">
                  <c:v>2.41730722680914</c:v>
                </c:pt>
                <c:pt idx="678">
                  <c:v>2.41726894705411</c:v>
                </c:pt>
                <c:pt idx="679">
                  <c:v>2.4172306676059</c:v>
                </c:pt>
                <c:pt idx="680">
                  <c:v>2.4171923884645</c:v>
                </c:pt>
                <c:pt idx="681">
                  <c:v>2.41715410962993</c:v>
                </c:pt>
                <c:pt idx="682">
                  <c:v>2.41711583110217</c:v>
                </c:pt>
                <c:pt idx="683">
                  <c:v>2.41707755288124</c:v>
                </c:pt>
                <c:pt idx="684">
                  <c:v>2.41703927496712</c:v>
                </c:pt>
                <c:pt idx="685">
                  <c:v>2.41700099735982</c:v>
                </c:pt>
                <c:pt idx="686">
                  <c:v>2.41696272005935</c:v>
                </c:pt>
                <c:pt idx="687">
                  <c:v>2.4169244430657</c:v>
                </c:pt>
                <c:pt idx="688">
                  <c:v>2.41688616637888</c:v>
                </c:pt>
                <c:pt idx="689">
                  <c:v>2.41684788999888</c:v>
                </c:pt>
                <c:pt idx="690">
                  <c:v>2.4168096139257</c:v>
                </c:pt>
                <c:pt idx="691">
                  <c:v>2.41677133815935</c:v>
                </c:pt>
                <c:pt idx="692">
                  <c:v>2.41673306269983</c:v>
                </c:pt>
                <c:pt idx="693">
                  <c:v>2.41669478754714</c:v>
                </c:pt>
                <c:pt idx="694">
                  <c:v>2.41665651270127</c:v>
                </c:pt>
                <c:pt idx="695">
                  <c:v>2.41661823816223</c:v>
                </c:pt>
                <c:pt idx="696">
                  <c:v>2.41657996393003</c:v>
                </c:pt>
                <c:pt idx="697">
                  <c:v>2.41654169000466</c:v>
                </c:pt>
                <c:pt idx="698">
                  <c:v>2.41650341638611</c:v>
                </c:pt>
                <c:pt idx="699">
                  <c:v>2.41646514307441</c:v>
                </c:pt>
                <c:pt idx="700">
                  <c:v>2.41642687006953</c:v>
                </c:pt>
                <c:pt idx="701">
                  <c:v>2.41638859737149</c:v>
                </c:pt>
                <c:pt idx="702">
                  <c:v>2.41635032498028</c:v>
                </c:pt>
                <c:pt idx="703">
                  <c:v>2.41631205289591</c:v>
                </c:pt>
                <c:pt idx="704">
                  <c:v>2.41627378111838</c:v>
                </c:pt>
                <c:pt idx="705">
                  <c:v>2.41623550964768</c:v>
                </c:pt>
                <c:pt idx="706">
                  <c:v>2.41619723848383</c:v>
                </c:pt>
                <c:pt idx="707">
                  <c:v>2.41615896762681</c:v>
                </c:pt>
                <c:pt idx="708">
                  <c:v>2.41612069707663</c:v>
                </c:pt>
                <c:pt idx="709">
                  <c:v>2.41608242683329</c:v>
                </c:pt>
                <c:pt idx="710">
                  <c:v>2.4160441568968</c:v>
                </c:pt>
                <c:pt idx="711">
                  <c:v>2.41600588726715</c:v>
                </c:pt>
                <c:pt idx="712">
                  <c:v>2.41596761794434</c:v>
                </c:pt>
                <c:pt idx="713">
                  <c:v>2.41592934892837</c:v>
                </c:pt>
                <c:pt idx="714">
                  <c:v>2.41589108021925</c:v>
                </c:pt>
                <c:pt idx="715">
                  <c:v>2.41585281181698</c:v>
                </c:pt>
                <c:pt idx="716">
                  <c:v>2.41581454372155</c:v>
                </c:pt>
                <c:pt idx="717">
                  <c:v>2.41577627593297</c:v>
                </c:pt>
                <c:pt idx="718">
                  <c:v>2.41573800845123</c:v>
                </c:pt>
                <c:pt idx="719">
                  <c:v>2.41569974127635</c:v>
                </c:pt>
                <c:pt idx="720">
                  <c:v>2.41566147440832</c:v>
                </c:pt>
                <c:pt idx="721">
                  <c:v>2.41562320784713</c:v>
                </c:pt>
                <c:pt idx="722">
                  <c:v>2.4155849415928</c:v>
                </c:pt>
                <c:pt idx="723">
                  <c:v>2.41554667564531</c:v>
                </c:pt>
                <c:pt idx="724">
                  <c:v>2.41550841000469</c:v>
                </c:pt>
                <c:pt idx="725">
                  <c:v>2.41547014467091</c:v>
                </c:pt>
                <c:pt idx="726">
                  <c:v>2.41543187964399</c:v>
                </c:pt>
                <c:pt idx="727">
                  <c:v>2.41539361492393</c:v>
                </c:pt>
                <c:pt idx="728">
                  <c:v>2.41535535051072</c:v>
                </c:pt>
                <c:pt idx="729">
                  <c:v>2.41531708640437</c:v>
                </c:pt>
                <c:pt idx="730">
                  <c:v>2.41527882260488</c:v>
                </c:pt>
                <c:pt idx="731">
                  <c:v>2.41524055911224</c:v>
                </c:pt>
                <c:pt idx="732">
                  <c:v>2.41520229592646</c:v>
                </c:pt>
                <c:pt idx="733">
                  <c:v>2.41516403304755</c:v>
                </c:pt>
                <c:pt idx="734">
                  <c:v>2.4151257704755</c:v>
                </c:pt>
                <c:pt idx="735">
                  <c:v>2.4150875082103</c:v>
                </c:pt>
                <c:pt idx="736">
                  <c:v>2.41504924625198</c:v>
                </c:pt>
                <c:pt idx="737">
                  <c:v>2.41501098460051</c:v>
                </c:pt>
                <c:pt idx="738">
                  <c:v>2.41497272325591</c:v>
                </c:pt>
                <c:pt idx="739">
                  <c:v>2.41493446221817</c:v>
                </c:pt>
                <c:pt idx="740">
                  <c:v>2.4148962014873</c:v>
                </c:pt>
                <c:pt idx="741">
                  <c:v>2.41485794106329</c:v>
                </c:pt>
                <c:pt idx="742">
                  <c:v>2.41481968094616</c:v>
                </c:pt>
                <c:pt idx="743">
                  <c:v>2.41478142113589</c:v>
                </c:pt>
                <c:pt idx="744">
                  <c:v>2.41474316163249</c:v>
                </c:pt>
                <c:pt idx="745">
                  <c:v>2.41470490243596</c:v>
                </c:pt>
                <c:pt idx="746">
                  <c:v>2.41466664354629</c:v>
                </c:pt>
                <c:pt idx="747">
                  <c:v>2.41462838496351</c:v>
                </c:pt>
                <c:pt idx="748">
                  <c:v>2.41459012668759</c:v>
                </c:pt>
                <c:pt idx="749">
                  <c:v>2.41455186871855</c:v>
                </c:pt>
                <c:pt idx="750">
                  <c:v>2.41451361105638</c:v>
                </c:pt>
                <c:pt idx="751">
                  <c:v>2.41447535370109</c:v>
                </c:pt>
                <c:pt idx="752">
                  <c:v>2.41443709665267</c:v>
                </c:pt>
                <c:pt idx="753">
                  <c:v>2.41439883991113</c:v>
                </c:pt>
                <c:pt idx="754">
                  <c:v>2.41436058347646</c:v>
                </c:pt>
                <c:pt idx="755">
                  <c:v>2.41432232734867</c:v>
                </c:pt>
                <c:pt idx="756">
                  <c:v>2.41428407152777</c:v>
                </c:pt>
                <c:pt idx="757">
                  <c:v>2.41424581601374</c:v>
                </c:pt>
                <c:pt idx="758">
                  <c:v>2.41420756080659</c:v>
                </c:pt>
                <c:pt idx="759">
                  <c:v>2.41416930590631</c:v>
                </c:pt>
                <c:pt idx="760">
                  <c:v>2.41413105131293</c:v>
                </c:pt>
                <c:pt idx="761">
                  <c:v>2.41409279702642</c:v>
                </c:pt>
                <c:pt idx="762">
                  <c:v>2.4140545430468</c:v>
                </c:pt>
                <c:pt idx="763">
                  <c:v>2.41401628937407</c:v>
                </c:pt>
                <c:pt idx="764">
                  <c:v>2.41397803600822</c:v>
                </c:pt>
                <c:pt idx="765">
                  <c:v>2.41393978294925</c:v>
                </c:pt>
                <c:pt idx="766">
                  <c:v>2.41390153019718</c:v>
                </c:pt>
                <c:pt idx="767">
                  <c:v>2.41386327775199</c:v>
                </c:pt>
                <c:pt idx="768">
                  <c:v>2.41382502561368</c:v>
                </c:pt>
                <c:pt idx="769">
                  <c:v>2.41378677378227</c:v>
                </c:pt>
                <c:pt idx="770">
                  <c:v>2.41374852225774</c:v>
                </c:pt>
                <c:pt idx="771">
                  <c:v>2.41371027104011</c:v>
                </c:pt>
                <c:pt idx="772">
                  <c:v>2.41367202012937</c:v>
                </c:pt>
                <c:pt idx="773">
                  <c:v>2.41363376952552</c:v>
                </c:pt>
                <c:pt idx="774">
                  <c:v>2.41359551922856</c:v>
                </c:pt>
                <c:pt idx="775">
                  <c:v>2.4135572692385</c:v>
                </c:pt>
                <c:pt idx="776">
                  <c:v>2.41351901955533</c:v>
                </c:pt>
                <c:pt idx="777">
                  <c:v>2.41348077017906</c:v>
                </c:pt>
                <c:pt idx="778">
                  <c:v>2.41344252110969</c:v>
                </c:pt>
                <c:pt idx="779">
                  <c:v>2.41340427234721</c:v>
                </c:pt>
                <c:pt idx="780">
                  <c:v>2.41336602389163</c:v>
                </c:pt>
                <c:pt idx="781">
                  <c:v>2.41332777574295</c:v>
                </c:pt>
                <c:pt idx="782">
                  <c:v>2.41328952790117</c:v>
                </c:pt>
                <c:pt idx="783">
                  <c:v>2.41325128036628</c:v>
                </c:pt>
                <c:pt idx="784">
                  <c:v>2.4132130331383</c:v>
                </c:pt>
                <c:pt idx="785">
                  <c:v>2.41317478621722</c:v>
                </c:pt>
                <c:pt idx="786">
                  <c:v>2.41313653960305</c:v>
                </c:pt>
                <c:pt idx="787">
                  <c:v>2.41309829329577</c:v>
                </c:pt>
                <c:pt idx="788">
                  <c:v>2.41306004729541</c:v>
                </c:pt>
                <c:pt idx="789">
                  <c:v>2.41302180160194</c:v>
                </c:pt>
                <c:pt idx="790">
                  <c:v>2.41298355621539</c:v>
                </c:pt>
                <c:pt idx="791">
                  <c:v>2.41294531113573</c:v>
                </c:pt>
                <c:pt idx="792">
                  <c:v>2.41290706636299</c:v>
                </c:pt>
                <c:pt idx="793">
                  <c:v>2.41286882189716</c:v>
                </c:pt>
                <c:pt idx="794">
                  <c:v>2.41283057773823</c:v>
                </c:pt>
                <c:pt idx="795">
                  <c:v>2.41279233388622</c:v>
                </c:pt>
                <c:pt idx="796">
                  <c:v>2.41275409034111</c:v>
                </c:pt>
                <c:pt idx="797">
                  <c:v>2.41271584710292</c:v>
                </c:pt>
                <c:pt idx="798">
                  <c:v>2.41267760417164</c:v>
                </c:pt>
                <c:pt idx="799">
                  <c:v>2.41263936154727</c:v>
                </c:pt>
                <c:pt idx="800">
                  <c:v>2.41260111922982</c:v>
                </c:pt>
                <c:pt idx="801">
                  <c:v>2.41256287721928</c:v>
                </c:pt>
                <c:pt idx="802">
                  <c:v>2.41252463551565</c:v>
                </c:pt>
                <c:pt idx="803">
                  <c:v>2.41248639411895</c:v>
                </c:pt>
                <c:pt idx="804">
                  <c:v>2.41244815302915</c:v>
                </c:pt>
                <c:pt idx="805">
                  <c:v>2.41240991224628</c:v>
                </c:pt>
                <c:pt idx="806">
                  <c:v>2.41237167177033</c:v>
                </c:pt>
                <c:pt idx="807">
                  <c:v>2.4123334316013</c:v>
                </c:pt>
                <c:pt idx="808">
                  <c:v>2.41229519173918</c:v>
                </c:pt>
                <c:pt idx="809">
                  <c:v>2.41225695218399</c:v>
                </c:pt>
                <c:pt idx="810">
                  <c:v>2.41221871293571</c:v>
                </c:pt>
                <c:pt idx="811">
                  <c:v>2.41218047399437</c:v>
                </c:pt>
                <c:pt idx="812">
                  <c:v>2.41214223535994</c:v>
                </c:pt>
                <c:pt idx="813">
                  <c:v>2.41210399703244</c:v>
                </c:pt>
                <c:pt idx="814">
                  <c:v>2.41206575901187</c:v>
                </c:pt>
                <c:pt idx="815">
                  <c:v>2.41202752129822</c:v>
                </c:pt>
                <c:pt idx="816">
                  <c:v>2.41198928389149</c:v>
                </c:pt>
                <c:pt idx="817">
                  <c:v>2.41195104679169</c:v>
                </c:pt>
                <c:pt idx="818">
                  <c:v>2.41191280999883</c:v>
                </c:pt>
                <c:pt idx="819">
                  <c:v>2.41187457351289</c:v>
                </c:pt>
                <c:pt idx="820">
                  <c:v>2.41183633733388</c:v>
                </c:pt>
                <c:pt idx="821">
                  <c:v>2.4117981014618</c:v>
                </c:pt>
                <c:pt idx="822">
                  <c:v>2.41175986589665</c:v>
                </c:pt>
                <c:pt idx="823">
                  <c:v>2.41172163063844</c:v>
                </c:pt>
                <c:pt idx="824">
                  <c:v>2.41168339568716</c:v>
                </c:pt>
                <c:pt idx="825">
                  <c:v>2.41164516104282</c:v>
                </c:pt>
                <c:pt idx="826">
                  <c:v>2.4116069267054</c:v>
                </c:pt>
                <c:pt idx="827">
                  <c:v>2.41156869267492</c:v>
                </c:pt>
                <c:pt idx="828">
                  <c:v>2.41153045895138</c:v>
                </c:pt>
                <c:pt idx="829">
                  <c:v>2.41149222553478</c:v>
                </c:pt>
                <c:pt idx="830">
                  <c:v>2.41145399242511</c:v>
                </c:pt>
                <c:pt idx="831">
                  <c:v>2.41141575962238</c:v>
                </c:pt>
                <c:pt idx="832">
                  <c:v>2.41137752712659</c:v>
                </c:pt>
                <c:pt idx="833">
                  <c:v>2.41133929493775</c:v>
                </c:pt>
                <c:pt idx="834">
                  <c:v>2.41130106305584</c:v>
                </c:pt>
                <c:pt idx="835">
                  <c:v>2.41126283148087</c:v>
                </c:pt>
                <c:pt idx="836">
                  <c:v>2.41122460021285</c:v>
                </c:pt>
                <c:pt idx="837">
                  <c:v>2.41118636925177</c:v>
                </c:pt>
                <c:pt idx="838">
                  <c:v>2.41114813859764</c:v>
                </c:pt>
                <c:pt idx="839">
                  <c:v>2.41110990825044</c:v>
                </c:pt>
                <c:pt idx="840">
                  <c:v>2.4110716782102</c:v>
                </c:pt>
                <c:pt idx="841">
                  <c:v>2.4110334484769</c:v>
                </c:pt>
                <c:pt idx="842">
                  <c:v>2.41099521905056</c:v>
                </c:pt>
                <c:pt idx="843">
                  <c:v>2.41095698993115</c:v>
                </c:pt>
                <c:pt idx="844">
                  <c:v>2.4109187611187</c:v>
                </c:pt>
                <c:pt idx="845">
                  <c:v>2.4108805326132</c:v>
                </c:pt>
                <c:pt idx="846">
                  <c:v>2.41084230441464</c:v>
                </c:pt>
                <c:pt idx="847">
                  <c:v>2.41080407652304</c:v>
                </c:pt>
                <c:pt idx="848">
                  <c:v>2.41076584893839</c:v>
                </c:pt>
                <c:pt idx="849">
                  <c:v>2.41072762166069</c:v>
                </c:pt>
                <c:pt idx="850">
                  <c:v>2.41068939468995</c:v>
                </c:pt>
                <c:pt idx="851">
                  <c:v>2.41065116802616</c:v>
                </c:pt>
                <c:pt idx="852">
                  <c:v>2.41061294166933</c:v>
                </c:pt>
                <c:pt idx="853">
                  <c:v>2.41057471561945</c:v>
                </c:pt>
                <c:pt idx="854">
                  <c:v>2.41053648987653</c:v>
                </c:pt>
                <c:pt idx="855">
                  <c:v>2.41049826444057</c:v>
                </c:pt>
                <c:pt idx="856">
                  <c:v>2.41046003931157</c:v>
                </c:pt>
                <c:pt idx="857">
                  <c:v>2.41042181448952</c:v>
                </c:pt>
                <c:pt idx="858">
                  <c:v>2.41038358997444</c:v>
                </c:pt>
                <c:pt idx="859">
                  <c:v>2.41034536576631</c:v>
                </c:pt>
                <c:pt idx="860">
                  <c:v>2.41030714186515</c:v>
                </c:pt>
                <c:pt idx="861">
                  <c:v>2.41026891827095</c:v>
                </c:pt>
                <c:pt idx="862">
                  <c:v>2.41023069498371</c:v>
                </c:pt>
                <c:pt idx="863">
                  <c:v>2.41019247200344</c:v>
                </c:pt>
                <c:pt idx="864">
                  <c:v>2.41015424933013</c:v>
                </c:pt>
                <c:pt idx="865">
                  <c:v>2.41011602696379</c:v>
                </c:pt>
                <c:pt idx="866">
                  <c:v>2.41007780490442</c:v>
                </c:pt>
                <c:pt idx="867">
                  <c:v>2.41003958315201</c:v>
                </c:pt>
                <c:pt idx="868">
                  <c:v>2.41000136170657</c:v>
                </c:pt>
                <c:pt idx="869">
                  <c:v>2.4099631405681</c:v>
                </c:pt>
                <c:pt idx="870">
                  <c:v>2.4099249197366</c:v>
                </c:pt>
                <c:pt idx="871">
                  <c:v>2.40988669921206</c:v>
                </c:pt>
                <c:pt idx="872">
                  <c:v>2.40984847899451</c:v>
                </c:pt>
                <c:pt idx="873">
                  <c:v>2.40981025908391</c:v>
                </c:pt>
                <c:pt idx="874">
                  <c:v>2.4097720394803</c:v>
                </c:pt>
                <c:pt idx="875">
                  <c:v>2.40973382018366</c:v>
                </c:pt>
                <c:pt idx="876">
                  <c:v>2.40969560119399</c:v>
                </c:pt>
                <c:pt idx="877">
                  <c:v>2.4096573825113</c:v>
                </c:pt>
                <c:pt idx="878">
                  <c:v>2.40961916413558</c:v>
                </c:pt>
                <c:pt idx="879">
                  <c:v>2.40958094606684</c:v>
                </c:pt>
                <c:pt idx="880">
                  <c:v>2.40954272830508</c:v>
                </c:pt>
                <c:pt idx="881">
                  <c:v>2.4095045108503</c:v>
                </c:pt>
                <c:pt idx="882">
                  <c:v>2.40946629370249</c:v>
                </c:pt>
                <c:pt idx="883">
                  <c:v>2.40942807686167</c:v>
                </c:pt>
                <c:pt idx="884">
                  <c:v>2.40938986032782</c:v>
                </c:pt>
                <c:pt idx="885">
                  <c:v>2.40935164410096</c:v>
                </c:pt>
                <c:pt idx="886">
                  <c:v>2.40931342818108</c:v>
                </c:pt>
                <c:pt idx="887">
                  <c:v>2.40927521256818</c:v>
                </c:pt>
                <c:pt idx="888">
                  <c:v>2.40923699726226</c:v>
                </c:pt>
                <c:pt idx="889">
                  <c:v>2.40919878226333</c:v>
                </c:pt>
                <c:pt idx="890">
                  <c:v>2.40916056757139</c:v>
                </c:pt>
                <c:pt idx="891">
                  <c:v>2.40912235318643</c:v>
                </c:pt>
                <c:pt idx="892">
                  <c:v>2.40908413910846</c:v>
                </c:pt>
                <c:pt idx="893">
                  <c:v>2.40904592533748</c:v>
                </c:pt>
                <c:pt idx="894">
                  <c:v>2.40900771187348</c:v>
                </c:pt>
                <c:pt idx="895">
                  <c:v>2.40896949871648</c:v>
                </c:pt>
                <c:pt idx="896">
                  <c:v>2.40893128586646</c:v>
                </c:pt>
                <c:pt idx="897">
                  <c:v>2.40889307332344</c:v>
                </c:pt>
                <c:pt idx="898">
                  <c:v>2.40885486108741</c:v>
                </c:pt>
                <c:pt idx="899">
                  <c:v>2.40881664915837</c:v>
                </c:pt>
                <c:pt idx="900">
                  <c:v>2.40877843753632</c:v>
                </c:pt>
                <c:pt idx="901">
                  <c:v>2.40874022622127</c:v>
                </c:pt>
                <c:pt idx="902">
                  <c:v>2.40870201521321</c:v>
                </c:pt>
                <c:pt idx="903">
                  <c:v>2.40866380451215</c:v>
                </c:pt>
                <c:pt idx="904">
                  <c:v>2.40862559411809</c:v>
                </c:pt>
                <c:pt idx="905">
                  <c:v>2.40858738403102</c:v>
                </c:pt>
                <c:pt idx="906">
                  <c:v>2.40854917425095</c:v>
                </c:pt>
                <c:pt idx="907">
                  <c:v>2.40851096477788</c:v>
                </c:pt>
                <c:pt idx="908">
                  <c:v>2.40847275561181</c:v>
                </c:pt>
                <c:pt idx="909">
                  <c:v>2.40843454675274</c:v>
                </c:pt>
                <c:pt idx="910">
                  <c:v>2.40839633820066</c:v>
                </c:pt>
                <c:pt idx="911">
                  <c:v>2.4083581299556</c:v>
                </c:pt>
                <c:pt idx="912">
                  <c:v>2.40831992201753</c:v>
                </c:pt>
                <c:pt idx="913">
                  <c:v>2.40828171438647</c:v>
                </c:pt>
                <c:pt idx="914">
                  <c:v>2.40824350706241</c:v>
                </c:pt>
                <c:pt idx="915">
                  <c:v>2.40820530004536</c:v>
                </c:pt>
                <c:pt idx="916">
                  <c:v>2.40816709333531</c:v>
                </c:pt>
                <c:pt idx="917">
                  <c:v>2.40812888693228</c:v>
                </c:pt>
                <c:pt idx="918">
                  <c:v>2.40809068083625</c:v>
                </c:pt>
                <c:pt idx="919">
                  <c:v>2.40805247504722</c:v>
                </c:pt>
                <c:pt idx="920">
                  <c:v>2.4080142695652</c:v>
                </c:pt>
                <c:pt idx="921">
                  <c:v>2.4079760643902</c:v>
                </c:pt>
                <c:pt idx="922">
                  <c:v>2.40793785952221</c:v>
                </c:pt>
                <c:pt idx="923">
                  <c:v>2.40789965496122</c:v>
                </c:pt>
                <c:pt idx="924">
                  <c:v>2.40786145070726</c:v>
                </c:pt>
                <c:pt idx="925">
                  <c:v>2.4078232467603</c:v>
                </c:pt>
                <c:pt idx="926">
                  <c:v>2.40778504312035</c:v>
                </c:pt>
                <c:pt idx="927">
                  <c:v>2.40774683978743</c:v>
                </c:pt>
                <c:pt idx="928">
                  <c:v>2.40770863676151</c:v>
                </c:pt>
                <c:pt idx="929">
                  <c:v>2.40767043404261</c:v>
                </c:pt>
                <c:pt idx="930">
                  <c:v>2.40763223163073</c:v>
                </c:pt>
                <c:pt idx="931">
                  <c:v>2.40759402952587</c:v>
                </c:pt>
                <c:pt idx="932">
                  <c:v>2.40755582772803</c:v>
                </c:pt>
                <c:pt idx="933">
                  <c:v>2.4075176262372</c:v>
                </c:pt>
                <c:pt idx="934">
                  <c:v>2.4074794250534</c:v>
                </c:pt>
                <c:pt idx="935">
                  <c:v>2.40744122417661</c:v>
                </c:pt>
                <c:pt idx="936">
                  <c:v>2.40740302360685</c:v>
                </c:pt>
                <c:pt idx="937">
                  <c:v>2.40736482334411</c:v>
                </c:pt>
                <c:pt idx="938">
                  <c:v>2.40732662338839</c:v>
                </c:pt>
                <c:pt idx="939">
                  <c:v>2.4072884237397</c:v>
                </c:pt>
                <c:pt idx="940">
                  <c:v>2.40725022439803</c:v>
                </c:pt>
                <c:pt idx="941">
                  <c:v>2.40721202536339</c:v>
                </c:pt>
                <c:pt idx="942">
                  <c:v>2.40717382663577</c:v>
                </c:pt>
                <c:pt idx="943">
                  <c:v>2.40713562821519</c:v>
                </c:pt>
                <c:pt idx="944">
                  <c:v>2.40709743010162</c:v>
                </c:pt>
                <c:pt idx="945">
                  <c:v>2.40705923229509</c:v>
                </c:pt>
                <c:pt idx="946">
                  <c:v>2.40702103479559</c:v>
                </c:pt>
                <c:pt idx="947">
                  <c:v>2.40698283760312</c:v>
                </c:pt>
                <c:pt idx="948">
                  <c:v>2.40694464071768</c:v>
                </c:pt>
                <c:pt idx="949">
                  <c:v>2.40690644413927</c:v>
                </c:pt>
                <c:pt idx="950">
                  <c:v>2.40686824786789</c:v>
                </c:pt>
                <c:pt idx="951">
                  <c:v>2.40683005190355</c:v>
                </c:pt>
                <c:pt idx="952">
                  <c:v>2.40679185624624</c:v>
                </c:pt>
                <c:pt idx="953">
                  <c:v>2.40675366089597</c:v>
                </c:pt>
                <c:pt idx="954">
                  <c:v>2.40671546585273</c:v>
                </c:pt>
                <c:pt idx="955">
                  <c:v>2.40667727111653</c:v>
                </c:pt>
                <c:pt idx="956">
                  <c:v>2.40663907668737</c:v>
                </c:pt>
                <c:pt idx="957">
                  <c:v>2.40660088256524</c:v>
                </c:pt>
                <c:pt idx="958">
                  <c:v>2.40656268875015</c:v>
                </c:pt>
                <c:pt idx="959">
                  <c:v>2.40652449524211</c:v>
                </c:pt>
                <c:pt idx="960">
                  <c:v>2.4064863020411</c:v>
                </c:pt>
                <c:pt idx="961">
                  <c:v>2.40644810914713</c:v>
                </c:pt>
                <c:pt idx="962">
                  <c:v>2.40640991656021</c:v>
                </c:pt>
                <c:pt idx="963">
                  <c:v>2.40637172428033</c:v>
                </c:pt>
                <c:pt idx="964">
                  <c:v>2.40633353230749</c:v>
                </c:pt>
                <c:pt idx="965">
                  <c:v>2.4062953406417</c:v>
                </c:pt>
                <c:pt idx="966">
                  <c:v>2.40625714928296</c:v>
                </c:pt>
                <c:pt idx="967">
                  <c:v>2.40621895823125</c:v>
                </c:pt>
                <c:pt idx="968">
                  <c:v>2.4061807674866</c:v>
                </c:pt>
                <c:pt idx="969">
                  <c:v>2.40614257704899</c:v>
                </c:pt>
                <c:pt idx="970">
                  <c:v>2.40610438691844</c:v>
                </c:pt>
                <c:pt idx="971">
                  <c:v>2.40606619709493</c:v>
                </c:pt>
                <c:pt idx="972">
                  <c:v>2.40602800757847</c:v>
                </c:pt>
                <c:pt idx="973">
                  <c:v>2.40598981836906</c:v>
                </c:pt>
                <c:pt idx="974">
                  <c:v>2.40595162946671</c:v>
                </c:pt>
                <c:pt idx="975">
                  <c:v>2.4059134408714</c:v>
                </c:pt>
                <c:pt idx="976">
                  <c:v>2.40587525258315</c:v>
                </c:pt>
                <c:pt idx="977">
                  <c:v>2.40583706460195</c:v>
                </c:pt>
                <c:pt idx="978">
                  <c:v>2.40579887692781</c:v>
                </c:pt>
                <c:pt idx="979">
                  <c:v>2.40576068956072</c:v>
                </c:pt>
                <c:pt idx="980">
                  <c:v>2.40572250250069</c:v>
                </c:pt>
                <c:pt idx="981">
                  <c:v>2.40568431574772</c:v>
                </c:pt>
                <c:pt idx="982">
                  <c:v>2.4056461293018</c:v>
                </c:pt>
                <c:pt idx="983">
                  <c:v>2.40560794316294</c:v>
                </c:pt>
                <c:pt idx="984">
                  <c:v>2.40556975733114</c:v>
                </c:pt>
                <c:pt idx="985">
                  <c:v>2.4055315718064</c:v>
                </c:pt>
                <c:pt idx="986">
                  <c:v>2.40549338658872</c:v>
                </c:pt>
                <c:pt idx="987">
                  <c:v>2.40545520167811</c:v>
                </c:pt>
                <c:pt idx="988">
                  <c:v>2.40541701707455</c:v>
                </c:pt>
                <c:pt idx="989">
                  <c:v>2.40537883277806</c:v>
                </c:pt>
                <c:pt idx="990">
                  <c:v>2.40534064878864</c:v>
                </c:pt>
                <c:pt idx="991">
                  <c:v>2.40530246510628</c:v>
                </c:pt>
                <c:pt idx="992">
                  <c:v>2.40526428173098</c:v>
                </c:pt>
                <c:pt idx="993">
                  <c:v>2.40522609866275</c:v>
                </c:pt>
                <c:pt idx="994">
                  <c:v>2.40518791590158</c:v>
                </c:pt>
                <c:pt idx="995">
                  <c:v>2.40514973344749</c:v>
                </c:pt>
                <c:pt idx="996">
                  <c:v>2.40511155130046</c:v>
                </c:pt>
                <c:pt idx="997">
                  <c:v>2.4050733694605</c:v>
                </c:pt>
                <c:pt idx="998">
                  <c:v>2.40503518792762</c:v>
                </c:pt>
                <c:pt idx="999">
                  <c:v>2.4049970067018</c:v>
                </c:pt>
                <c:pt idx="1000">
                  <c:v>2.40495882578306</c:v>
                </c:pt>
              </c:numCache>
            </c:numRef>
          </c:yVal>
          <c:smooth val="0"/>
        </c:ser>
        <c:ser>
          <c:idx val="1"/>
          <c:order val="1"/>
          <c:tx>
            <c:strRef>
              <c:f>Courbes!$B$138</c:f>
              <c:strCache>
                <c:ptCount val="1"/>
                <c:pt idx="0">
                  <c:v>Charge vue par un capteur</c:v>
                </c:pt>
              </c:strCache>
            </c:strRef>
          </c:tx>
          <c:spPr>
            <a:solidFill>
              <a:srgbClr val="008000"/>
            </a:solidFill>
            <a:ln w="25560">
              <a:solidFill>
                <a:srgbClr val="008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Calculs!$AH$4:$AH$1004</c:f>
              <c:numCache>
                <c:formatCode>General</c:formatCode>
                <c:ptCount val="1001"/>
                <c:pt idx="1">
                  <c:v>26.0980244391666</c:v>
                </c:pt>
                <c:pt idx="2">
                  <c:v>98.7517027755892</c:v>
                </c:pt>
                <c:pt idx="3">
                  <c:v>143.02240795216</c:v>
                </c:pt>
                <c:pt idx="4">
                  <c:v>138.391793461296</c:v>
                </c:pt>
                <c:pt idx="5">
                  <c:v>133.750192599275</c:v>
                </c:pt>
                <c:pt idx="6">
                  <c:v>131.928077800168</c:v>
                </c:pt>
                <c:pt idx="7">
                  <c:v>132.932837046834</c:v>
                </c:pt>
                <c:pt idx="8">
                  <c:v>133.937978975072</c:v>
                </c:pt>
                <c:pt idx="9">
                  <c:v>134.943481587677</c:v>
                </c:pt>
                <c:pt idx="10">
                  <c:v>135.949322537563</c:v>
                </c:pt>
                <c:pt idx="11">
                  <c:v>136.661785765392</c:v>
                </c:pt>
                <c:pt idx="12">
                  <c:v>137.080086733647</c:v>
                </c:pt>
                <c:pt idx="13">
                  <c:v>137.497537564109</c:v>
                </c:pt>
                <c:pt idx="14">
                  <c:v>137.914123119339</c:v>
                </c:pt>
                <c:pt idx="15">
                  <c:v>138.329828219465</c:v>
                </c:pt>
                <c:pt idx="16">
                  <c:v>138.744637643363</c:v>
                </c:pt>
                <c:pt idx="17">
                  <c:v>139.15853612986</c:v>
                </c:pt>
                <c:pt idx="18">
                  <c:v>139.571508378945</c:v>
                </c:pt>
                <c:pt idx="19">
                  <c:v>139.983539053007</c:v>
                </c:pt>
                <c:pt idx="20">
                  <c:v>140.394612778083</c:v>
                </c:pt>
                <c:pt idx="21">
                  <c:v>140.686859127286</c:v>
                </c:pt>
                <c:pt idx="22">
                  <c:v>140.859964444268</c:v>
                </c:pt>
                <c:pt idx="23">
                  <c:v>141.031638313867</c:v>
                </c:pt>
                <c:pt idx="24">
                  <c:v>141.201871923996</c:v>
                </c:pt>
                <c:pt idx="25">
                  <c:v>141.370656516401</c:v>
                </c:pt>
                <c:pt idx="26">
                  <c:v>141.537983387697</c:v>
                </c:pt>
                <c:pt idx="27">
                  <c:v>141.70384389041</c:v>
                </c:pt>
                <c:pt idx="28">
                  <c:v>141.868229434016</c:v>
                </c:pt>
                <c:pt idx="29">
                  <c:v>142.031131345716</c:v>
                </c:pt>
                <c:pt idx="30">
                  <c:v>142.192540983461</c:v>
                </c:pt>
                <c:pt idx="31">
                  <c:v>142.352449909449</c:v>
                </c:pt>
                <c:pt idx="32">
                  <c:v>142.510849747521</c:v>
                </c:pt>
                <c:pt idx="33">
                  <c:v>142.667732184145</c:v>
                </c:pt>
                <c:pt idx="34">
                  <c:v>142.82308896941</c:v>
                </c:pt>
                <c:pt idx="35">
                  <c:v>142.976911918013</c:v>
                </c:pt>
                <c:pt idx="36">
                  <c:v>143.129192910245</c:v>
                </c:pt>
                <c:pt idx="37">
                  <c:v>143.279923892987</c:v>
                </c:pt>
                <c:pt idx="38">
                  <c:v>143.429096880689</c:v>
                </c:pt>
                <c:pt idx="39">
                  <c:v>143.57670395636</c:v>
                </c:pt>
                <c:pt idx="40">
                  <c:v>143.722737272553</c:v>
                </c:pt>
                <c:pt idx="41">
                  <c:v>143.775431498867</c:v>
                </c:pt>
                <c:pt idx="42">
                  <c:v>143.734565340473</c:v>
                </c:pt>
                <c:pt idx="43">
                  <c:v>143.691810558494</c:v>
                </c:pt>
                <c:pt idx="44">
                  <c:v>143.647166384684</c:v>
                </c:pt>
                <c:pt idx="45">
                  <c:v>143.600632168213</c:v>
                </c:pt>
                <c:pt idx="46">
                  <c:v>143.55220737589</c:v>
                </c:pt>
                <c:pt idx="47">
                  <c:v>143.501891592373</c:v>
                </c:pt>
                <c:pt idx="48">
                  <c:v>143.449684520359</c:v>
                </c:pt>
                <c:pt idx="49">
                  <c:v>143.395585980767</c:v>
                </c:pt>
                <c:pt idx="50">
                  <c:v>143.3395959129</c:v>
                </c:pt>
                <c:pt idx="51">
                  <c:v>143.281714374592</c:v>
                </c:pt>
                <c:pt idx="52">
                  <c:v>143.221941542347</c:v>
                </c:pt>
                <c:pt idx="53">
                  <c:v>143.160277711451</c:v>
                </c:pt>
                <c:pt idx="54">
                  <c:v>143.096723296081</c:v>
                </c:pt>
                <c:pt idx="55">
                  <c:v>143.031278829389</c:v>
                </c:pt>
                <c:pt idx="56">
                  <c:v>142.963944963577</c:v>
                </c:pt>
                <c:pt idx="57">
                  <c:v>142.894722469952</c:v>
                </c:pt>
                <c:pt idx="58">
                  <c:v>142.823612238968</c:v>
                </c:pt>
                <c:pt idx="59">
                  <c:v>142.750615280251</c:v>
                </c:pt>
                <c:pt idx="60">
                  <c:v>142.675732722607</c:v>
                </c:pt>
                <c:pt idx="61">
                  <c:v>142.59896581402</c:v>
                </c:pt>
                <c:pt idx="62">
                  <c:v>142.520315921627</c:v>
                </c:pt>
                <c:pt idx="63">
                  <c:v>142.439784531679</c:v>
                </c:pt>
                <c:pt idx="64">
                  <c:v>142.357373249492</c:v>
                </c:pt>
                <c:pt idx="65">
                  <c:v>142.273083799373</c:v>
                </c:pt>
                <c:pt idx="66">
                  <c:v>142.186918024533</c:v>
                </c:pt>
                <c:pt idx="67">
                  <c:v>142.098877886993</c:v>
                </c:pt>
                <c:pt idx="68">
                  <c:v>142.008965467457</c:v>
                </c:pt>
                <c:pt idx="69">
                  <c:v>141.917182965185</c:v>
                </c:pt>
                <c:pt idx="70">
                  <c:v>141.823532697841</c:v>
                </c:pt>
                <c:pt idx="71">
                  <c:v>141.728017101326</c:v>
                </c:pt>
                <c:pt idx="72">
                  <c:v>141.630638729601</c:v>
                </c:pt>
                <c:pt idx="73">
                  <c:v>141.531400254483</c:v>
                </c:pt>
                <c:pt idx="74">
                  <c:v>141.430304465438</c:v>
                </c:pt>
                <c:pt idx="75">
                  <c:v>141.327354269348</c:v>
                </c:pt>
                <c:pt idx="76">
                  <c:v>141.222552690266</c:v>
                </c:pt>
                <c:pt idx="77">
                  <c:v>141.115902869155</c:v>
                </c:pt>
                <c:pt idx="78">
                  <c:v>141.007408063612</c:v>
                </c:pt>
                <c:pt idx="79">
                  <c:v>140.897071647575</c:v>
                </c:pt>
                <c:pt idx="80">
                  <c:v>140.784897111012</c:v>
                </c:pt>
                <c:pt idx="81">
                  <c:v>140.577562134774</c:v>
                </c:pt>
                <c:pt idx="82">
                  <c:v>140.274906278118</c:v>
                </c:pt>
                <c:pt idx="83">
                  <c:v>139.970234528528</c:v>
                </c:pt>
                <c:pt idx="84">
                  <c:v>139.663559169587</c:v>
                </c:pt>
                <c:pt idx="85">
                  <c:v>139.35489260458</c:v>
                </c:pt>
                <c:pt idx="86">
                  <c:v>139.044247354877</c:v>
                </c:pt>
                <c:pt idx="87">
                  <c:v>138.731636058309</c:v>
                </c:pt>
                <c:pt idx="88">
                  <c:v>138.41707146752</c:v>
                </c:pt>
                <c:pt idx="89">
                  <c:v>138.100566448316</c:v>
                </c:pt>
                <c:pt idx="90">
                  <c:v>137.782133977995</c:v>
                </c:pt>
                <c:pt idx="91">
                  <c:v>137.420533789053</c:v>
                </c:pt>
                <c:pt idx="92">
                  <c:v>137.015714178909</c:v>
                </c:pt>
                <c:pt idx="93">
                  <c:v>136.608937962667</c:v>
                </c:pt>
                <c:pt idx="94">
                  <c:v>136.20022253064</c:v>
                </c:pt>
                <c:pt idx="95">
                  <c:v>135.789585369319</c:v>
                </c:pt>
                <c:pt idx="96">
                  <c:v>135.377044059012</c:v>
                </c:pt>
                <c:pt idx="97">
                  <c:v>134.96261627147</c:v>
                </c:pt>
                <c:pt idx="98">
                  <c:v>134.546319767504</c:v>
                </c:pt>
                <c:pt idx="99">
                  <c:v>134.128172394604</c:v>
                </c:pt>
                <c:pt idx="100">
                  <c:v>133.708192084546</c:v>
                </c:pt>
                <c:pt idx="101">
                  <c:v>133.279795410268</c:v>
                </c:pt>
                <c:pt idx="102">
                  <c:v>132.842991383155</c:v>
                </c:pt>
                <c:pt idx="103">
                  <c:v>132.404400142311</c:v>
                </c:pt>
                <c:pt idx="104">
                  <c:v>131.964040580059</c:v>
                </c:pt>
                <c:pt idx="105">
                  <c:v>131.521931658991</c:v>
                </c:pt>
                <c:pt idx="106">
                  <c:v>131.07809240945</c:v>
                </c:pt>
                <c:pt idx="107">
                  <c:v>130.632541927023</c:v>
                </c:pt>
                <c:pt idx="108">
                  <c:v>130.18529937002</c:v>
                </c:pt>
                <c:pt idx="109">
                  <c:v>129.736383956966</c:v>
                </c:pt>
                <c:pt idx="110">
                  <c:v>129.285814964085</c:v>
                </c:pt>
                <c:pt idx="111">
                  <c:v>128.909651405289</c:v>
                </c:pt>
                <c:pt idx="112">
                  <c:v>128.608002579087</c:v>
                </c:pt>
                <c:pt idx="113">
                  <c:v>128.304829642317</c:v>
                </c:pt>
                <c:pt idx="114">
                  <c:v>128.00014505077</c:v>
                </c:pt>
                <c:pt idx="115">
                  <c:v>127.693961328621</c:v>
                </c:pt>
                <c:pt idx="116">
                  <c:v>127.386291066934</c:v>
                </c:pt>
                <c:pt idx="117">
                  <c:v>127.077146922175</c:v>
                </c:pt>
                <c:pt idx="118">
                  <c:v>126.766541614709</c:v>
                </c:pt>
                <c:pt idx="119">
                  <c:v>126.454487927301</c:v>
                </c:pt>
                <c:pt idx="120">
                  <c:v>126.140998703611</c:v>
                </c:pt>
                <c:pt idx="121">
                  <c:v>125.699912428102</c:v>
                </c:pt>
                <c:pt idx="122">
                  <c:v>125.131113977123</c:v>
                </c:pt>
                <c:pt idx="123">
                  <c:v>124.560841299282</c:v>
                </c:pt>
                <c:pt idx="124">
                  <c:v>123.989119345413</c:v>
                </c:pt>
                <c:pt idx="125">
                  <c:v>123.415973065048</c:v>
                </c:pt>
                <c:pt idx="126">
                  <c:v>122.841427403211</c:v>
                </c:pt>
                <c:pt idx="127">
                  <c:v>122.265507297235</c:v>
                </c:pt>
                <c:pt idx="128">
                  <c:v>121.688237673602</c:v>
                </c:pt>
                <c:pt idx="129">
                  <c:v>121.109643444799</c:v>
                </c:pt>
                <c:pt idx="130">
                  <c:v>120.529749506198</c:v>
                </c:pt>
                <c:pt idx="131">
                  <c:v>119.915534374252</c:v>
                </c:pt>
                <c:pt idx="132">
                  <c:v>119.266996602169</c:v>
                </c:pt>
                <c:pt idx="133">
                  <c:v>118.617226662024</c:v>
                </c:pt>
                <c:pt idx="134">
                  <c:v>117.966252664991</c:v>
                </c:pt>
                <c:pt idx="135">
                  <c:v>117.314102666478</c:v>
                </c:pt>
                <c:pt idx="136">
                  <c:v>116.660804662679</c:v>
                </c:pt>
                <c:pt idx="137">
                  <c:v>116.006386587158</c:v>
                </c:pt>
                <c:pt idx="138">
                  <c:v>115.350876307481</c:v>
                </c:pt>
                <c:pt idx="139">
                  <c:v>114.694301621867</c:v>
                </c:pt>
                <c:pt idx="140">
                  <c:v>114.036690255891</c:v>
                </c:pt>
                <c:pt idx="141">
                  <c:v>112.982790234801</c:v>
                </c:pt>
                <c:pt idx="142">
                  <c:v>111.532409482246</c:v>
                </c:pt>
                <c:pt idx="143">
                  <c:v>110.08116542854</c:v>
                </c:pt>
                <c:pt idx="144">
                  <c:v>108.62913332894</c:v>
                </c:pt>
                <c:pt idx="145">
                  <c:v>107.176387821816</c:v>
                </c:pt>
                <c:pt idx="146">
                  <c:v>105.723002918262</c:v>
                </c:pt>
                <c:pt idx="147">
                  <c:v>104.269051992007</c:v>
                </c:pt>
                <c:pt idx="148">
                  <c:v>102.814607769601</c:v>
                </c:pt>
                <c:pt idx="149">
                  <c:v>101.3597423209</c:v>
                </c:pt>
                <c:pt idx="150">
                  <c:v>99.9045270498236</c:v>
                </c:pt>
                <c:pt idx="151">
                  <c:v>98.4490326854118</c:v>
                </c:pt>
                <c:pt idx="152">
                  <c:v>96.9933292731578</c:v>
                </c:pt>
                <c:pt idx="153">
                  <c:v>95.5374861666332</c:v>
                </c:pt>
                <c:pt idx="154">
                  <c:v>94.0815720193953</c:v>
                </c:pt>
                <c:pt idx="155">
                  <c:v>92.6256547771803</c:v>
                </c:pt>
                <c:pt idx="156">
                  <c:v>89.2968906043715</c:v>
                </c:pt>
                <c:pt idx="157">
                  <c:v>84.0955162064792</c:v>
                </c:pt>
                <c:pt idx="158">
                  <c:v>78.8969034930086</c:v>
                </c:pt>
                <c:pt idx="159">
                  <c:v>73.7015594368156</c:v>
                </c:pt>
                <c:pt idx="160">
                  <c:v>68.509981499638</c:v>
                </c:pt>
                <c:pt idx="161">
                  <c:v>60.9412660563966</c:v>
                </c:pt>
                <c:pt idx="162">
                  <c:v>50.9978332844669</c:v>
                </c:pt>
                <c:pt idx="163">
                  <c:v>41.2929090424686</c:v>
                </c:pt>
                <c:pt idx="164">
                  <c:v>31.8277470338245</c:v>
                </c:pt>
                <c:pt idx="165">
                  <c:v>24.6512982478837</c:v>
                </c:pt>
                <c:pt idx="166">
                  <c:v>19.7613389880863</c:v>
                </c:pt>
                <c:pt idx="167">
                  <c:v>13.1496700381852</c:v>
                </c:pt>
                <c:pt idx="168">
                  <c:v>6.07103258769597</c:v>
                </c:pt>
                <c:pt idx="169">
                  <c:v>-4.56674493861943</c:v>
                </c:pt>
                <c:pt idx="170">
                  <c:v>-16.252363471765</c:v>
                </c:pt>
                <c:pt idx="171">
                  <c:v>-20.176934616118</c:v>
                </c:pt>
                <c:pt idx="172">
                  <c:v>-20.1112075329576</c:v>
                </c:pt>
                <c:pt idx="173">
                  <c:v>-20.0457423204131</c:v>
                </c:pt>
                <c:pt idx="174">
                  <c:v>-19.9805375984079</c:v>
                </c:pt>
                <c:pt idx="175">
                  <c:v>-19.9155919960438</c:v>
                </c:pt>
                <c:pt idx="176">
                  <c:v>-19.8509041515276</c:v>
                </c:pt>
                <c:pt idx="177">
                  <c:v>-19.7864727120987</c:v>
                </c:pt>
                <c:pt idx="178">
                  <c:v>-19.7222963339567</c:v>
                </c:pt>
                <c:pt idx="179">
                  <c:v>-19.6583736821903</c:v>
                </c:pt>
                <c:pt idx="180">
                  <c:v>-19.5947034307064</c:v>
                </c:pt>
                <c:pt idx="181">
                  <c:v>-19.5312842621602</c:v>
                </c:pt>
                <c:pt idx="182">
                  <c:v>-19.4681148678857</c:v>
                </c:pt>
                <c:pt idx="183">
                  <c:v>-19.4051939478271</c:v>
                </c:pt>
                <c:pt idx="184">
                  <c:v>-19.3425202104704</c:v>
                </c:pt>
                <c:pt idx="185">
                  <c:v>-19.2800923727763</c:v>
                </c:pt>
                <c:pt idx="186">
                  <c:v>-19.2179091601131</c:v>
                </c:pt>
                <c:pt idx="187">
                  <c:v>-19.1559693061905</c:v>
                </c:pt>
                <c:pt idx="188">
                  <c:v>-19.0942715529938</c:v>
                </c:pt>
                <c:pt idx="189">
                  <c:v>-19.0328146507194</c:v>
                </c:pt>
                <c:pt idx="190">
                  <c:v>-18.9715973577096</c:v>
                </c:pt>
                <c:pt idx="191">
                  <c:v>-18.9106184403893</c:v>
                </c:pt>
                <c:pt idx="192">
                  <c:v>-18.8498766732029</c:v>
                </c:pt>
                <c:pt idx="193">
                  <c:v>-18.7893708385509</c:v>
                </c:pt>
                <c:pt idx="194">
                  <c:v>-18.7290997267285</c:v>
                </c:pt>
                <c:pt idx="195">
                  <c:v>-18.6690621358635</c:v>
                </c:pt>
                <c:pt idx="196">
                  <c:v>-18.609256871856</c:v>
                </c:pt>
                <c:pt idx="197">
                  <c:v>-18.5496827483172</c:v>
                </c:pt>
                <c:pt idx="198">
                  <c:v>-18.4903385865102</c:v>
                </c:pt>
                <c:pt idx="199">
                  <c:v>-18.4312232152901</c:v>
                </c:pt>
                <c:pt idx="200">
                  <c:v>-18.3723354710458</c:v>
                </c:pt>
                <c:pt idx="201">
                  <c:v>-18.3136741976411</c:v>
                </c:pt>
                <c:pt idx="202">
                  <c:v>-17.7342130896979</c:v>
                </c:pt>
                <c:pt idx="203">
                  <c:v>-17.1766359481806</c:v>
                </c:pt>
                <c:pt idx="204">
                  <c:v>-16.6398634718718</c:v>
                </c:pt>
                <c:pt idx="205">
                  <c:v>-16.1228829913351</c:v>
                </c:pt>
                <c:pt idx="206">
                  <c:v>-15.6247435718133</c:v>
                </c:pt>
                <c:pt idx="207">
                  <c:v>-15.1445515327514</c:v>
                </c:pt>
                <c:pt idx="208">
                  <c:v>-14.681466343803</c:v>
                </c:pt>
                <c:pt idx="209">
                  <c:v>-14.2346968614831</c:v>
                </c:pt>
                <c:pt idx="210">
                  <c:v>-13.803497874437</c:v>
                </c:pt>
                <c:pt idx="211">
                  <c:v>-13.3871669286499</c:v>
                </c:pt>
                <c:pt idx="212">
                  <c:v>-12.985041406893</c:v>
                </c:pt>
                <c:pt idx="213">
                  <c:v>-12.5964958393334</c:v>
                </c:pt>
                <c:pt idx="214">
                  <c:v>-12.2209394245705</c:v>
                </c:pt>
                <c:pt idx="215">
                  <c:v>-11.8578137424359</c:v>
                </c:pt>
                <c:pt idx="216">
                  <c:v>-11.5065906417407</c:v>
                </c:pt>
                <c:pt idx="217">
                  <c:v>-11.1667702877985</c:v>
                </c:pt>
                <c:pt idx="218">
                  <c:v>-10.8378793560212</c:v>
                </c:pt>
                <c:pt idx="219">
                  <c:v>-10.5194693591956</c:v>
                </c:pt>
                <c:pt idx="220">
                  <c:v>-10.2111150972211</c:v>
                </c:pt>
                <c:pt idx="221">
                  <c:v>-9.91241321914244</c:v>
                </c:pt>
                <c:pt idx="222">
                  <c:v>-9.62298088825001</c:v>
                </c:pt>
                <c:pt idx="223">
                  <c:v>-9.34245454186915</c:v>
                </c:pt>
                <c:pt idx="224">
                  <c:v>-9.07048873821977</c:v>
                </c:pt>
                <c:pt idx="225">
                  <c:v>-8.80675508341149</c:v>
                </c:pt>
                <c:pt idx="226">
                  <c:v>-8.55094123225685</c:v>
                </c:pt>
                <c:pt idx="227">
                  <c:v>-8.30274995714143</c:v>
                </c:pt>
                <c:pt idx="228">
                  <c:v>-8.06189827969143</c:v>
                </c:pt>
                <c:pt idx="229">
                  <c:v>-7.82811666043382</c:v>
                </c:pt>
                <c:pt idx="230">
                  <c:v>-7.60114824205472</c:v>
                </c:pt>
                <c:pt idx="231">
                  <c:v>-7.38074814223368</c:v>
                </c:pt>
                <c:pt idx="232">
                  <c:v>-7.1666827923688</c:v>
                </c:pt>
                <c:pt idx="233">
                  <c:v>-6.95872931881402</c:v>
                </c:pt>
                <c:pt idx="234">
                  <c:v>-6.75667496352762</c:v>
                </c:pt>
                <c:pt idx="235">
                  <c:v>-6.560316541284</c:v>
                </c:pt>
                <c:pt idx="236">
                  <c:v>-6.36945993083096</c:v>
                </c:pt>
                <c:pt idx="237">
                  <c:v>-6.18391959758395</c:v>
                </c:pt>
                <c:pt idx="238">
                  <c:v>-6.00351814564028</c:v>
                </c:pt>
                <c:pt idx="239">
                  <c:v>-5.82808589707025</c:v>
                </c:pt>
                <c:pt idx="240">
                  <c:v>-5.65746049660157</c:v>
                </c:pt>
                <c:pt idx="241">
                  <c:v>-5.49148653995884</c:v>
                </c:pt>
                <c:pt idx="242">
                  <c:v>-5.33001522425315</c:v>
                </c:pt>
                <c:pt idx="243">
                  <c:v>-5.17290401893852</c:v>
                </c:pt>
                <c:pt idx="244">
                  <c:v>-5.02001635596373</c:v>
                </c:pt>
                <c:pt idx="245">
                  <c:v>-4.87122133785033</c:v>
                </c:pt>
                <c:pt idx="246">
                  <c:v>-4.72639346252165</c:v>
                </c:pt>
                <c:pt idx="247">
                  <c:v>-4.58541236379393</c:v>
                </c:pt>
                <c:pt idx="248">
                  <c:v>-4.44816256651976</c:v>
                </c:pt>
                <c:pt idx="249">
                  <c:v>-4.31453325544719</c:v>
                </c:pt>
                <c:pt idx="250">
                  <c:v>-4.18441805692488</c:v>
                </c:pt>
                <c:pt idx="251">
                  <c:v>-4.05771483264528</c:v>
                </c:pt>
                <c:pt idx="252">
                  <c:v>-3.93432548467495</c:v>
                </c:pt>
                <c:pt idx="253">
                  <c:v>-3.81415577107377</c:v>
                </c:pt>
                <c:pt idx="254">
                  <c:v>-3.69711513145273</c:v>
                </c:pt>
                <c:pt idx="255">
                  <c:v>-3.58311652186546</c:v>
                </c:pt>
                <c:pt idx="256">
                  <c:v>-3.47207625846927</c:v>
                </c:pt>
                <c:pt idx="257">
                  <c:v>-3.36391386943033</c:v>
                </c:pt>
                <c:pt idx="258">
                  <c:v>-3.2585519545825</c:v>
                </c:pt>
                <c:pt idx="259">
                  <c:v>-3.1559160523823</c:v>
                </c:pt>
                <c:pt idx="260">
                  <c:v>-3.05593451373276</c:v>
                </c:pt>
                <c:pt idx="261">
                  <c:v>-2.95853838227713</c:v>
                </c:pt>
                <c:pt idx="262">
                  <c:v>-2.86366128078905</c:v>
                </c:pt>
                <c:pt idx="263">
                  <c:v>-2.77123930331062</c:v>
                </c:pt>
                <c:pt idx="264">
                  <c:v>-2.68121091271161</c:v>
                </c:pt>
                <c:pt idx="265">
                  <c:v>-2.59351684336431</c:v>
                </c:pt>
                <c:pt idx="266">
                  <c:v>-2.5081000086477</c:v>
                </c:pt>
                <c:pt idx="267">
                  <c:v>-2.42490541301268</c:v>
                </c:pt>
                <c:pt idx="268">
                  <c:v>-2.34388006835688</c:v>
                </c:pt>
                <c:pt idx="269">
                  <c:v>-2.26497291447308</c:v>
                </c:pt>
                <c:pt idx="270">
                  <c:v>-2.18813474334984</c:v>
                </c:pt>
                <c:pt idx="271">
                  <c:v>-2.11331812711643</c:v>
                </c:pt>
                <c:pt idx="272">
                  <c:v>-2.04047734943685</c:v>
                </c:pt>
                <c:pt idx="273">
                  <c:v>-1.96956834016922</c:v>
                </c:pt>
                <c:pt idx="274">
                  <c:v>-1.900548613118</c:v>
                </c:pt>
                <c:pt idx="275">
                  <c:v>-1.83337720671673</c:v>
                </c:pt>
                <c:pt idx="276">
                  <c:v>-1.76801462748817</c:v>
                </c:pt>
                <c:pt idx="277">
                  <c:v>-1.70442279613803</c:v>
                </c:pt>
                <c:pt idx="278">
                  <c:v>-1.64256499614648</c:v>
                </c:pt>
                <c:pt idx="279">
                  <c:v>-1.58240582472947</c:v>
                </c:pt>
                <c:pt idx="280">
                  <c:v>-1.52391114604904</c:v>
                </c:pt>
                <c:pt idx="281">
                  <c:v>-1.46704804655861</c:v>
                </c:pt>
                <c:pt idx="282">
                  <c:v>-1.41178479237548</c:v>
                </c:pt>
                <c:pt idx="283">
                  <c:v>-1.35809078857853</c:v>
                </c:pt>
                <c:pt idx="284">
                  <c:v>-1.30593654033461</c:v>
                </c:pt>
                <c:pt idx="285">
                  <c:v>-1.2552936157623</c:v>
                </c:pt>
                <c:pt idx="286">
                  <c:v>-1.20613461044599</c:v>
                </c:pt>
                <c:pt idx="287">
                  <c:v>-1.15843311351819</c:v>
                </c:pt>
                <c:pt idx="288">
                  <c:v>-1.11216367523135</c:v>
                </c:pt>
                <c:pt idx="289">
                  <c:v>-1.06730177594464</c:v>
                </c:pt>
                <c:pt idx="290">
                  <c:v>-1.02382379645432</c:v>
                </c:pt>
                <c:pt idx="291">
                  <c:v>-0.98170698959929</c:v>
                </c:pt>
                <c:pt idx="292">
                  <c:v>-0.940929453076606</c:v>
                </c:pt>
                <c:pt idx="293">
                  <c:v>-0.9014701034037</c:v>
                </c:pt>
                <c:pt idx="294">
                  <c:v>-0.863308650966698</c:v>
                </c:pt>
                <c:pt idx="295">
                  <c:v>-0.826425576095882</c:v>
                </c:pt>
                <c:pt idx="296">
                  <c:v>-0.79080210611106</c:v>
                </c:pt>
                <c:pt idx="297">
                  <c:v>-0.756420193280878</c:v>
                </c:pt>
                <c:pt idx="298">
                  <c:v>-0.723262493641142</c:v>
                </c:pt>
                <c:pt idx="299">
                  <c:v>-0.691312346617851</c:v>
                </c:pt>
                <c:pt idx="300">
                  <c:v>-0.660553755401038</c:v>
                </c:pt>
                <c:pt idx="301">
                  <c:v>-0.630971368015472</c:v>
                </c:pt>
                <c:pt idx="302">
                  <c:v>-0.602550459033927</c:v>
                </c:pt>
                <c:pt idx="303">
                  <c:v>-0.575276911877971</c:v>
                </c:pt>
                <c:pt idx="304">
                  <c:v>-0.549137201650104</c:v>
                </c:pt>
                <c:pt idx="305">
                  <c:v>-0.524118378439493</c:v>
                </c:pt>
                <c:pt idx="306">
                  <c:v>-0.500208051041663</c:v>
                </c:pt>
                <c:pt idx="307">
                  <c:v>-0.477394371030079</c:v>
                </c:pt>
                <c:pt idx="308">
                  <c:v>-0.455666017114856</c:v>
                </c:pt>
                <c:pt idx="309">
                  <c:v>-0.435012179720712</c:v>
                </c:pt>
                <c:pt idx="310">
                  <c:v>-0.415422545712866</c:v>
                </c:pt>
                <c:pt idx="311">
                  <c:v>-0.396887283196005</c:v>
                </c:pt>
                <c:pt idx="312">
                  <c:v>-0.379397026307737</c:v>
                </c:pt>
                <c:pt idx="313">
                  <c:v>-0.362942859924384</c:v>
                </c:pt>
                <c:pt idx="314">
                  <c:v>-0.347516304193762</c:v>
                </c:pt>
                <c:pt idx="315">
                  <c:v>-0.333109298807022</c:v>
                </c:pt>
                <c:pt idx="316">
                  <c:v>-0.319714186920143</c:v>
                </c:pt>
                <c:pt idx="317">
                  <c:v>-0.307323698635684</c:v>
                </c:pt>
                <c:pt idx="318">
                  <c:v>-0.295930933957469</c:v>
                </c:pt>
                <c:pt idx="319">
                  <c:v>-0.28552934513557</c:v>
                </c:pt>
                <c:pt idx="320">
                  <c:v>-0.276112718326871</c:v>
                </c:pt>
                <c:pt idx="321">
                  <c:v>-0.267675154508168</c:v>
                </c:pt>
                <c:pt idx="322">
                  <c:v>-0.260211049594648</c:v>
                </c:pt>
                <c:pt idx="323">
                  <c:v>-0.253715073736912</c:v>
                </c:pt>
                <c:pt idx="324">
                  <c:v>-0.248182149794422</c:v>
                </c:pt>
                <c:pt idx="325">
                  <c:v>-0.243607431011915</c:v>
                </c:pt>
                <c:pt idx="326">
                  <c:v>-0.239986277957068</c:v>
                </c:pt>
                <c:pt idx="327">
                  <c:v>-0.23731423481113</c:v>
                </c:pt>
                <c:pt idx="328">
                  <c:v>-0.235587005137633</c:v>
                </c:pt>
                <c:pt idx="329">
                  <c:v>-0.234800427285535</c:v>
                </c:pt>
                <c:pt idx="330">
                  <c:v>-0.234950449610097</c:v>
                </c:pt>
                <c:pt idx="331">
                  <c:v>-0.23603310571528</c:v>
                </c:pt>
                <c:pt idx="332">
                  <c:v>-0.23804448993399</c:v>
                </c:pt>
                <c:pt idx="333">
                  <c:v>-0.240980733265819</c:v>
                </c:pt>
                <c:pt idx="334">
                  <c:v>-0.244837979985926</c:v>
                </c:pt>
                <c:pt idx="335">
                  <c:v>-0.249612365123823</c:v>
                </c:pt>
                <c:pt idx="336">
                  <c:v>-0.255299992988315</c:v>
                </c:pt>
                <c:pt idx="337">
                  <c:v>-0.261896916886626</c:v>
                </c:pt>
                <c:pt idx="338">
                  <c:v>-0.269399120153799</c:v>
                </c:pt>
                <c:pt idx="339">
                  <c:v>-0.27780249857518</c:v>
                </c:pt>
                <c:pt idx="340">
                  <c:v>-0.287102844252032</c:v>
                </c:pt>
                <c:pt idx="341">
                  <c:v>-0.29729583092985</c:v>
                </c:pt>
                <c:pt idx="342">
                  <c:v>-0.30837700078198</c:v>
                </c:pt>
                <c:pt idx="343">
                  <c:v>-0.32034175261835</c:v>
                </c:pt>
                <c:pt idx="344">
                  <c:v>-0.333185331470926</c:v>
                </c:pt>
                <c:pt idx="345">
                  <c:v>-0.346902819493762</c:v>
                </c:pt>
                <c:pt idx="346">
                  <c:v>-0.361489128105977</c:v>
                </c:pt>
                <c:pt idx="347">
                  <c:v>-0.376938991300077</c:v>
                </c:pt>
                <c:pt idx="348">
                  <c:v>-0.393246960035289</c:v>
                </c:pt>
                <c:pt idx="349">
                  <c:v>-0.410407397635255</c:v>
                </c:pt>
                <c:pt idx="350">
                  <c:v>-0.428414476111078</c:v>
                </c:pt>
                <c:pt idx="351">
                  <c:v>-0.447262173333709</c:v>
                </c:pt>
                <c:pt idx="352">
                  <c:v>-0.466944270983671</c:v>
                </c:pt>
                <c:pt idx="353">
                  <c:v>-0.48745435321064</c:v>
                </c:pt>
                <c:pt idx="354">
                  <c:v>-0.50878580594031</c:v>
                </c:pt>
                <c:pt idx="355">
                  <c:v>-0.530931816770866</c:v>
                </c:pt>
                <c:pt idx="356">
                  <c:v>-0.553885375406281</c:v>
                </c:pt>
                <c:pt idx="357">
                  <c:v>-0.577639274578288</c:v>
                </c:pt>
                <c:pt idx="358">
                  <c:v>-0.60218611141328</c:v>
                </c:pt>
                <c:pt idx="359">
                  <c:v>-0.627518289204468</c:v>
                </c:pt>
                <c:pt idx="360">
                  <c:v>-0.653628019553353</c:v>
                </c:pt>
                <c:pt idx="361">
                  <c:v>-0.680507324847993</c:v>
                </c:pt>
                <c:pt idx="362">
                  <c:v>-0.708148041048619</c:v>
                </c:pt>
                <c:pt idx="363">
                  <c:v>-0.736541820753886</c:v>
                </c:pt>
                <c:pt idx="364">
                  <c:v>-0.765680136523568</c:v>
                </c:pt>
                <c:pt idx="365">
                  <c:v>-0.795554284435647</c:v>
                </c:pt>
                <c:pt idx="366">
                  <c:v>-0.826155387857741</c:v>
                </c:pt>
                <c:pt idx="367">
                  <c:v>-0.857474401414513</c:v>
                </c:pt>
                <c:pt idx="368">
                  <c:v>-0.889502115134265</c:v>
                </c:pt>
                <c:pt idx="369">
                  <c:v>-0.922229158759246</c:v>
                </c:pt>
                <c:pt idx="370">
                  <c:v>-0.955646006205413</c:v>
                </c:pt>
                <c:pt idx="371">
                  <c:v>-0.989742980158439</c:v>
                </c:pt>
                <c:pt idx="372">
                  <c:v>-1.02451025679369</c:v>
                </c:pt>
                <c:pt idx="373">
                  <c:v>-1.05993787060871</c:v>
                </c:pt>
                <c:pt idx="374">
                  <c:v>-1.09601571935756</c:v>
                </c:pt>
                <c:pt idx="375">
                  <c:v>-1.13273356907683</c:v>
                </c:pt>
                <c:pt idx="376">
                  <c:v>-1.17008105919397</c:v>
                </c:pt>
                <c:pt idx="377">
                  <c:v>-1.2080477077089</c:v>
                </c:pt>
                <c:pt idx="378">
                  <c:v>-1.24662291644038</c:v>
                </c:pt>
                <c:pt idx="379">
                  <c:v>-1.28579597632911</c:v>
                </c:pt>
                <c:pt idx="380">
                  <c:v>-1.32555607278979</c:v>
                </c:pt>
                <c:pt idx="381">
                  <c:v>-1.3658922911049</c:v>
                </c:pt>
                <c:pt idx="382">
                  <c:v>-1.40679362185286</c:v>
                </c:pt>
                <c:pt idx="383">
                  <c:v>-1.4482489663642</c:v>
                </c:pt>
                <c:pt idx="384">
                  <c:v>-1.49024714219884</c:v>
                </c:pt>
                <c:pt idx="385">
                  <c:v>-1.5327768886385</c:v>
                </c:pt>
                <c:pt idx="386">
                  <c:v>-1.57582687218804</c:v>
                </c:pt>
                <c:pt idx="387">
                  <c:v>-1.61938569208</c:v>
                </c:pt>
                <c:pt idx="388">
                  <c:v>-1.66344188577662</c:v>
                </c:pt>
                <c:pt idx="389">
                  <c:v>-1.70798393446406</c:v>
                </c:pt>
                <c:pt idx="390">
                  <c:v>-1.7530002685334</c:v>
                </c:pt>
                <c:pt idx="391">
                  <c:v>-1.79847927304349</c:v>
                </c:pt>
                <c:pt idx="392">
                  <c:v>-1.84440929316064</c:v>
                </c:pt>
                <c:pt idx="393">
                  <c:v>-1.89077863957054</c:v>
                </c:pt>
                <c:pt idx="394">
                  <c:v>-1.93757559385768</c:v>
                </c:pt>
                <c:pt idx="395">
                  <c:v>-1.98478841384798</c:v>
                </c:pt>
                <c:pt idx="396">
                  <c:v>-2.03240533891024</c:v>
                </c:pt>
                <c:pt idx="397">
                  <c:v>-2.08041459521247</c:v>
                </c:pt>
                <c:pt idx="398">
                  <c:v>-2.12880440092889</c:v>
                </c:pt>
                <c:pt idx="399">
                  <c:v>-2.17756297139404</c:v>
                </c:pt>
                <c:pt idx="400">
                  <c:v>-2.22667852420004</c:v>
                </c:pt>
                <c:pt idx="401">
                  <c:v>-2.27613928423377</c:v>
                </c:pt>
                <c:pt idx="402">
                  <c:v>-2.32593348865027</c:v>
                </c:pt>
                <c:pt idx="403">
                  <c:v>-2.37604939177941</c:v>
                </c:pt>
                <c:pt idx="404">
                  <c:v>-2.42647526996247</c:v>
                </c:pt>
                <c:pt idx="405">
                  <c:v>-2.47719942631575</c:v>
                </c:pt>
                <c:pt idx="406">
                  <c:v>-2.52821019541849</c:v>
                </c:pt>
                <c:pt idx="407">
                  <c:v>-2.5794959479222</c:v>
                </c:pt>
                <c:pt idx="408">
                  <c:v>-2.63104509507904</c:v>
                </c:pt>
                <c:pt idx="409">
                  <c:v>-2.6828460931866</c:v>
                </c:pt>
                <c:pt idx="410">
                  <c:v>-2.73488744794713</c:v>
                </c:pt>
                <c:pt idx="411">
                  <c:v>-2.78715771873867</c:v>
                </c:pt>
                <c:pt idx="412">
                  <c:v>-2.83964552279645</c:v>
                </c:pt>
                <c:pt idx="413">
                  <c:v>-2.8923395393023</c:v>
                </c:pt>
                <c:pt idx="414">
                  <c:v>-2.94522851338071</c:v>
                </c:pt>
                <c:pt idx="415">
                  <c:v>-2.99830125999954</c:v>
                </c:pt>
                <c:pt idx="416">
                  <c:v>-3.05154666777415</c:v>
                </c:pt>
                <c:pt idx="417">
                  <c:v>-3.1049537026735</c:v>
                </c:pt>
                <c:pt idx="418">
                  <c:v>-3.15851141162692</c:v>
                </c:pt>
                <c:pt idx="419">
                  <c:v>-3.21220892603049</c:v>
                </c:pt>
                <c:pt idx="420">
                  <c:v>-3.26603546515206</c:v>
                </c:pt>
                <c:pt idx="421">
                  <c:v>-3.31998033943398</c:v>
                </c:pt>
                <c:pt idx="422">
                  <c:v>-3.37403295369282</c:v>
                </c:pt>
                <c:pt idx="423">
                  <c:v>-3.42818281021535</c:v>
                </c:pt>
                <c:pt idx="424">
                  <c:v>-3.48241951175048</c:v>
                </c:pt>
                <c:pt idx="425">
                  <c:v>-3.53673276439644</c:v>
                </c:pt>
                <c:pt idx="426">
                  <c:v>-3.59111238038317</c:v>
                </c:pt>
                <c:pt idx="427">
                  <c:v>-3.64554828074952</c:v>
                </c:pt>
                <c:pt idx="428">
                  <c:v>-3.70003049791538</c:v>
                </c:pt>
                <c:pt idx="429">
                  <c:v>-3.75454917814851</c:v>
                </c:pt>
                <c:pt idx="430">
                  <c:v>-3.80909458392637</c:v>
                </c:pt>
                <c:pt idx="431">
                  <c:v>-3.86365709619316</c:v>
                </c:pt>
                <c:pt idx="432">
                  <c:v>-3.9182272165122</c:v>
                </c:pt>
                <c:pt idx="433">
                  <c:v>-3.97279556911431</c:v>
                </c:pt>
                <c:pt idx="434">
                  <c:v>-4.02735290284241</c:v>
                </c:pt>
                <c:pt idx="435">
                  <c:v>-4.08189009299317</c:v>
                </c:pt>
                <c:pt idx="436">
                  <c:v>-4.13639814305618</c:v>
                </c:pt>
                <c:pt idx="437">
                  <c:v>-4.19086818635148</c:v>
                </c:pt>
                <c:pt idx="438">
                  <c:v>-4.24529148756625</c:v>
                </c:pt>
                <c:pt idx="439">
                  <c:v>-4.29965944419156</c:v>
                </c:pt>
                <c:pt idx="440">
                  <c:v>-4.3539635878601</c:v>
                </c:pt>
                <c:pt idx="441">
                  <c:v>-4.40819558558607</c:v>
                </c:pt>
                <c:pt idx="442">
                  <c:v>-4.46234724090815</c:v>
                </c:pt>
                <c:pt idx="443">
                  <c:v>-4.51641049493682</c:v>
                </c:pt>
                <c:pt idx="444">
                  <c:v>-4.5703774273073</c:v>
                </c:pt>
                <c:pt idx="445">
                  <c:v>-4.6242402570393</c:v>
                </c:pt>
                <c:pt idx="446">
                  <c:v>-4.677991343305</c:v>
                </c:pt>
                <c:pt idx="447">
                  <c:v>-4.7316231861066</c:v>
                </c:pt>
                <c:pt idx="448">
                  <c:v>-4.78512842686492</c:v>
                </c:pt>
                <c:pt idx="449">
                  <c:v>-4.83849984892052</c:v>
                </c:pt>
                <c:pt idx="450">
                  <c:v>-4.8917303779489</c:v>
                </c:pt>
                <c:pt idx="451">
                  <c:v>-4.9448130822913</c:v>
                </c:pt>
                <c:pt idx="452">
                  <c:v>-4.99774117320278</c:v>
                </c:pt>
                <c:pt idx="453">
                  <c:v>-5.05050800501915</c:v>
                </c:pt>
                <c:pt idx="454">
                  <c:v>-5.10310707524449</c:v>
                </c:pt>
                <c:pt idx="455">
                  <c:v>-5.15553202456091</c:v>
                </c:pt>
                <c:pt idx="456">
                  <c:v>-5.20777663676239</c:v>
                </c:pt>
                <c:pt idx="457">
                  <c:v>-5.25983483861423</c:v>
                </c:pt>
                <c:pt idx="458">
                  <c:v>-5.31170069964021</c:v>
                </c:pt>
                <c:pt idx="459">
                  <c:v>-5.36336843183892</c:v>
                </c:pt>
                <c:pt idx="460">
                  <c:v>-5.41483238933139</c:v>
                </c:pt>
                <c:pt idx="461">
                  <c:v>-5.46608706794153</c:v>
                </c:pt>
                <c:pt idx="462">
                  <c:v>-5.51712710471149</c:v>
                </c:pt>
                <c:pt idx="463">
                  <c:v>-5.56794727735366</c:v>
                </c:pt>
                <c:pt idx="464">
                  <c:v>-5.6185425036411</c:v>
                </c:pt>
                <c:pt idx="465">
                  <c:v>-5.66890784073845</c:v>
                </c:pt>
                <c:pt idx="466">
                  <c:v>-5.71903848447496</c:v>
                </c:pt>
                <c:pt idx="467">
                  <c:v>-5.76892976856169</c:v>
                </c:pt>
                <c:pt idx="468">
                  <c:v>-5.81857716375461</c:v>
                </c:pt>
                <c:pt idx="469">
                  <c:v>-5.86797627696554</c:v>
                </c:pt>
                <c:pt idx="470">
                  <c:v>-5.91712285032269</c:v>
                </c:pt>
                <c:pt idx="471">
                  <c:v>-5.9660127601828</c:v>
                </c:pt>
                <c:pt idx="472">
                  <c:v>-6.01464201609652</c:v>
                </c:pt>
                <c:pt idx="473">
                  <c:v>-6.06300675972899</c:v>
                </c:pt>
                <c:pt idx="474">
                  <c:v>-6.11110326373744</c:v>
                </c:pt>
                <c:pt idx="475">
                  <c:v>-6.15892793060753</c:v>
                </c:pt>
                <c:pt idx="476">
                  <c:v>-6.20647729145019</c:v>
                </c:pt>
                <c:pt idx="477">
                  <c:v>-6.25374800476095</c:v>
                </c:pt>
                <c:pt idx="478">
                  <c:v>-6.3007368551432</c:v>
                </c:pt>
                <c:pt idx="479">
                  <c:v>-6.34744075199736</c:v>
                </c:pt>
                <c:pt idx="480">
                  <c:v>-6.39385672817754</c:v>
                </c:pt>
                <c:pt idx="481">
                  <c:v>-6.43998193861742</c:v>
                </c:pt>
                <c:pt idx="482">
                  <c:v>-6.48581365892702</c:v>
                </c:pt>
                <c:pt idx="483">
                  <c:v>-6.53134928396205</c:v>
                </c:pt>
                <c:pt idx="484">
                  <c:v>-6.57658632636733</c:v>
                </c:pt>
                <c:pt idx="485">
                  <c:v>-6.62152241509605</c:v>
                </c:pt>
                <c:pt idx="486">
                  <c:v>-6.66615529390626</c:v>
                </c:pt>
                <c:pt idx="487">
                  <c:v>-6.71048281983634</c:v>
                </c:pt>
                <c:pt idx="488">
                  <c:v>-6.75450296166071</c:v>
                </c:pt>
                <c:pt idx="489">
                  <c:v>-6.79821379832758</c:v>
                </c:pt>
                <c:pt idx="490">
                  <c:v>-6.84161351737986</c:v>
                </c:pt>
                <c:pt idx="491">
                  <c:v>-6.88470041336093</c:v>
                </c:pt>
                <c:pt idx="492">
                  <c:v>-6.92747288620657</c:v>
                </c:pt>
                <c:pt idx="493">
                  <c:v>-6.96992943962437</c:v>
                </c:pt>
                <c:pt idx="494">
                  <c:v>-7.01206867946207</c:v>
                </c:pt>
                <c:pt idx="495">
                  <c:v>-7.05388931206602</c:v>
                </c:pt>
                <c:pt idx="496">
                  <c:v>-7.09539014263117</c:v>
                </c:pt>
                <c:pt idx="497">
                  <c:v>-7.13657007354368</c:v>
                </c:pt>
                <c:pt idx="498">
                  <c:v>-7.1774281027176</c:v>
                </c:pt>
                <c:pt idx="499">
                  <c:v>-7.21796332192644</c:v>
                </c:pt>
                <c:pt idx="500">
                  <c:v>-7.25817491513123</c:v>
                </c:pt>
                <c:pt idx="501">
                  <c:v>-7.2980621568058</c:v>
                </c:pt>
                <c:pt idx="502">
                  <c:v>-7.33762441026061</c:v>
                </c:pt>
                <c:pt idx="503">
                  <c:v>-7.33766356021307</c:v>
                </c:pt>
                <c:pt idx="504">
                  <c:v>-7.33770270984341</c:v>
                </c:pt>
                <c:pt idx="505">
                  <c:v>-7.33774185915162</c:v>
                </c:pt>
                <c:pt idx="506">
                  <c:v>-7.33778100813769</c:v>
                </c:pt>
                <c:pt idx="507">
                  <c:v>-7.33782015680163</c:v>
                </c:pt>
                <c:pt idx="508">
                  <c:v>-7.33785930514343</c:v>
                </c:pt>
                <c:pt idx="509">
                  <c:v>-7.33789845316311</c:v>
                </c:pt>
                <c:pt idx="510">
                  <c:v>-7.33793760086064</c:v>
                </c:pt>
                <c:pt idx="511">
                  <c:v>-7.33797674823605</c:v>
                </c:pt>
                <c:pt idx="512">
                  <c:v>-7.33801589528932</c:v>
                </c:pt>
                <c:pt idx="513">
                  <c:v>-7.33805504202045</c:v>
                </c:pt>
                <c:pt idx="514">
                  <c:v>-7.33809418842945</c:v>
                </c:pt>
                <c:pt idx="515">
                  <c:v>-7.33813333451631</c:v>
                </c:pt>
                <c:pt idx="516">
                  <c:v>-7.33817248028103</c:v>
                </c:pt>
                <c:pt idx="517">
                  <c:v>-7.33821162572361</c:v>
                </c:pt>
                <c:pt idx="518">
                  <c:v>-7.33825077084406</c:v>
                </c:pt>
                <c:pt idx="519">
                  <c:v>-7.33828991564237</c:v>
                </c:pt>
                <c:pt idx="520">
                  <c:v>-7.33832906011854</c:v>
                </c:pt>
                <c:pt idx="521">
                  <c:v>-7.33836820427257</c:v>
                </c:pt>
                <c:pt idx="522">
                  <c:v>-7.33840734810445</c:v>
                </c:pt>
                <c:pt idx="523">
                  <c:v>-7.3384464916142</c:v>
                </c:pt>
                <c:pt idx="524">
                  <c:v>-7.33848563480181</c:v>
                </c:pt>
                <c:pt idx="525">
                  <c:v>-7.33852477766728</c:v>
                </c:pt>
                <c:pt idx="526">
                  <c:v>-7.3385639202106</c:v>
                </c:pt>
                <c:pt idx="527">
                  <c:v>-7.33860306243178</c:v>
                </c:pt>
                <c:pt idx="528">
                  <c:v>-7.33864220433082</c:v>
                </c:pt>
                <c:pt idx="529">
                  <c:v>-7.33868134590772</c:v>
                </c:pt>
                <c:pt idx="530">
                  <c:v>-7.33872048716247</c:v>
                </c:pt>
                <c:pt idx="531">
                  <c:v>-7.33875962809508</c:v>
                </c:pt>
                <c:pt idx="532">
                  <c:v>-7.33879876870554</c:v>
                </c:pt>
                <c:pt idx="533">
                  <c:v>-7.33883790899386</c:v>
                </c:pt>
                <c:pt idx="534">
                  <c:v>-7.33887704896003</c:v>
                </c:pt>
                <c:pt idx="535">
                  <c:v>-7.33891618860406</c:v>
                </c:pt>
                <c:pt idx="536">
                  <c:v>-7.33895532792594</c:v>
                </c:pt>
                <c:pt idx="537">
                  <c:v>-7.33899446692567</c:v>
                </c:pt>
                <c:pt idx="538">
                  <c:v>-7.33903360560325</c:v>
                </c:pt>
                <c:pt idx="539">
                  <c:v>-7.33907274395869</c:v>
                </c:pt>
                <c:pt idx="540">
                  <c:v>-7.33911188199198</c:v>
                </c:pt>
                <c:pt idx="541">
                  <c:v>-7.33915101970312</c:v>
                </c:pt>
                <c:pt idx="542">
                  <c:v>-7.33919015709211</c:v>
                </c:pt>
                <c:pt idx="543">
                  <c:v>-7.33922929415895</c:v>
                </c:pt>
                <c:pt idx="544">
                  <c:v>-7.33926843090364</c:v>
                </c:pt>
                <c:pt idx="545">
                  <c:v>-7.33930756732618</c:v>
                </c:pt>
                <c:pt idx="546">
                  <c:v>-7.33934670342657</c:v>
                </c:pt>
                <c:pt idx="547">
                  <c:v>-7.3393858392048</c:v>
                </c:pt>
                <c:pt idx="548">
                  <c:v>-7.33942497466088</c:v>
                </c:pt>
                <c:pt idx="549">
                  <c:v>-7.33946410979481</c:v>
                </c:pt>
                <c:pt idx="550">
                  <c:v>-7.33950324460659</c:v>
                </c:pt>
                <c:pt idx="551">
                  <c:v>-7.33954237909621</c:v>
                </c:pt>
                <c:pt idx="552">
                  <c:v>-7.33958151326368</c:v>
                </c:pt>
                <c:pt idx="553">
                  <c:v>-7.339620647109</c:v>
                </c:pt>
                <c:pt idx="554">
                  <c:v>-7.33965978063216</c:v>
                </c:pt>
                <c:pt idx="555">
                  <c:v>-7.33969891383316</c:v>
                </c:pt>
                <c:pt idx="556">
                  <c:v>-7.33973804671201</c:v>
                </c:pt>
                <c:pt idx="557">
                  <c:v>-7.3397771792687</c:v>
                </c:pt>
                <c:pt idx="558">
                  <c:v>-7.33981631150324</c:v>
                </c:pt>
                <c:pt idx="559">
                  <c:v>-7.33985544341562</c:v>
                </c:pt>
                <c:pt idx="560">
                  <c:v>-7.33989457500583</c:v>
                </c:pt>
                <c:pt idx="561">
                  <c:v>-7.33993370627389</c:v>
                </c:pt>
                <c:pt idx="562">
                  <c:v>-7.33997283721979</c:v>
                </c:pt>
                <c:pt idx="563">
                  <c:v>-7.34001196784353</c:v>
                </c:pt>
                <c:pt idx="564">
                  <c:v>-7.34005109814512</c:v>
                </c:pt>
                <c:pt idx="565">
                  <c:v>-7.34009022812454</c:v>
                </c:pt>
                <c:pt idx="566">
                  <c:v>-7.3401293577818</c:v>
                </c:pt>
                <c:pt idx="567">
                  <c:v>-7.3401684871169</c:v>
                </c:pt>
                <c:pt idx="568">
                  <c:v>-7.34020761612984</c:v>
                </c:pt>
                <c:pt idx="569">
                  <c:v>-7.34024674482062</c:v>
                </c:pt>
                <c:pt idx="570">
                  <c:v>-7.34028587318923</c:v>
                </c:pt>
                <c:pt idx="571">
                  <c:v>-7.34032500123568</c:v>
                </c:pt>
                <c:pt idx="572">
                  <c:v>-7.34036412895997</c:v>
                </c:pt>
                <c:pt idx="573">
                  <c:v>-7.34040325636209</c:v>
                </c:pt>
                <c:pt idx="574">
                  <c:v>-7.34044238344205</c:v>
                </c:pt>
                <c:pt idx="575">
                  <c:v>-7.34048151019984</c:v>
                </c:pt>
                <c:pt idx="576">
                  <c:v>-7.34052063663547</c:v>
                </c:pt>
                <c:pt idx="577">
                  <c:v>-7.34055976274893</c:v>
                </c:pt>
                <c:pt idx="578">
                  <c:v>-7.34059888854023</c:v>
                </c:pt>
                <c:pt idx="579">
                  <c:v>-7.34063801400936</c:v>
                </c:pt>
                <c:pt idx="580">
                  <c:v>-7.34067713915632</c:v>
                </c:pt>
                <c:pt idx="581">
                  <c:v>-7.34071626398111</c:v>
                </c:pt>
                <c:pt idx="582">
                  <c:v>-7.34075538848373</c:v>
                </c:pt>
                <c:pt idx="583">
                  <c:v>-7.34079451266419</c:v>
                </c:pt>
                <c:pt idx="584">
                  <c:v>-7.34083363652248</c:v>
                </c:pt>
                <c:pt idx="585">
                  <c:v>-7.3408727600586</c:v>
                </c:pt>
                <c:pt idx="586">
                  <c:v>-7.34091188327254</c:v>
                </c:pt>
                <c:pt idx="587">
                  <c:v>-7.34095100616432</c:v>
                </c:pt>
                <c:pt idx="588">
                  <c:v>-7.34099012873392</c:v>
                </c:pt>
                <c:pt idx="589">
                  <c:v>-7.34102925098136</c:v>
                </c:pt>
                <c:pt idx="590">
                  <c:v>-7.34106837290662</c:v>
                </c:pt>
                <c:pt idx="591">
                  <c:v>-7.34110749450971</c:v>
                </c:pt>
                <c:pt idx="592">
                  <c:v>-7.34114661579063</c:v>
                </c:pt>
                <c:pt idx="593">
                  <c:v>-7.34118573674937</c:v>
                </c:pt>
                <c:pt idx="594">
                  <c:v>-7.34122485738594</c:v>
                </c:pt>
                <c:pt idx="595">
                  <c:v>-7.34126397770033</c:v>
                </c:pt>
                <c:pt idx="596">
                  <c:v>-7.34130309769255</c:v>
                </c:pt>
                <c:pt idx="597">
                  <c:v>-7.3413422173626</c:v>
                </c:pt>
                <c:pt idx="598">
                  <c:v>-7.34138133671047</c:v>
                </c:pt>
                <c:pt idx="599">
                  <c:v>-7.34142045573616</c:v>
                </c:pt>
                <c:pt idx="600">
                  <c:v>-7.34145957443968</c:v>
                </c:pt>
                <c:pt idx="601">
                  <c:v>-7.34149869282101</c:v>
                </c:pt>
                <c:pt idx="602">
                  <c:v>-7.34153781088018</c:v>
                </c:pt>
                <c:pt idx="603">
                  <c:v>-7.34157692861716</c:v>
                </c:pt>
                <c:pt idx="604">
                  <c:v>-7.34161604603196</c:v>
                </c:pt>
                <c:pt idx="605">
                  <c:v>-7.34165516312459</c:v>
                </c:pt>
                <c:pt idx="606">
                  <c:v>-7.34169427989503</c:v>
                </c:pt>
                <c:pt idx="607">
                  <c:v>-7.3417333963433</c:v>
                </c:pt>
                <c:pt idx="608">
                  <c:v>-7.34177251246938</c:v>
                </c:pt>
                <c:pt idx="609">
                  <c:v>-7.34181162827329</c:v>
                </c:pt>
                <c:pt idx="610">
                  <c:v>-7.34185074375501</c:v>
                </c:pt>
                <c:pt idx="611">
                  <c:v>-7.34188985891456</c:v>
                </c:pt>
                <c:pt idx="612">
                  <c:v>-7.34192897375192</c:v>
                </c:pt>
                <c:pt idx="613">
                  <c:v>-7.34196808826709</c:v>
                </c:pt>
                <c:pt idx="614">
                  <c:v>-7.34200720246009</c:v>
                </c:pt>
                <c:pt idx="615">
                  <c:v>-7.3420463163309</c:v>
                </c:pt>
                <c:pt idx="616">
                  <c:v>-7.34208542987952</c:v>
                </c:pt>
                <c:pt idx="617">
                  <c:v>-7.34212454310596</c:v>
                </c:pt>
                <c:pt idx="618">
                  <c:v>-7.34216365601021</c:v>
                </c:pt>
                <c:pt idx="619">
                  <c:v>-7.34220276859228</c:v>
                </c:pt>
                <c:pt idx="620">
                  <c:v>-7.34224188085217</c:v>
                </c:pt>
                <c:pt idx="621">
                  <c:v>-7.34228099278986</c:v>
                </c:pt>
                <c:pt idx="622">
                  <c:v>-7.34232010440538</c:v>
                </c:pt>
                <c:pt idx="623">
                  <c:v>-7.3423592156987</c:v>
                </c:pt>
                <c:pt idx="624">
                  <c:v>-7.34239832666984</c:v>
                </c:pt>
                <c:pt idx="625">
                  <c:v>-7.34243743731878</c:v>
                </c:pt>
                <c:pt idx="626">
                  <c:v>-7.34247654764554</c:v>
                </c:pt>
                <c:pt idx="627">
                  <c:v>-7.34251565765011</c:v>
                </c:pt>
                <c:pt idx="628">
                  <c:v>-7.34255476733249</c:v>
                </c:pt>
                <c:pt idx="629">
                  <c:v>-7.34259387669268</c:v>
                </c:pt>
                <c:pt idx="630">
                  <c:v>-7.34263298573067</c:v>
                </c:pt>
                <c:pt idx="631">
                  <c:v>-7.34267209444648</c:v>
                </c:pt>
                <c:pt idx="632">
                  <c:v>-7.34271120284009</c:v>
                </c:pt>
                <c:pt idx="633">
                  <c:v>-7.34275031091152</c:v>
                </c:pt>
                <c:pt idx="634">
                  <c:v>-7.34278941866075</c:v>
                </c:pt>
                <c:pt idx="635">
                  <c:v>-7.34282852608778</c:v>
                </c:pt>
                <c:pt idx="636">
                  <c:v>-7.34286763319263</c:v>
                </c:pt>
                <c:pt idx="637">
                  <c:v>-7.34290673997528</c:v>
                </c:pt>
                <c:pt idx="638">
                  <c:v>-7.34294584643573</c:v>
                </c:pt>
                <c:pt idx="639">
                  <c:v>-7.34298495257399</c:v>
                </c:pt>
                <c:pt idx="640">
                  <c:v>-7.34302405839006</c:v>
                </c:pt>
                <c:pt idx="641">
                  <c:v>-7.34306316388393</c:v>
                </c:pt>
                <c:pt idx="642">
                  <c:v>-7.3431022690556</c:v>
                </c:pt>
                <c:pt idx="643">
                  <c:v>-7.34314137390508</c:v>
                </c:pt>
                <c:pt idx="644">
                  <c:v>-7.34318047843236</c:v>
                </c:pt>
                <c:pt idx="645">
                  <c:v>-7.34321958263744</c:v>
                </c:pt>
                <c:pt idx="646">
                  <c:v>-7.34325868652032</c:v>
                </c:pt>
                <c:pt idx="647">
                  <c:v>-7.34329779008101</c:v>
                </c:pt>
                <c:pt idx="648">
                  <c:v>-7.3433368933195</c:v>
                </c:pt>
                <c:pt idx="649">
                  <c:v>-7.34337599623578</c:v>
                </c:pt>
                <c:pt idx="650">
                  <c:v>-7.34341509882987</c:v>
                </c:pt>
                <c:pt idx="651">
                  <c:v>-7.34345420110176</c:v>
                </c:pt>
                <c:pt idx="652">
                  <c:v>-7.34349330305144</c:v>
                </c:pt>
                <c:pt idx="653">
                  <c:v>-7.34353240467893</c:v>
                </c:pt>
                <c:pt idx="654">
                  <c:v>-7.34357150598421</c:v>
                </c:pt>
                <c:pt idx="655">
                  <c:v>-7.34361060696728</c:v>
                </c:pt>
                <c:pt idx="656">
                  <c:v>-7.34364970762817</c:v>
                </c:pt>
                <c:pt idx="657">
                  <c:v>-7.34368880796684</c:v>
                </c:pt>
                <c:pt idx="658">
                  <c:v>-7.34372790798331</c:v>
                </c:pt>
                <c:pt idx="659">
                  <c:v>-7.34376700767758</c:v>
                </c:pt>
                <c:pt idx="660">
                  <c:v>-7.34380610704963</c:v>
                </c:pt>
                <c:pt idx="661">
                  <c:v>-7.34384520609949</c:v>
                </c:pt>
                <c:pt idx="662">
                  <c:v>-7.34388430482714</c:v>
                </c:pt>
                <c:pt idx="663">
                  <c:v>-7.34392340323259</c:v>
                </c:pt>
                <c:pt idx="664">
                  <c:v>-7.34396250131582</c:v>
                </c:pt>
                <c:pt idx="665">
                  <c:v>-7.34400159907686</c:v>
                </c:pt>
                <c:pt idx="666">
                  <c:v>-7.34404069651568</c:v>
                </c:pt>
                <c:pt idx="667">
                  <c:v>-7.3440797936323</c:v>
                </c:pt>
                <c:pt idx="668">
                  <c:v>-7.3441188904267</c:v>
                </c:pt>
                <c:pt idx="669">
                  <c:v>-7.3441579868989</c:v>
                </c:pt>
                <c:pt idx="670">
                  <c:v>-7.34419708304889</c:v>
                </c:pt>
                <c:pt idx="671">
                  <c:v>-7.34423617887667</c:v>
                </c:pt>
                <c:pt idx="672">
                  <c:v>-7.34427527438224</c:v>
                </c:pt>
                <c:pt idx="673">
                  <c:v>-7.3443143695656</c:v>
                </c:pt>
                <c:pt idx="674">
                  <c:v>-7.34435346442675</c:v>
                </c:pt>
                <c:pt idx="675">
                  <c:v>-7.34439255896569</c:v>
                </c:pt>
                <c:pt idx="676">
                  <c:v>-7.34443165318241</c:v>
                </c:pt>
                <c:pt idx="677">
                  <c:v>-7.34447074707692</c:v>
                </c:pt>
                <c:pt idx="678">
                  <c:v>-7.34450984064922</c:v>
                </c:pt>
                <c:pt idx="679">
                  <c:v>-7.34454893389931</c:v>
                </c:pt>
                <c:pt idx="680">
                  <c:v>-7.34458802682718</c:v>
                </c:pt>
                <c:pt idx="681">
                  <c:v>-7.34462711943284</c:v>
                </c:pt>
                <c:pt idx="682">
                  <c:v>-7.34466621171629</c:v>
                </c:pt>
                <c:pt idx="683">
                  <c:v>-7.34470530367751</c:v>
                </c:pt>
                <c:pt idx="684">
                  <c:v>-7.34474439531652</c:v>
                </c:pt>
                <c:pt idx="685">
                  <c:v>-7.34478348663332</c:v>
                </c:pt>
                <c:pt idx="686">
                  <c:v>-7.3448225776279</c:v>
                </c:pt>
                <c:pt idx="687">
                  <c:v>-7.34486166830027</c:v>
                </c:pt>
                <c:pt idx="688">
                  <c:v>-7.34490075865041</c:v>
                </c:pt>
                <c:pt idx="689">
                  <c:v>-7.34493984867834</c:v>
                </c:pt>
                <c:pt idx="690">
                  <c:v>-7.34497893838405</c:v>
                </c:pt>
                <c:pt idx="691">
                  <c:v>-7.34501802776754</c:v>
                </c:pt>
                <c:pt idx="692">
                  <c:v>-7.34505711682881</c:v>
                </c:pt>
                <c:pt idx="693">
                  <c:v>-7.34509620556786</c:v>
                </c:pt>
                <c:pt idx="694">
                  <c:v>-7.34513529398469</c:v>
                </c:pt>
                <c:pt idx="695">
                  <c:v>-7.3451743820793</c:v>
                </c:pt>
                <c:pt idx="696">
                  <c:v>-7.34521346985169</c:v>
                </c:pt>
                <c:pt idx="697">
                  <c:v>-7.34525255730186</c:v>
                </c:pt>
                <c:pt idx="698">
                  <c:v>-7.3452916444298</c:v>
                </c:pt>
                <c:pt idx="699">
                  <c:v>-7.34533073123552</c:v>
                </c:pt>
                <c:pt idx="700">
                  <c:v>-7.34536981771902</c:v>
                </c:pt>
                <c:pt idx="701">
                  <c:v>-7.3454089038803</c:v>
                </c:pt>
                <c:pt idx="702">
                  <c:v>-7.34544798971935</c:v>
                </c:pt>
                <c:pt idx="703">
                  <c:v>-7.34548707523618</c:v>
                </c:pt>
                <c:pt idx="704">
                  <c:v>-7.34552616043078</c:v>
                </c:pt>
                <c:pt idx="705">
                  <c:v>-7.34556524530316</c:v>
                </c:pt>
                <c:pt idx="706">
                  <c:v>-7.34560432985331</c:v>
                </c:pt>
                <c:pt idx="707">
                  <c:v>-7.34564341408123</c:v>
                </c:pt>
                <c:pt idx="708">
                  <c:v>-7.34568249798693</c:v>
                </c:pt>
                <c:pt idx="709">
                  <c:v>-7.3457215815704</c:v>
                </c:pt>
                <c:pt idx="710">
                  <c:v>-7.34576066483165</c:v>
                </c:pt>
                <c:pt idx="711">
                  <c:v>-7.34579974777066</c:v>
                </c:pt>
                <c:pt idx="712">
                  <c:v>-7.34583883038745</c:v>
                </c:pt>
                <c:pt idx="713">
                  <c:v>-7.34587791268201</c:v>
                </c:pt>
                <c:pt idx="714">
                  <c:v>-7.34591699465434</c:v>
                </c:pt>
                <c:pt idx="715">
                  <c:v>-7.34595607630443</c:v>
                </c:pt>
                <c:pt idx="716">
                  <c:v>-7.3459951576323</c:v>
                </c:pt>
                <c:pt idx="717">
                  <c:v>-7.34603423863794</c:v>
                </c:pt>
                <c:pt idx="718">
                  <c:v>-7.34607331932135</c:v>
                </c:pt>
                <c:pt idx="719">
                  <c:v>-7.34611239968252</c:v>
                </c:pt>
                <c:pt idx="720">
                  <c:v>-7.34615147972146</c:v>
                </c:pt>
                <c:pt idx="721">
                  <c:v>-7.34619055943817</c:v>
                </c:pt>
                <c:pt idx="722">
                  <c:v>-7.34622963883265</c:v>
                </c:pt>
                <c:pt idx="723">
                  <c:v>-7.34626871790489</c:v>
                </c:pt>
                <c:pt idx="724">
                  <c:v>-7.3463077966549</c:v>
                </c:pt>
                <c:pt idx="725">
                  <c:v>-7.34634687508268</c:v>
                </c:pt>
                <c:pt idx="726">
                  <c:v>-7.34638595318822</c:v>
                </c:pt>
                <c:pt idx="727">
                  <c:v>-7.34642503097152</c:v>
                </c:pt>
                <c:pt idx="728">
                  <c:v>-7.34646410843259</c:v>
                </c:pt>
                <c:pt idx="729">
                  <c:v>-7.34650318557142</c:v>
                </c:pt>
                <c:pt idx="730">
                  <c:v>-7.34654226238802</c:v>
                </c:pt>
                <c:pt idx="731">
                  <c:v>-7.34658133888238</c:v>
                </c:pt>
                <c:pt idx="732">
                  <c:v>-7.3466204150545</c:v>
                </c:pt>
                <c:pt idx="733">
                  <c:v>-7.34665949090438</c:v>
                </c:pt>
                <c:pt idx="734">
                  <c:v>-7.34669856643202</c:v>
                </c:pt>
                <c:pt idx="735">
                  <c:v>-7.34673764163743</c:v>
                </c:pt>
                <c:pt idx="736">
                  <c:v>-7.34677671652059</c:v>
                </c:pt>
                <c:pt idx="737">
                  <c:v>-7.34681579108151</c:v>
                </c:pt>
                <c:pt idx="738">
                  <c:v>-7.3468548653202</c:v>
                </c:pt>
                <c:pt idx="739">
                  <c:v>-7.34689393923665</c:v>
                </c:pt>
                <c:pt idx="740">
                  <c:v>-7.34693301283085</c:v>
                </c:pt>
                <c:pt idx="741">
                  <c:v>-7.34697208610281</c:v>
                </c:pt>
                <c:pt idx="742">
                  <c:v>-7.34701115905253</c:v>
                </c:pt>
                <c:pt idx="743">
                  <c:v>-7.34705023168</c:v>
                </c:pt>
                <c:pt idx="744">
                  <c:v>-7.34708930398523</c:v>
                </c:pt>
                <c:pt idx="745">
                  <c:v>-7.34712837596822</c:v>
                </c:pt>
                <c:pt idx="746">
                  <c:v>-7.34716744762897</c:v>
                </c:pt>
                <c:pt idx="747">
                  <c:v>-7.34720651896747</c:v>
                </c:pt>
                <c:pt idx="748">
                  <c:v>-7.34724558998373</c:v>
                </c:pt>
                <c:pt idx="749">
                  <c:v>-7.34728466067773</c:v>
                </c:pt>
                <c:pt idx="750">
                  <c:v>-7.3473237310495</c:v>
                </c:pt>
                <c:pt idx="751">
                  <c:v>-7.34736280109902</c:v>
                </c:pt>
                <c:pt idx="752">
                  <c:v>-7.34740187082629</c:v>
                </c:pt>
                <c:pt idx="753">
                  <c:v>-7.34744094023131</c:v>
                </c:pt>
                <c:pt idx="754">
                  <c:v>-7.34748000931409</c:v>
                </c:pt>
                <c:pt idx="755">
                  <c:v>-7.34751907807462</c:v>
                </c:pt>
                <c:pt idx="756">
                  <c:v>-7.34755814651289</c:v>
                </c:pt>
                <c:pt idx="757">
                  <c:v>-7.34759721462893</c:v>
                </c:pt>
                <c:pt idx="758">
                  <c:v>-7.34763628242271</c:v>
                </c:pt>
                <c:pt idx="759">
                  <c:v>-7.34767534989424</c:v>
                </c:pt>
                <c:pt idx="760">
                  <c:v>-7.34771441704352</c:v>
                </c:pt>
                <c:pt idx="761">
                  <c:v>-7.34775348387055</c:v>
                </c:pt>
                <c:pt idx="762">
                  <c:v>-7.34779255037533</c:v>
                </c:pt>
                <c:pt idx="763">
                  <c:v>-7.34783161655785</c:v>
                </c:pt>
                <c:pt idx="764">
                  <c:v>-7.34787068241813</c:v>
                </c:pt>
                <c:pt idx="765">
                  <c:v>-7.34790974795615</c:v>
                </c:pt>
                <c:pt idx="766">
                  <c:v>-7.34794881317192</c:v>
                </c:pt>
                <c:pt idx="767">
                  <c:v>-7.34798787806543</c:v>
                </c:pt>
                <c:pt idx="768">
                  <c:v>-7.34802694263669</c:v>
                </c:pt>
                <c:pt idx="769">
                  <c:v>-7.3480660068857</c:v>
                </c:pt>
                <c:pt idx="770">
                  <c:v>-7.34810507081245</c:v>
                </c:pt>
                <c:pt idx="771">
                  <c:v>-7.34814413441695</c:v>
                </c:pt>
                <c:pt idx="772">
                  <c:v>-7.34818319769919</c:v>
                </c:pt>
                <c:pt idx="773">
                  <c:v>-7.34822226065918</c:v>
                </c:pt>
                <c:pt idx="774">
                  <c:v>-7.3482613232969</c:v>
                </c:pt>
                <c:pt idx="775">
                  <c:v>-7.34830038561237</c:v>
                </c:pt>
                <c:pt idx="776">
                  <c:v>-7.34833944760559</c:v>
                </c:pt>
                <c:pt idx="777">
                  <c:v>-7.34837850927654</c:v>
                </c:pt>
                <c:pt idx="778">
                  <c:v>-7.34841757062523</c:v>
                </c:pt>
                <c:pt idx="779">
                  <c:v>-7.34845663165167</c:v>
                </c:pt>
                <c:pt idx="780">
                  <c:v>-7.34849569235584</c:v>
                </c:pt>
                <c:pt idx="781">
                  <c:v>-7.34853475273776</c:v>
                </c:pt>
                <c:pt idx="782">
                  <c:v>-7.34857381279742</c:v>
                </c:pt>
                <c:pt idx="783">
                  <c:v>-7.34861287253482</c:v>
                </c:pt>
                <c:pt idx="784">
                  <c:v>-7.34865193194995</c:v>
                </c:pt>
                <c:pt idx="785">
                  <c:v>-7.34869099104282</c:v>
                </c:pt>
                <c:pt idx="786">
                  <c:v>-7.34873004981343</c:v>
                </c:pt>
                <c:pt idx="787">
                  <c:v>-7.34876910826178</c:v>
                </c:pt>
                <c:pt idx="788">
                  <c:v>-7.34880816638787</c:v>
                </c:pt>
                <c:pt idx="789">
                  <c:v>-7.34884722419169</c:v>
                </c:pt>
                <c:pt idx="790">
                  <c:v>-7.34888628167324</c:v>
                </c:pt>
                <c:pt idx="791">
                  <c:v>-7.34892533883254</c:v>
                </c:pt>
                <c:pt idx="792">
                  <c:v>-7.34896439566957</c:v>
                </c:pt>
                <c:pt idx="793">
                  <c:v>-7.34900345218433</c:v>
                </c:pt>
                <c:pt idx="794">
                  <c:v>-7.34904250837682</c:v>
                </c:pt>
                <c:pt idx="795">
                  <c:v>-7.34908156424705</c:v>
                </c:pt>
                <c:pt idx="796">
                  <c:v>-7.34912061979502</c:v>
                </c:pt>
                <c:pt idx="797">
                  <c:v>-7.34915967502071</c:v>
                </c:pt>
                <c:pt idx="798">
                  <c:v>-7.34919872992414</c:v>
                </c:pt>
                <c:pt idx="799">
                  <c:v>-7.3492377845053</c:v>
                </c:pt>
                <c:pt idx="800">
                  <c:v>-7.34927683876419</c:v>
                </c:pt>
                <c:pt idx="801">
                  <c:v>-7.34931589270082</c:v>
                </c:pt>
                <c:pt idx="802">
                  <c:v>-7.34935494631517</c:v>
                </c:pt>
                <c:pt idx="803">
                  <c:v>-7.34939399960725</c:v>
                </c:pt>
                <c:pt idx="804">
                  <c:v>-7.34943305257707</c:v>
                </c:pt>
                <c:pt idx="805">
                  <c:v>-7.34947210522461</c:v>
                </c:pt>
                <c:pt idx="806">
                  <c:v>-7.34951115754988</c:v>
                </c:pt>
                <c:pt idx="807">
                  <c:v>-7.34955020955288</c:v>
                </c:pt>
                <c:pt idx="808">
                  <c:v>-7.34958926123361</c:v>
                </c:pt>
                <c:pt idx="809">
                  <c:v>-7.34962831259206</c:v>
                </c:pt>
                <c:pt idx="810">
                  <c:v>-7.34966736362825</c:v>
                </c:pt>
                <c:pt idx="811">
                  <c:v>-7.34970641434215</c:v>
                </c:pt>
                <c:pt idx="812">
                  <c:v>-7.34974546473379</c:v>
                </c:pt>
                <c:pt idx="813">
                  <c:v>-7.34978451480315</c:v>
                </c:pt>
                <c:pt idx="814">
                  <c:v>-7.34982356455024</c:v>
                </c:pt>
                <c:pt idx="815">
                  <c:v>-7.34986261397505</c:v>
                </c:pt>
                <c:pt idx="816">
                  <c:v>-7.34990166307758</c:v>
                </c:pt>
                <c:pt idx="817">
                  <c:v>-7.34994071185784</c:v>
                </c:pt>
                <c:pt idx="818">
                  <c:v>-7.34997976031582</c:v>
                </c:pt>
                <c:pt idx="819">
                  <c:v>-7.35001880845153</c:v>
                </c:pt>
                <c:pt idx="820">
                  <c:v>-7.35005785626496</c:v>
                </c:pt>
                <c:pt idx="821">
                  <c:v>-7.35009690375611</c:v>
                </c:pt>
                <c:pt idx="822">
                  <c:v>-7.35013595092498</c:v>
                </c:pt>
                <c:pt idx="823">
                  <c:v>-7.35017499777157</c:v>
                </c:pt>
                <c:pt idx="824">
                  <c:v>-7.35021404429588</c:v>
                </c:pt>
                <c:pt idx="825">
                  <c:v>-7.35025309049791</c:v>
                </c:pt>
                <c:pt idx="826">
                  <c:v>-7.35029213637767</c:v>
                </c:pt>
                <c:pt idx="827">
                  <c:v>-7.35033118193514</c:v>
                </c:pt>
                <c:pt idx="828">
                  <c:v>-7.35037022717033</c:v>
                </c:pt>
                <c:pt idx="829">
                  <c:v>-7.35040927208324</c:v>
                </c:pt>
                <c:pt idx="830">
                  <c:v>-7.35044831667387</c:v>
                </c:pt>
                <c:pt idx="831">
                  <c:v>-7.35048736094221</c:v>
                </c:pt>
                <c:pt idx="832">
                  <c:v>-7.35052640488828</c:v>
                </c:pt>
                <c:pt idx="833">
                  <c:v>-7.35056544851205</c:v>
                </c:pt>
                <c:pt idx="834">
                  <c:v>-7.35060449181355</c:v>
                </c:pt>
                <c:pt idx="835">
                  <c:v>-7.35064353479276</c:v>
                </c:pt>
                <c:pt idx="836">
                  <c:v>-7.35068257744969</c:v>
                </c:pt>
                <c:pt idx="837">
                  <c:v>-7.35072161978433</c:v>
                </c:pt>
                <c:pt idx="838">
                  <c:v>-7.35076066179668</c:v>
                </c:pt>
                <c:pt idx="839">
                  <c:v>-7.35079970348675</c:v>
                </c:pt>
                <c:pt idx="840">
                  <c:v>-7.35083874485453</c:v>
                </c:pt>
                <c:pt idx="841">
                  <c:v>-7.35087778590003</c:v>
                </c:pt>
                <c:pt idx="842">
                  <c:v>-7.35091682662324</c:v>
                </c:pt>
                <c:pt idx="843">
                  <c:v>-7.35095586702416</c:v>
                </c:pt>
                <c:pt idx="844">
                  <c:v>-7.35099490710279</c:v>
                </c:pt>
                <c:pt idx="845">
                  <c:v>-7.35103394685914</c:v>
                </c:pt>
                <c:pt idx="846">
                  <c:v>-7.35107298629319</c:v>
                </c:pt>
                <c:pt idx="847">
                  <c:v>-7.35111202540496</c:v>
                </c:pt>
                <c:pt idx="848">
                  <c:v>-7.35115106419443</c:v>
                </c:pt>
                <c:pt idx="849">
                  <c:v>-7.35119010266161</c:v>
                </c:pt>
                <c:pt idx="850">
                  <c:v>-7.35122914080651</c:v>
                </c:pt>
                <c:pt idx="851">
                  <c:v>-7.35126817862911</c:v>
                </c:pt>
                <c:pt idx="852">
                  <c:v>-7.35130721612942</c:v>
                </c:pt>
                <c:pt idx="853">
                  <c:v>-7.35134625330744</c:v>
                </c:pt>
                <c:pt idx="854">
                  <c:v>-7.35138529016317</c:v>
                </c:pt>
                <c:pt idx="855">
                  <c:v>-7.35142432669659</c:v>
                </c:pt>
                <c:pt idx="856">
                  <c:v>-7.35146336290773</c:v>
                </c:pt>
                <c:pt idx="857">
                  <c:v>-7.35150239879658</c:v>
                </c:pt>
                <c:pt idx="858">
                  <c:v>-7.35154143436313</c:v>
                </c:pt>
                <c:pt idx="859">
                  <c:v>-7.35158046960738</c:v>
                </c:pt>
                <c:pt idx="860">
                  <c:v>-7.35161950452934</c:v>
                </c:pt>
                <c:pt idx="861">
                  <c:v>-7.35165853912901</c:v>
                </c:pt>
                <c:pt idx="862">
                  <c:v>-7.35169757340637</c:v>
                </c:pt>
                <c:pt idx="863">
                  <c:v>-7.35173660736145</c:v>
                </c:pt>
                <c:pt idx="864">
                  <c:v>-7.35177564099422</c:v>
                </c:pt>
                <c:pt idx="865">
                  <c:v>-7.35181467430469</c:v>
                </c:pt>
                <c:pt idx="866">
                  <c:v>-7.35185370729287</c:v>
                </c:pt>
                <c:pt idx="867">
                  <c:v>-7.35189273995875</c:v>
                </c:pt>
                <c:pt idx="868">
                  <c:v>-7.35193177230233</c:v>
                </c:pt>
                <c:pt idx="869">
                  <c:v>-7.35197080432361</c:v>
                </c:pt>
                <c:pt idx="870">
                  <c:v>-7.35200983602259</c:v>
                </c:pt>
                <c:pt idx="871">
                  <c:v>-7.35204886739927</c:v>
                </c:pt>
                <c:pt idx="872">
                  <c:v>-7.35208789845365</c:v>
                </c:pt>
                <c:pt idx="873">
                  <c:v>-7.35212692918573</c:v>
                </c:pt>
                <c:pt idx="874">
                  <c:v>-7.35216595959551</c:v>
                </c:pt>
                <c:pt idx="875">
                  <c:v>-7.35220498968298</c:v>
                </c:pt>
                <c:pt idx="876">
                  <c:v>-7.35224401944815</c:v>
                </c:pt>
                <c:pt idx="877">
                  <c:v>-7.35228304889102</c:v>
                </c:pt>
                <c:pt idx="878">
                  <c:v>-7.35232207801159</c:v>
                </c:pt>
                <c:pt idx="879">
                  <c:v>-7.35236110680985</c:v>
                </c:pt>
                <c:pt idx="880">
                  <c:v>-7.35240013528581</c:v>
                </c:pt>
                <c:pt idx="881">
                  <c:v>-7.35243916343946</c:v>
                </c:pt>
                <c:pt idx="882">
                  <c:v>-7.35247819127081</c:v>
                </c:pt>
                <c:pt idx="883">
                  <c:v>-7.35251721877985</c:v>
                </c:pt>
                <c:pt idx="884">
                  <c:v>-7.35255624596658</c:v>
                </c:pt>
                <c:pt idx="885">
                  <c:v>-7.35259527283101</c:v>
                </c:pt>
                <c:pt idx="886">
                  <c:v>-7.35263429937314</c:v>
                </c:pt>
                <c:pt idx="887">
                  <c:v>-7.35267332559295</c:v>
                </c:pt>
                <c:pt idx="888">
                  <c:v>-7.35271235149046</c:v>
                </c:pt>
                <c:pt idx="889">
                  <c:v>-7.35275137706566</c:v>
                </c:pt>
                <c:pt idx="890">
                  <c:v>-7.35279040231855</c:v>
                </c:pt>
                <c:pt idx="891">
                  <c:v>-7.35282942724913</c:v>
                </c:pt>
                <c:pt idx="892">
                  <c:v>-7.3528684518574</c:v>
                </c:pt>
                <c:pt idx="893">
                  <c:v>-7.35290747614336</c:v>
                </c:pt>
                <c:pt idx="894">
                  <c:v>-7.35294650010701</c:v>
                </c:pt>
                <c:pt idx="895">
                  <c:v>-7.35298552374835</c:v>
                </c:pt>
                <c:pt idx="896">
                  <c:v>-7.35302454706738</c:v>
                </c:pt>
                <c:pt idx="897">
                  <c:v>-7.3530635700641</c:v>
                </c:pt>
                <c:pt idx="898">
                  <c:v>-7.3531025927385</c:v>
                </c:pt>
                <c:pt idx="899">
                  <c:v>-7.35314161509059</c:v>
                </c:pt>
                <c:pt idx="900">
                  <c:v>-7.35318063712037</c:v>
                </c:pt>
                <c:pt idx="901">
                  <c:v>-7.35321965882783</c:v>
                </c:pt>
                <c:pt idx="902">
                  <c:v>-7.35325868021299</c:v>
                </c:pt>
                <c:pt idx="903">
                  <c:v>-7.35329770127582</c:v>
                </c:pt>
                <c:pt idx="904">
                  <c:v>-7.35333672201634</c:v>
                </c:pt>
                <c:pt idx="905">
                  <c:v>-7.35337574243454</c:v>
                </c:pt>
                <c:pt idx="906">
                  <c:v>-7.35341476253044</c:v>
                </c:pt>
                <c:pt idx="907">
                  <c:v>-7.35345378230401</c:v>
                </c:pt>
                <c:pt idx="908">
                  <c:v>-7.35349280175526</c:v>
                </c:pt>
                <c:pt idx="909">
                  <c:v>-7.35353182088421</c:v>
                </c:pt>
                <c:pt idx="910">
                  <c:v>-7.35357083969083</c:v>
                </c:pt>
                <c:pt idx="911">
                  <c:v>-7.35360985817513</c:v>
                </c:pt>
                <c:pt idx="912">
                  <c:v>-7.35364887633712</c:v>
                </c:pt>
                <c:pt idx="913">
                  <c:v>-7.35368789417679</c:v>
                </c:pt>
                <c:pt idx="914">
                  <c:v>-7.35372691169413</c:v>
                </c:pt>
                <c:pt idx="915">
                  <c:v>-7.35376592888916</c:v>
                </c:pt>
                <c:pt idx="916">
                  <c:v>-7.35380494576187</c:v>
                </c:pt>
                <c:pt idx="917">
                  <c:v>-7.35384396231225</c:v>
                </c:pt>
                <c:pt idx="918">
                  <c:v>-7.35388297854032</c:v>
                </c:pt>
                <c:pt idx="919">
                  <c:v>-7.35392199444606</c:v>
                </c:pt>
                <c:pt idx="920">
                  <c:v>-7.35396101002948</c:v>
                </c:pt>
                <c:pt idx="921">
                  <c:v>-7.35400002529058</c:v>
                </c:pt>
                <c:pt idx="922">
                  <c:v>-7.35403904022935</c:v>
                </c:pt>
                <c:pt idx="923">
                  <c:v>-7.35407805484581</c:v>
                </c:pt>
                <c:pt idx="924">
                  <c:v>-7.35411706913994</c:v>
                </c:pt>
                <c:pt idx="925">
                  <c:v>-7.35415608311174</c:v>
                </c:pt>
                <c:pt idx="926">
                  <c:v>-7.35419509676122</c:v>
                </c:pt>
                <c:pt idx="927">
                  <c:v>-7.35423411008838</c:v>
                </c:pt>
                <c:pt idx="928">
                  <c:v>-7.35427312309321</c:v>
                </c:pt>
                <c:pt idx="929">
                  <c:v>-7.35431213577571</c:v>
                </c:pt>
                <c:pt idx="930">
                  <c:v>-7.35435114813589</c:v>
                </c:pt>
                <c:pt idx="931">
                  <c:v>-7.35439016017374</c:v>
                </c:pt>
                <c:pt idx="932">
                  <c:v>-7.35442917188926</c:v>
                </c:pt>
                <c:pt idx="933">
                  <c:v>-7.35446818328246</c:v>
                </c:pt>
                <c:pt idx="934">
                  <c:v>-7.35450719435332</c:v>
                </c:pt>
                <c:pt idx="935">
                  <c:v>-7.35454620510187</c:v>
                </c:pt>
                <c:pt idx="936">
                  <c:v>-7.35458521552808</c:v>
                </c:pt>
                <c:pt idx="937">
                  <c:v>-7.35462422563196</c:v>
                </c:pt>
                <c:pt idx="938">
                  <c:v>-7.35466323541351</c:v>
                </c:pt>
                <c:pt idx="939">
                  <c:v>-7.35470224487273</c:v>
                </c:pt>
                <c:pt idx="940">
                  <c:v>-7.35474125400962</c:v>
                </c:pt>
                <c:pt idx="941">
                  <c:v>-7.35478026282417</c:v>
                </c:pt>
                <c:pt idx="942">
                  <c:v>-7.3548192713164</c:v>
                </c:pt>
                <c:pt idx="943">
                  <c:v>-7.35485827948629</c:v>
                </c:pt>
                <c:pt idx="944">
                  <c:v>-7.35489728733385</c:v>
                </c:pt>
                <c:pt idx="945">
                  <c:v>-7.35493629485908</c:v>
                </c:pt>
                <c:pt idx="946">
                  <c:v>-7.35497530206197</c:v>
                </c:pt>
                <c:pt idx="947">
                  <c:v>-7.35501430894254</c:v>
                </c:pt>
                <c:pt idx="948">
                  <c:v>-7.35505331550076</c:v>
                </c:pt>
                <c:pt idx="949">
                  <c:v>-7.35509232173666</c:v>
                </c:pt>
                <c:pt idx="950">
                  <c:v>-7.35513132765021</c:v>
                </c:pt>
                <c:pt idx="951">
                  <c:v>-7.35517033324143</c:v>
                </c:pt>
                <c:pt idx="952">
                  <c:v>-7.35520933851032</c:v>
                </c:pt>
                <c:pt idx="953">
                  <c:v>-7.35524834345686</c:v>
                </c:pt>
                <c:pt idx="954">
                  <c:v>-7.35528734808108</c:v>
                </c:pt>
                <c:pt idx="955">
                  <c:v>-7.35532635238295</c:v>
                </c:pt>
                <c:pt idx="956">
                  <c:v>-7.35536535636249</c:v>
                </c:pt>
                <c:pt idx="957">
                  <c:v>-7.35540436001969</c:v>
                </c:pt>
                <c:pt idx="958">
                  <c:v>-7.35544336335455</c:v>
                </c:pt>
                <c:pt idx="959">
                  <c:v>-7.35548236636706</c:v>
                </c:pt>
                <c:pt idx="960">
                  <c:v>-7.35552136905724</c:v>
                </c:pt>
                <c:pt idx="961">
                  <c:v>-7.35556037142509</c:v>
                </c:pt>
                <c:pt idx="962">
                  <c:v>-7.35559937347058</c:v>
                </c:pt>
                <c:pt idx="963">
                  <c:v>-7.35563837519375</c:v>
                </c:pt>
                <c:pt idx="964">
                  <c:v>-7.35567737659456</c:v>
                </c:pt>
                <c:pt idx="965">
                  <c:v>-7.35571637767304</c:v>
                </c:pt>
                <c:pt idx="966">
                  <c:v>-7.35575537842917</c:v>
                </c:pt>
                <c:pt idx="967">
                  <c:v>-7.35579437886296</c:v>
                </c:pt>
                <c:pt idx="968">
                  <c:v>-7.35583337897441</c:v>
                </c:pt>
                <c:pt idx="969">
                  <c:v>-7.35587237876352</c:v>
                </c:pt>
                <c:pt idx="970">
                  <c:v>-7.35591137823027</c:v>
                </c:pt>
                <c:pt idx="971">
                  <c:v>-7.35595037737469</c:v>
                </c:pt>
                <c:pt idx="972">
                  <c:v>-7.35598937619676</c:v>
                </c:pt>
                <c:pt idx="973">
                  <c:v>-7.35602837469649</c:v>
                </c:pt>
                <c:pt idx="974">
                  <c:v>-7.35606737287387</c:v>
                </c:pt>
                <c:pt idx="975">
                  <c:v>-7.3561063707289</c:v>
                </c:pt>
                <c:pt idx="976">
                  <c:v>-7.35614536826159</c:v>
                </c:pt>
                <c:pt idx="977">
                  <c:v>-7.35618436547193</c:v>
                </c:pt>
                <c:pt idx="978">
                  <c:v>-7.35622336235992</c:v>
                </c:pt>
                <c:pt idx="979">
                  <c:v>-7.35626235892556</c:v>
                </c:pt>
                <c:pt idx="980">
                  <c:v>-7.35630135516886</c:v>
                </c:pt>
                <c:pt idx="981">
                  <c:v>-7.35634035108981</c:v>
                </c:pt>
                <c:pt idx="982">
                  <c:v>-7.35637934668841</c:v>
                </c:pt>
                <c:pt idx="983">
                  <c:v>-7.35641834196466</c:v>
                </c:pt>
                <c:pt idx="984">
                  <c:v>-7.35645733691856</c:v>
                </c:pt>
                <c:pt idx="985">
                  <c:v>-7.35649633155011</c:v>
                </c:pt>
                <c:pt idx="986">
                  <c:v>-7.3565353258593</c:v>
                </c:pt>
                <c:pt idx="987">
                  <c:v>-7.35657431984615</c:v>
                </c:pt>
                <c:pt idx="988">
                  <c:v>-7.35661331351064</c:v>
                </c:pt>
                <c:pt idx="989">
                  <c:v>-7.35665230685279</c:v>
                </c:pt>
                <c:pt idx="990">
                  <c:v>-7.35669129987258</c:v>
                </c:pt>
                <c:pt idx="991">
                  <c:v>-7.35673029257001</c:v>
                </c:pt>
                <c:pt idx="992">
                  <c:v>-7.3567692849451</c:v>
                </c:pt>
                <c:pt idx="993">
                  <c:v>-7.35680827699783</c:v>
                </c:pt>
                <c:pt idx="994">
                  <c:v>-7.3568472687282</c:v>
                </c:pt>
                <c:pt idx="995">
                  <c:v>-7.35688626013622</c:v>
                </c:pt>
                <c:pt idx="996">
                  <c:v>-7.35692525122188</c:v>
                </c:pt>
                <c:pt idx="997">
                  <c:v>-7.35696424198519</c:v>
                </c:pt>
                <c:pt idx="998">
                  <c:v>-7.35700323242615</c:v>
                </c:pt>
                <c:pt idx="999">
                  <c:v>-7.35704222254474</c:v>
                </c:pt>
                <c:pt idx="1000">
                  <c:v>-7.35708121234098</c:v>
                </c:pt>
              </c:numCache>
            </c:numRef>
          </c:yVal>
          <c:smooth val="0"/>
        </c:ser>
        <c:axId val="26468453"/>
        <c:axId val="87256167"/>
      </c:scatterChart>
      <c:valAx>
        <c:axId val="26468453"/>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87256167"/>
        <c:crosses val="autoZero"/>
        <c:crossBetween val="midCat"/>
      </c:valAx>
      <c:valAx>
        <c:axId val="87256167"/>
        <c:scaling>
          <c:orientation val="minMax"/>
        </c:scaling>
        <c:delete val="0"/>
        <c:axPos val="l"/>
        <c:majorGridlines>
          <c:spPr>
            <a:ln w="3240">
              <a:solidFill>
                <a:srgbClr val="000000"/>
              </a:solidFill>
              <a:prstDash val="sysDash"/>
              <a:round/>
            </a:ln>
          </c:spPr>
        </c:majorGridlines>
        <c:title>
          <c:tx>
            <c:rich>
              <a:bodyPr rot="-5400000"/>
              <a:lstStyle/>
              <a:p>
                <a:pPr>
                  <a:defRPr b="1" lang="fr-FR" sz="1000" spc="-1" strike="noStrike">
                    <a:solidFill>
                      <a:srgbClr val="000000"/>
                    </a:solidFill>
                    <a:latin typeface="Arial"/>
                    <a:ea typeface="Arial"/>
                  </a:defRPr>
                </a:pPr>
                <a:r>
                  <a:rPr b="1" lang="fr-FR" sz="1000" spc="-1" strike="noStrike">
                    <a:solidFill>
                      <a:srgbClr val="000000"/>
                    </a:solidFill>
                    <a:latin typeface="Arial"/>
                    <a:ea typeface="Arial"/>
                  </a:rPr>
                  <a:t>Accélérations [m/s²]_</a:t>
                </a:r>
              </a:p>
            </c:rich>
          </c:tx>
          <c:layout>
            <c:manualLayout>
              <c:xMode val="edge"/>
              <c:yMode val="edge"/>
              <c:x val="0.0271195853387634"/>
              <c:y val="0.297183794466403"/>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26468453"/>
        <c:crosses val="autoZero"/>
        <c:crossBetween val="midCat"/>
      </c:valAx>
      <c:spPr>
        <a:noFill/>
        <a:ln w="12600">
          <a:solidFill>
            <a:srgbClr val="808080"/>
          </a:solidFill>
          <a:round/>
        </a:ln>
      </c:spPr>
    </c:plotArea>
    <c:legend>
      <c:legendPos val="r"/>
      <c:layout>
        <c:manualLayout>
          <c:xMode val="edge"/>
          <c:yMode val="edge"/>
          <c:x val="0.661950180755707"/>
          <c:y val="0.257777777777778"/>
          <c:w val="0.309748675283514"/>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Positions</a:t>
            </a:r>
          </a:p>
        </c:rich>
      </c:tx>
      <c:overlay val="0"/>
      <c:spPr>
        <a:noFill/>
        <a:ln w="0">
          <a:noFill/>
        </a:ln>
      </c:spPr>
    </c:title>
    <c:autoTitleDeleted val="0"/>
    <c:plotArea>
      <c:layout>
        <c:manualLayout>
          <c:layoutTarget val="inner"/>
          <c:xMode val="edge"/>
          <c:yMode val="edge"/>
          <c:x val="0.116762310255461"/>
          <c:y val="0.0947381422924901"/>
          <c:w val="0.864355794150315"/>
          <c:h val="0.738512845849802"/>
        </c:manualLayout>
      </c:layout>
      <c:scatterChart>
        <c:scatterStyle val="line"/>
        <c:varyColors val="0"/>
        <c:ser>
          <c:idx val="0"/>
          <c:order val="0"/>
          <c:tx>
            <c:strRef>
              <c:f>Courbes!$B$144</c:f>
              <c:strCache>
                <c:ptCount val="1"/>
                <c:pt idx="0">
                  <c:v>Portée</c:v>
                </c:pt>
              </c:strCache>
            </c:strRef>
          </c:tx>
          <c:spPr>
            <a:solidFill>
              <a:srgbClr val="800000"/>
            </a:solidFill>
            <a:ln w="25560">
              <a:solidFill>
                <a:srgbClr val="8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Calculs!$J$4:$J$1004</c:f>
              <c:numCache>
                <c:formatCode>General</c:formatCode>
                <c:ptCount val="1001"/>
                <c:pt idx="0">
                  <c:v>0</c:v>
                </c:pt>
                <c:pt idx="1">
                  <c:v>0.000142702521077708</c:v>
                </c:pt>
                <c:pt idx="2">
                  <c:v>0.00120158907755714</c:v>
                </c:pt>
                <c:pt idx="3">
                  <c:v>0.00419179677730875</c:v>
                </c:pt>
                <c:pt idx="4">
                  <c:v>0.00945748075444779</c:v>
                </c:pt>
                <c:pt idx="5">
                  <c:v>0.0169181396636682</c:v>
                </c:pt>
                <c:pt idx="6">
                  <c:v>0.0265176555434008</c:v>
                </c:pt>
                <c:pt idx="7">
                  <c:v>0.0382489321105681</c:v>
                </c:pt>
                <c:pt idx="8">
                  <c:v>0.0521294193143606</c:v>
                </c:pt>
                <c:pt idx="9">
                  <c:v>0.0681765735565757</c:v>
                </c:pt>
                <c:pt idx="10">
                  <c:v>0.0864078573065882</c:v>
                </c:pt>
                <c:pt idx="11">
                  <c:v>0.106838188865451</c:v>
                </c:pt>
                <c:pt idx="12">
                  <c:v>0.129477385512674</c:v>
                </c:pt>
                <c:pt idx="13">
                  <c:v>0.154332703229742</c:v>
                </c:pt>
                <c:pt idx="14">
                  <c:v>0.181411383103548</c:v>
                </c:pt>
                <c:pt idx="15">
                  <c:v>0.210720651063163</c:v>
                </c:pt>
                <c:pt idx="16">
                  <c:v>0.24226771761588</c:v>
                </c:pt>
                <c:pt idx="17">
                  <c:v>0.276059777582553</c:v>
                </c:pt>
                <c:pt idx="18">
                  <c:v>0.312104009832246</c:v>
                </c:pt>
                <c:pt idx="19">
                  <c:v>0.350407577016219</c:v>
                </c:pt>
                <c:pt idx="20">
                  <c:v>0.390977625301283</c:v>
                </c:pt>
                <c:pt idx="21">
                  <c:v>0.433820260885645</c:v>
                </c:pt>
                <c:pt idx="22">
                  <c:v>0.478939523925093</c:v>
                </c:pt>
                <c:pt idx="23">
                  <c:v>0.526338407764063</c:v>
                </c:pt>
                <c:pt idx="24">
                  <c:v>0.576019880813362</c:v>
                </c:pt>
                <c:pt idx="25">
                  <c:v>0.627986886397614</c:v>
                </c:pt>
                <c:pt idx="26">
                  <c:v>0.682242342603648</c:v>
                </c:pt>
                <c:pt idx="27">
                  <c:v>0.738789142129849</c:v>
                </c:pt>
                <c:pt idx="28">
                  <c:v>0.797714091283294</c:v>
                </c:pt>
                <c:pt idx="29">
                  <c:v>0.859107358255577</c:v>
                </c:pt>
                <c:pt idx="30">
                  <c:v>0.922978483852036</c:v>
                </c:pt>
                <c:pt idx="31">
                  <c:v>0.98933682986653</c:v>
                </c:pt>
                <c:pt idx="32">
                  <c:v>1.05819153259397</c:v>
                </c:pt>
                <c:pt idx="33">
                  <c:v>1.12955151550531</c:v>
                </c:pt>
                <c:pt idx="34">
                  <c:v>1.20342550070062</c:v>
                </c:pt>
                <c:pt idx="35">
                  <c:v>1.27982201929056</c:v>
                </c:pt>
                <c:pt idx="36">
                  <c:v>1.35874942083454</c:v>
                </c:pt>
                <c:pt idx="37">
                  <c:v>1.44021588194467</c:v>
                </c:pt>
                <c:pt idx="38">
                  <c:v>1.52422941414984</c:v>
                </c:pt>
                <c:pt idx="39">
                  <c:v>1.61079787110082</c:v>
                </c:pt>
                <c:pt idx="40">
                  <c:v>1.69992895518691</c:v>
                </c:pt>
                <c:pt idx="41">
                  <c:v>1.79162940280806</c:v>
                </c:pt>
                <c:pt idx="42">
                  <c:v>1.88590416272022</c:v>
                </c:pt>
                <c:pt idx="43">
                  <c:v>1.98275721360428</c:v>
                </c:pt>
                <c:pt idx="44">
                  <c:v>2.08219238801924</c:v>
                </c:pt>
                <c:pt idx="45">
                  <c:v>2.1842133774686</c:v>
                </c:pt>
                <c:pt idx="46">
                  <c:v>2.28882373711154</c:v>
                </c:pt>
                <c:pt idx="47">
                  <c:v>2.39602689015126</c:v>
                </c:pt>
                <c:pt idx="48">
                  <c:v>2.50582613192993</c:v>
                </c:pt>
                <c:pt idx="49">
                  <c:v>2.61822463375571</c:v>
                </c:pt>
                <c:pt idx="50">
                  <c:v>2.73322544648536</c:v>
                </c:pt>
                <c:pt idx="51">
                  <c:v>2.85083150388283</c:v>
                </c:pt>
                <c:pt idx="52">
                  <c:v>2.97104562577249</c:v>
                </c:pt>
                <c:pt idx="53">
                  <c:v>3.09387052100375</c:v>
                </c:pt>
                <c:pt idx="54">
                  <c:v>3.21930879024202</c:v>
                </c:pt>
                <c:pt idx="55">
                  <c:v>3.3473629285997</c:v>
                </c:pt>
                <c:pt idx="56">
                  <c:v>3.47803532811939</c:v>
                </c:pt>
                <c:pt idx="57">
                  <c:v>3.61132828012061</c:v>
                </c:pt>
                <c:pt idx="58">
                  <c:v>3.74724397742008</c:v>
                </c:pt>
                <c:pt idx="59">
                  <c:v>3.88578451643479</c:v>
                </c:pt>
                <c:pt idx="60">
                  <c:v>4.02695189917639</c:v>
                </c:pt>
                <c:pt idx="61">
                  <c:v>4.17074803514441</c:v>
                </c:pt>
                <c:pt idx="62">
                  <c:v>4.31717474312555</c:v>
                </c:pt>
                <c:pt idx="63">
                  <c:v>4.46623375290529</c:v>
                </c:pt>
                <c:pt idx="64">
                  <c:v>4.61792670689786</c:v>
                </c:pt>
                <c:pt idx="65">
                  <c:v>4.77225516170005</c:v>
                </c:pt>
                <c:pt idx="66">
                  <c:v>4.92922058957369</c:v>
                </c:pt>
                <c:pt idx="67">
                  <c:v>5.08882437986159</c:v>
                </c:pt>
                <c:pt idx="68">
                  <c:v>5.25106784034109</c:v>
                </c:pt>
                <c:pt idx="69">
                  <c:v>5.41595219851925</c:v>
                </c:pt>
                <c:pt idx="70">
                  <c:v>5.58347860287317</c:v>
                </c:pt>
                <c:pt idx="71">
                  <c:v>5.75364812403898</c:v>
                </c:pt>
                <c:pt idx="72">
                  <c:v>5.92646175595255</c:v>
                </c:pt>
                <c:pt idx="73">
                  <c:v>6.10192041694473</c:v>
                </c:pt>
                <c:pt idx="74">
                  <c:v>6.28002495079404</c:v>
                </c:pt>
                <c:pt idx="75">
                  <c:v>6.46077612773908</c:v>
                </c:pt>
                <c:pt idx="76">
                  <c:v>6.64417464545314</c:v>
                </c:pt>
                <c:pt idx="77">
                  <c:v>6.83022112998319</c:v>
                </c:pt>
                <c:pt idx="78">
                  <c:v>7.01891613665516</c:v>
                </c:pt>
                <c:pt idx="79">
                  <c:v>7.2102601509476</c:v>
                </c:pt>
                <c:pt idx="80">
                  <c:v>7.40425358933527</c:v>
                </c:pt>
                <c:pt idx="81">
                  <c:v>7.60089592107714</c:v>
                </c:pt>
                <c:pt idx="82">
                  <c:v>7.80018478602092</c:v>
                </c:pt>
                <c:pt idx="83">
                  <c:v>8.00211686945928</c:v>
                </c:pt>
                <c:pt idx="84">
                  <c:v>8.20668878106523</c:v>
                </c:pt>
                <c:pt idx="85">
                  <c:v>8.41389705589945</c:v>
                </c:pt>
                <c:pt idx="86">
                  <c:v>8.62373815539075</c:v>
                </c:pt>
                <c:pt idx="87">
                  <c:v>8.83620846829117</c:v>
                </c:pt>
                <c:pt idx="88">
                  <c:v>9.05130431160712</c:v>
                </c:pt>
                <c:pt idx="89">
                  <c:v>9.26902193150768</c:v>
                </c:pt>
                <c:pt idx="90">
                  <c:v>9.48935750421138</c:v>
                </c:pt>
                <c:pt idx="91">
                  <c:v>9.71230674489727</c:v>
                </c:pt>
                <c:pt idx="92">
                  <c:v>9.93786451502275</c:v>
                </c:pt>
                <c:pt idx="93">
                  <c:v>10.1660252131983</c:v>
                </c:pt>
                <c:pt idx="94">
                  <c:v>10.3967831676797</c:v>
                </c:pt>
                <c:pt idx="95">
                  <c:v>10.6301326372849</c:v>
                </c:pt>
                <c:pt idx="96">
                  <c:v>10.8660678122921</c:v>
                </c:pt>
                <c:pt idx="97">
                  <c:v>11.1045828153218</c:v>
                </c:pt>
                <c:pt idx="98">
                  <c:v>11.3456717022026</c:v>
                </c:pt>
                <c:pt idx="99">
                  <c:v>11.5893284628218</c:v>
                </c:pt>
                <c:pt idx="100">
                  <c:v>11.8355470219611</c:v>
                </c:pt>
                <c:pt idx="101">
                  <c:v>12.0843211769064</c:v>
                </c:pt>
                <c:pt idx="102">
                  <c:v>12.3356445348181</c:v>
                </c:pt>
                <c:pt idx="103">
                  <c:v>12.589510576474</c:v>
                </c:pt>
                <c:pt idx="104">
                  <c:v>12.8459127202356</c:v>
                </c:pt>
                <c:pt idx="105">
                  <c:v>13.1048443228395</c:v>
                </c:pt>
                <c:pt idx="106">
                  <c:v>13.3662986801765</c:v>
                </c:pt>
                <c:pt idx="107">
                  <c:v>13.6302690280603</c:v>
                </c:pt>
                <c:pt idx="108">
                  <c:v>13.8967485429859</c:v>
                </c:pt>
                <c:pt idx="109">
                  <c:v>14.165730342878</c:v>
                </c:pt>
                <c:pt idx="110">
                  <c:v>14.4372074878299</c:v>
                </c:pt>
                <c:pt idx="111">
                  <c:v>14.7111737141279</c:v>
                </c:pt>
                <c:pt idx="112">
                  <c:v>14.9876241706157</c:v>
                </c:pt>
                <c:pt idx="113">
                  <c:v>15.2665546887501</c:v>
                </c:pt>
                <c:pt idx="114">
                  <c:v>15.5479610502025</c:v>
                </c:pt>
                <c:pt idx="115">
                  <c:v>15.8318389873639</c:v>
                </c:pt>
                <c:pt idx="116">
                  <c:v>16.1181841838429</c:v>
                </c:pt>
                <c:pt idx="117">
                  <c:v>16.4069922749594</c:v>
                </c:pt>
                <c:pt idx="118">
                  <c:v>16.6982588482332</c:v>
                </c:pt>
                <c:pt idx="119">
                  <c:v>16.9919794438672</c:v>
                </c:pt>
                <c:pt idx="120">
                  <c:v>17.2881495552267</c:v>
                </c:pt>
                <c:pt idx="121">
                  <c:v>17.5867634045956</c:v>
                </c:pt>
                <c:pt idx="122">
                  <c:v>17.8878127153996</c:v>
                </c:pt>
                <c:pt idx="123">
                  <c:v>18.1912879336256</c:v>
                </c:pt>
                <c:pt idx="124">
                  <c:v>18.4971794529213</c:v>
                </c:pt>
                <c:pt idx="125">
                  <c:v>18.805477615365</c:v>
                </c:pt>
                <c:pt idx="126">
                  <c:v>19.1161727122271</c:v>
                </c:pt>
                <c:pt idx="127">
                  <c:v>19.4292549847261</c:v>
                </c:pt>
                <c:pt idx="128">
                  <c:v>19.7447146247774</c:v>
                </c:pt>
                <c:pt idx="129">
                  <c:v>20.0625417757364</c:v>
                </c:pt>
                <c:pt idx="130">
                  <c:v>20.3827265331347</c:v>
                </c:pt>
                <c:pt idx="131">
                  <c:v>20.7052586227036</c:v>
                </c:pt>
                <c:pt idx="132">
                  <c:v>21.0301270775729</c:v>
                </c:pt>
                <c:pt idx="133">
                  <c:v>21.3573205608891</c:v>
                </c:pt>
                <c:pt idx="134">
                  <c:v>21.6868276892858</c:v>
                </c:pt>
                <c:pt idx="135">
                  <c:v>22.0186370336749</c:v>
                </c:pt>
                <c:pt idx="136">
                  <c:v>22.35273712003</c:v>
                </c:pt>
                <c:pt idx="137">
                  <c:v>22.6891164301641</c:v>
                </c:pt>
                <c:pt idx="138">
                  <c:v>23.0277634025017</c:v>
                </c:pt>
                <c:pt idx="139">
                  <c:v>23.3686664328444</c:v>
                </c:pt>
                <c:pt idx="140">
                  <c:v>23.7118138751304</c:v>
                </c:pt>
                <c:pt idx="141">
                  <c:v>24.057190160324</c:v>
                </c:pt>
                <c:pt idx="142">
                  <c:v>24.4047719068006</c:v>
                </c:pt>
                <c:pt idx="143">
                  <c:v>24.7545317954677</c:v>
                </c:pt>
                <c:pt idx="144">
                  <c:v>25.1064424539388</c:v>
                </c:pt>
                <c:pt idx="145">
                  <c:v>25.4604764583802</c:v>
                </c:pt>
                <c:pt idx="146">
                  <c:v>25.8166063353356</c:v>
                </c:pt>
                <c:pt idx="147">
                  <c:v>26.1748045635305</c:v>
                </c:pt>
                <c:pt idx="148">
                  <c:v>26.5350435756551</c:v>
                </c:pt>
                <c:pt idx="149">
                  <c:v>26.897295760127</c:v>
                </c:pt>
                <c:pt idx="150">
                  <c:v>27.2615334628326</c:v>
                </c:pt>
                <c:pt idx="151">
                  <c:v>27.6277289888487</c:v>
                </c:pt>
                <c:pt idx="152">
                  <c:v>27.995854604143</c:v>
                </c:pt>
                <c:pt idx="153">
                  <c:v>28.3658825372539</c:v>
                </c:pt>
                <c:pt idx="154">
                  <c:v>28.7377849809511</c:v>
                </c:pt>
                <c:pt idx="155">
                  <c:v>29.1115340938744</c:v>
                </c:pt>
                <c:pt idx="156">
                  <c:v>29.4870834635344</c:v>
                </c:pt>
                <c:pt idx="157">
                  <c:v>29.864349542883</c:v>
                </c:pt>
                <c:pt idx="158">
                  <c:v>30.2432301787011</c:v>
                </c:pt>
                <c:pt idx="159">
                  <c:v>30.6236231710426</c:v>
                </c:pt>
                <c:pt idx="160">
                  <c:v>31.0054262840037</c:v>
                </c:pt>
                <c:pt idx="161">
                  <c:v>31.388513625293</c:v>
                </c:pt>
                <c:pt idx="162">
                  <c:v>31.7727120096094</c:v>
                </c:pt>
                <c:pt idx="163">
                  <c:v>32.1578268703005</c:v>
                </c:pt>
                <c:pt idx="164">
                  <c:v>32.5436681981945</c:v>
                </c:pt>
                <c:pt idx="165">
                  <c:v>32.9300709341462</c:v>
                </c:pt>
                <c:pt idx="166">
                  <c:v>33.3169153570489</c:v>
                </c:pt>
                <c:pt idx="167">
                  <c:v>33.7040872368924</c:v>
                </c:pt>
                <c:pt idx="168">
                  <c:v>34.0914504449235</c:v>
                </c:pt>
                <c:pt idx="169">
                  <c:v>34.4788286096299</c:v>
                </c:pt>
                <c:pt idx="170">
                  <c:v>34.8659992824926</c:v>
                </c:pt>
                <c:pt idx="171">
                  <c:v>35.2528067468829</c:v>
                </c:pt>
                <c:pt idx="172">
                  <c:v>35.6392123409729</c:v>
                </c:pt>
                <c:pt idx="173">
                  <c:v>36.0252171744968</c:v>
                </c:pt>
                <c:pt idx="174">
                  <c:v>36.4108223528742</c:v>
                </c:pt>
                <c:pt idx="175">
                  <c:v>36.7960289772321</c:v>
                </c:pt>
                <c:pt idx="176">
                  <c:v>37.1808381444281</c:v>
                </c:pt>
                <c:pt idx="177">
                  <c:v>37.565250947073</c:v>
                </c:pt>
                <c:pt idx="178">
                  <c:v>37.9492684735529</c:v>
                </c:pt>
                <c:pt idx="179">
                  <c:v>38.3328918080519</c:v>
                </c:pt>
                <c:pt idx="180">
                  <c:v>38.7161220305737</c:v>
                </c:pt>
                <c:pt idx="181">
                  <c:v>39.0989602169643</c:v>
                </c:pt>
                <c:pt idx="182">
                  <c:v>39.4814074389331</c:v>
                </c:pt>
                <c:pt idx="183">
                  <c:v>39.863464764075</c:v>
                </c:pt>
                <c:pt idx="184">
                  <c:v>40.245133255892</c:v>
                </c:pt>
                <c:pt idx="185">
                  <c:v>40.6264139738144</c:v>
                </c:pt>
                <c:pt idx="186">
                  <c:v>41.0073079732223</c:v>
                </c:pt>
                <c:pt idx="187">
                  <c:v>41.3878163054663</c:v>
                </c:pt>
                <c:pt idx="188">
                  <c:v>41.7679400178892</c:v>
                </c:pt>
                <c:pt idx="189">
                  <c:v>42.1476801538461</c:v>
                </c:pt>
                <c:pt idx="190">
                  <c:v>42.5270377527258</c:v>
                </c:pt>
                <c:pt idx="191">
                  <c:v>42.9060138499707</c:v>
                </c:pt>
                <c:pt idx="192">
                  <c:v>43.284609477098</c:v>
                </c:pt>
                <c:pt idx="193">
                  <c:v>43.6628256617193</c:v>
                </c:pt>
                <c:pt idx="194">
                  <c:v>44.0406634275615</c:v>
                </c:pt>
                <c:pt idx="195">
                  <c:v>44.418123794486</c:v>
                </c:pt>
                <c:pt idx="196">
                  <c:v>44.7952077785097</c:v>
                </c:pt>
                <c:pt idx="197">
                  <c:v>45.1719163918237</c:v>
                </c:pt>
                <c:pt idx="198">
                  <c:v>45.5482506428138</c:v>
                </c:pt>
                <c:pt idx="199">
                  <c:v>45.9242115360796</c:v>
                </c:pt>
                <c:pt idx="200">
                  <c:v>46.2998000724542</c:v>
                </c:pt>
                <c:pt idx="201">
                  <c:v>50.0352830392682</c:v>
                </c:pt>
                <c:pt idx="202">
                  <c:v>53.7341720407277</c:v>
                </c:pt>
                <c:pt idx="203">
                  <c:v>57.3974335095521</c:v>
                </c:pt>
                <c:pt idx="204">
                  <c:v>61.0259986255886</c:v>
                </c:pt>
                <c:pt idx="205">
                  <c:v>64.6207650586916</c:v>
                </c:pt>
                <c:pt idx="206">
                  <c:v>68.1825986047871</c:v>
                </c:pt>
                <c:pt idx="207">
                  <c:v>71.7123347229263</c:v>
                </c:pt>
                <c:pt idx="208">
                  <c:v>75.2107799804765</c:v>
                </c:pt>
                <c:pt idx="209">
                  <c:v>78.678713412995</c:v>
                </c:pt>
                <c:pt idx="210">
                  <c:v>82.1168878047977</c:v>
                </c:pt>
                <c:pt idx="211">
                  <c:v>85.5260308957372</c:v>
                </c:pt>
                <c:pt idx="212">
                  <c:v>88.906846519267</c:v>
                </c:pt>
                <c:pt idx="213">
                  <c:v>92.2600156764589</c:v>
                </c:pt>
                <c:pt idx="214">
                  <c:v>95.5861975502763</c:v>
                </c:pt>
                <c:pt idx="215">
                  <c:v>98.8860304640715</c:v>
                </c:pt>
                <c:pt idx="216">
                  <c:v>102.160132787967</c:v>
                </c:pt>
                <c:pt idx="217">
                  <c:v>105.409103796503</c:v>
                </c:pt>
                <c:pt idx="218">
                  <c:v>108.633524480684</c:v>
                </c:pt>
                <c:pt idx="219">
                  <c:v>111.833958317319</c:v>
                </c:pt>
                <c:pt idx="220">
                  <c:v>115.010951998323</c:v>
                </c:pt>
                <c:pt idx="221">
                  <c:v>118.165036122499</c:v>
                </c:pt>
                <c:pt idx="222">
                  <c:v>121.296725852071</c:v>
                </c:pt>
                <c:pt idx="223">
                  <c:v>124.406521536136</c:v>
                </c:pt>
                <c:pt idx="224">
                  <c:v>127.494909303019</c:v>
                </c:pt>
                <c:pt idx="225">
                  <c:v>130.562361623378</c:v>
                </c:pt>
                <c:pt idx="226">
                  <c:v>133.609337845792</c:v>
                </c:pt>
                <c:pt idx="227">
                  <c:v>136.636284706429</c:v>
                </c:pt>
                <c:pt idx="228">
                  <c:v>139.643636814303</c:v>
                </c:pt>
                <c:pt idx="229">
                  <c:v>142.631817113497</c:v>
                </c:pt>
                <c:pt idx="230">
                  <c:v>145.601237323677</c:v>
                </c:pt>
                <c:pt idx="231">
                  <c:v>148.552298360097</c:v>
                </c:pt>
                <c:pt idx="232">
                  <c:v>151.485390734246</c:v>
                </c:pt>
                <c:pt idx="233">
                  <c:v>154.400894936187</c:v>
                </c:pt>
                <c:pt idx="234">
                  <c:v>157.299181799595</c:v>
                </c:pt>
                <c:pt idx="235">
                  <c:v>160.180612850427</c:v>
                </c:pt>
                <c:pt idx="236">
                  <c:v>163.045540640082</c:v>
                </c:pt>
                <c:pt idx="237">
                  <c:v>165.894309063891</c:v>
                </c:pt>
                <c:pt idx="238">
                  <c:v>168.727253665692</c:v>
                </c:pt>
                <c:pt idx="239">
                  <c:v>171.544701929206</c:v>
                </c:pt>
                <c:pt idx="240">
                  <c:v>174.346973556911</c:v>
                </c:pt>
                <c:pt idx="241">
                  <c:v>177.13438073703</c:v>
                </c:pt>
                <c:pt idx="242">
                  <c:v>179.90722839923</c:v>
                </c:pt>
                <c:pt idx="243">
                  <c:v>182.665814459617</c:v>
                </c:pt>
                <c:pt idx="244">
                  <c:v>185.410430055527</c:v>
                </c:pt>
                <c:pt idx="245">
                  <c:v>188.141359770623</c:v>
                </c:pt>
                <c:pt idx="246">
                  <c:v>190.858881850772</c:v>
                </c:pt>
                <c:pt idx="247">
                  <c:v>193.563268411133</c:v>
                </c:pt>
                <c:pt idx="248">
                  <c:v>196.254785634869</c:v>
                </c:pt>
                <c:pt idx="249">
                  <c:v>198.933693963888</c:v>
                </c:pt>
                <c:pt idx="250">
                  <c:v>201.600248281967</c:v>
                </c:pt>
                <c:pt idx="251">
                  <c:v>204.254698090614</c:v>
                </c:pt>
                <c:pt idx="252">
                  <c:v>206.897287677996</c:v>
                </c:pt>
                <c:pt idx="253">
                  <c:v>209.52825628124</c:v>
                </c:pt>
                <c:pt idx="254">
                  <c:v>212.14783824239</c:v>
                </c:pt>
                <c:pt idx="255">
                  <c:v>214.756263158319</c:v>
                </c:pt>
                <c:pt idx="256">
                  <c:v>217.353756024822</c:v>
                </c:pt>
                <c:pt idx="257">
                  <c:v>219.940537375162</c:v>
                </c:pt>
                <c:pt idx="258">
                  <c:v>222.516823413282</c:v>
                </c:pt>
                <c:pt idx="259">
                  <c:v>225.082826141911</c:v>
                </c:pt>
                <c:pt idx="260">
                  <c:v>227.638753485754</c:v>
                </c:pt>
                <c:pt idx="261">
                  <c:v>230.184809409976</c:v>
                </c:pt>
                <c:pt idx="262">
                  <c:v>232.721194034142</c:v>
                </c:pt>
                <c:pt idx="263">
                  <c:v>235.248103741798</c:v>
                </c:pt>
                <c:pt idx="264">
                  <c:v>237.765731285838</c:v>
                </c:pt>
                <c:pt idx="265">
                  <c:v>240.274265889821</c:v>
                </c:pt>
                <c:pt idx="266">
                  <c:v>242.773893345357</c:v>
                </c:pt>
                <c:pt idx="267">
                  <c:v>245.264796105717</c:v>
                </c:pt>
                <c:pt idx="268">
                  <c:v>247.747153375761</c:v>
                </c:pt>
                <c:pt idx="269">
                  <c:v>250.221141198316</c:v>
                </c:pt>
                <c:pt idx="270">
                  <c:v>252.686932537095</c:v>
                </c:pt>
                <c:pt idx="271">
                  <c:v>255.144697356256</c:v>
                </c:pt>
                <c:pt idx="272">
                  <c:v>257.59460269669</c:v>
                </c:pt>
                <c:pt idx="273">
                  <c:v>260.036812749105</c:v>
                </c:pt>
                <c:pt idx="274">
                  <c:v>262.471488923991</c:v>
                </c:pt>
                <c:pt idx="275">
                  <c:v>264.898789918512</c:v>
                </c:pt>
                <c:pt idx="276">
                  <c:v>267.318871780393</c:v>
                </c:pt>
                <c:pt idx="277">
                  <c:v>269.73188796883</c:v>
                </c:pt>
                <c:pt idx="278">
                  <c:v>272.137989412477</c:v>
                </c:pt>
                <c:pt idx="279">
                  <c:v>274.537324564526</c:v>
                </c:pt>
                <c:pt idx="280">
                  <c:v>276.930039454904</c:v>
                </c:pt>
                <c:pt idx="281">
                  <c:v>279.316277739591</c:v>
                </c:pt>
                <c:pt idx="282">
                  <c:v>281.696180747073</c:v>
                </c:pt>
                <c:pt idx="283">
                  <c:v>284.069887521906</c:v>
                </c:pt>
                <c:pt idx="284">
                  <c:v>286.437534865384</c:v>
                </c:pt>
                <c:pt idx="285">
                  <c:v>288.799257373266</c:v>
                </c:pt>
                <c:pt idx="286">
                  <c:v>291.155187470548</c:v>
                </c:pt>
                <c:pt idx="287">
                  <c:v>293.505455443191</c:v>
                </c:pt>
                <c:pt idx="288">
                  <c:v>295.850189466778</c:v>
                </c:pt>
                <c:pt idx="289">
                  <c:v>298.189515631994</c:v>
                </c:pt>
                <c:pt idx="290">
                  <c:v>300.523557966851</c:v>
                </c:pt>
                <c:pt idx="291">
                  <c:v>302.852438455554</c:v>
                </c:pt>
                <c:pt idx="292">
                  <c:v>305.176277053874</c:v>
                </c:pt>
                <c:pt idx="293">
                  <c:v>307.495191700906</c:v>
                </c:pt>
                <c:pt idx="294">
                  <c:v>309.809298327055</c:v>
                </c:pt>
                <c:pt idx="295">
                  <c:v>312.118710858063</c:v>
                </c:pt>
                <c:pt idx="296">
                  <c:v>314.423541214914</c:v>
                </c:pt>
                <c:pt idx="297">
                  <c:v>316.723899309389</c:v>
                </c:pt>
                <c:pt idx="298">
                  <c:v>319.019893035044</c:v>
                </c:pt>
                <c:pt idx="299">
                  <c:v>321.311628253378</c:v>
                </c:pt>
                <c:pt idx="300">
                  <c:v>323.599208774914</c:v>
                </c:pt>
                <c:pt idx="301">
                  <c:v>325.882736334918</c:v>
                </c:pt>
                <c:pt idx="302">
                  <c:v>328.162310563446</c:v>
                </c:pt>
                <c:pt idx="303">
                  <c:v>330.438028949422</c:v>
                </c:pt>
                <c:pt idx="304">
                  <c:v>332.709986798411</c:v>
                </c:pt>
                <c:pt idx="305">
                  <c:v>334.978277183771</c:v>
                </c:pt>
                <c:pt idx="306">
                  <c:v>337.242990890849</c:v>
                </c:pt>
                <c:pt idx="307">
                  <c:v>339.504216353916</c:v>
                </c:pt>
                <c:pt idx="308">
                  <c:v>341.762039585548</c:v>
                </c:pt>
                <c:pt idx="309">
                  <c:v>344.016544098192</c:v>
                </c:pt>
                <c:pt idx="310">
                  <c:v>346.267810817741</c:v>
                </c:pt>
                <c:pt idx="311">
                  <c:v>348.515917988965</c:v>
                </c:pt>
                <c:pt idx="312">
                  <c:v>350.760941072819</c:v>
                </c:pt>
                <c:pt idx="313">
                  <c:v>353.002952635706</c:v>
                </c:pt>
                <c:pt idx="314">
                  <c:v>355.242022231006</c:v>
                </c:pt>
                <c:pt idx="315">
                  <c:v>357.478216273334</c:v>
                </c:pt>
                <c:pt idx="316">
                  <c:v>359.711597906264</c:v>
                </c:pt>
                <c:pt idx="317">
                  <c:v>361.942226864506</c:v>
                </c:pt>
                <c:pt idx="318">
                  <c:v>364.170159331862</c:v>
                </c:pt>
                <c:pt idx="319">
                  <c:v>366.395447796596</c:v>
                </c:pt>
                <c:pt idx="320">
                  <c:v>368.618140906229</c:v>
                </c:pt>
                <c:pt idx="321">
                  <c:v>370.838283324107</c:v>
                </c:pt>
                <c:pt idx="322">
                  <c:v>373.055915590429</c:v>
                </c:pt>
                <c:pt idx="323">
                  <c:v>375.271073990683</c:v>
                </c:pt>
                <c:pt idx="324">
                  <c:v>377.483790434656</c:v>
                </c:pt>
                <c:pt idx="325">
                  <c:v>379.69409234925</c:v>
                </c:pt>
                <c:pt idx="326">
                  <c:v>381.902002588329</c:v>
                </c:pt>
                <c:pt idx="327">
                  <c:v>384.107539362574</c:v>
                </c:pt>
                <c:pt idx="328">
                  <c:v>386.310716192007</c:v>
                </c:pt>
                <c:pt idx="329">
                  <c:v>388.511541883305</c:v>
                </c:pt>
                <c:pt idx="330">
                  <c:v>390.710020533387</c:v>
                </c:pt>
                <c:pt idx="331">
                  <c:v>392.906151560009</c:v>
                </c:pt>
                <c:pt idx="332">
                  <c:v>395.099929759289</c:v>
                </c:pt>
                <c:pt idx="333">
                  <c:v>397.291345389315</c:v>
                </c:pt>
                <c:pt idx="334">
                  <c:v>399.480384278233</c:v>
                </c:pt>
                <c:pt idx="335">
                  <c:v>401.667027954569</c:v>
                </c:pt>
                <c:pt idx="336">
                  <c:v>403.851253797061</c:v>
                </c:pt>
                <c:pt idx="337">
                  <c:v>406.033035200916</c:v>
                </c:pt>
                <c:pt idx="338">
                  <c:v>408.212341757245</c:v>
                </c:pt>
                <c:pt idx="339">
                  <c:v>410.389139442397</c:v>
                </c:pt>
                <c:pt idx="340">
                  <c:v>412.563390814028</c:v>
                </c:pt>
                <c:pt idx="341">
                  <c:v>414.735055210945</c:v>
                </c:pt>
                <c:pt idx="342">
                  <c:v>416.904088954099</c:v>
                </c:pt>
                <c:pt idx="343">
                  <c:v>419.070445546385</c:v>
                </c:pt>
                <c:pt idx="344">
                  <c:v>421.234075869317</c:v>
                </c:pt>
                <c:pt idx="345">
                  <c:v>423.394928374988</c:v>
                </c:pt>
                <c:pt idx="346">
                  <c:v>425.552949272077</c:v>
                </c:pt>
                <c:pt idx="347">
                  <c:v>427.708082704961</c:v>
                </c:pt>
                <c:pt idx="348">
                  <c:v>429.860270925293</c:v>
                </c:pt>
                <c:pt idx="349">
                  <c:v>432.009454455645</c:v>
                </c:pt>
                <c:pt idx="350">
                  <c:v>434.155572244981</c:v>
                </c:pt>
                <c:pt idx="351">
                  <c:v>436.298561815947</c:v>
                </c:pt>
                <c:pt idx="352">
                  <c:v>438.438359404042</c:v>
                </c:pt>
                <c:pt idx="353">
                  <c:v>440.57490008886</c:v>
                </c:pt>
                <c:pt idx="354">
                  <c:v>442.708117917661</c:v>
                </c:pt>
                <c:pt idx="355">
                  <c:v>444.837946021596</c:v>
                </c:pt>
                <c:pt idx="356">
                  <c:v>446.964316724901</c:v>
                </c:pt>
                <c:pt idx="357">
                  <c:v>449.087161647462</c:v>
                </c:pt>
                <c:pt idx="358">
                  <c:v>451.206411801097</c:v>
                </c:pt>
                <c:pt idx="359">
                  <c:v>453.321997679945</c:v>
                </c:pt>
                <c:pt idx="360">
                  <c:v>455.433849345324</c:v>
                </c:pt>
                <c:pt idx="361">
                  <c:v>457.541896505419</c:v>
                </c:pt>
                <c:pt idx="362">
                  <c:v>459.646068590137</c:v>
                </c:pt>
                <c:pt idx="363">
                  <c:v>461.746294821456</c:v>
                </c:pt>
                <c:pt idx="364">
                  <c:v>463.84250427958</c:v>
                </c:pt>
                <c:pt idx="365">
                  <c:v>465.934625965183</c:v>
                </c:pt>
                <c:pt idx="366">
                  <c:v>468.022588858008</c:v>
                </c:pt>
                <c:pt idx="367">
                  <c:v>470.106321972084</c:v>
                </c:pt>
                <c:pt idx="368">
                  <c:v>472.185754407781</c:v>
                </c:pt>
                <c:pt idx="369">
                  <c:v>474.260815400926</c:v>
                </c:pt>
                <c:pt idx="370">
                  <c:v>476.331434369182</c:v>
                </c:pt>
                <c:pt idx="371">
                  <c:v>478.397540955857</c:v>
                </c:pt>
                <c:pt idx="372">
                  <c:v>480.459065071339</c:v>
                </c:pt>
                <c:pt idx="373">
                  <c:v>482.515936932286</c:v>
                </c:pt>
                <c:pt idx="374">
                  <c:v>484.568087098735</c:v>
                </c:pt>
                <c:pt idx="375">
                  <c:v>486.615446509248</c:v>
                </c:pt>
                <c:pt idx="376">
                  <c:v>488.657946514226</c:v>
                </c:pt>
                <c:pt idx="377">
                  <c:v>490.695518907488</c:v>
                </c:pt>
                <c:pt idx="378">
                  <c:v>492.728095956241</c:v>
                </c:pt>
                <c:pt idx="379">
                  <c:v>494.755610429507</c:v>
                </c:pt>
                <c:pt idx="380">
                  <c:v>496.777995625116</c:v>
                </c:pt>
                <c:pt idx="381">
                  <c:v>498.795185395331</c:v>
                </c:pt>
                <c:pt idx="382">
                  <c:v>500.807114171183</c:v>
                </c:pt>
                <c:pt idx="383">
                  <c:v>502.813716985586</c:v>
                </c:pt>
                <c:pt idx="384">
                  <c:v>504.814929495283</c:v>
                </c:pt>
                <c:pt idx="385">
                  <c:v>506.810688001701</c:v>
                </c:pt>
                <c:pt idx="386">
                  <c:v>508.800929470741</c:v>
                </c:pt>
                <c:pt idx="387">
                  <c:v>510.785591551573</c:v>
                </c:pt>
                <c:pt idx="388">
                  <c:v>512.764612594478</c:v>
                </c:pt>
                <c:pt idx="389">
                  <c:v>514.737931667759</c:v>
                </c:pt>
                <c:pt idx="390">
                  <c:v>516.705488573798</c:v>
                </c:pt>
                <c:pt idx="391">
                  <c:v>518.66722386425</c:v>
                </c:pt>
                <c:pt idx="392">
                  <c:v>520.623078854445</c:v>
                </c:pt>
                <c:pt idx="393">
                  <c:v>522.57299563701</c:v>
                </c:pt>
                <c:pt idx="394">
                  <c:v>524.51691709474</c:v>
                </c:pt>
                <c:pt idx="395">
                  <c:v>526.454786912755</c:v>
                </c:pt>
                <c:pt idx="396">
                  <c:v>528.38654958996</c:v>
                </c:pt>
                <c:pt idx="397">
                  <c:v>530.312150449835</c:v>
                </c:pt>
                <c:pt idx="398">
                  <c:v>532.231535650578</c:v>
                </c:pt>
                <c:pt idx="399">
                  <c:v>534.144652194619</c:v>
                </c:pt>
                <c:pt idx="400">
                  <c:v>536.051447937529</c:v>
                </c:pt>
                <c:pt idx="401">
                  <c:v>537.951871596339</c:v>
                </c:pt>
                <c:pt idx="402">
                  <c:v>539.845872757293</c:v>
                </c:pt>
                <c:pt idx="403">
                  <c:v>541.733401883038</c:v>
                </c:pt>
                <c:pt idx="404">
                  <c:v>543.614410319286</c:v>
                </c:pt>
                <c:pt idx="405">
                  <c:v>545.48885030095</c:v>
                </c:pt>
                <c:pt idx="406">
                  <c:v>547.356674957766</c:v>
                </c:pt>
                <c:pt idx="407">
                  <c:v>549.217838319436</c:v>
                </c:pt>
                <c:pt idx="408">
                  <c:v>551.072295320272</c:v>
                </c:pt>
                <c:pt idx="409">
                  <c:v>552.920001803385</c:v>
                </c:pt>
                <c:pt idx="410">
                  <c:v>554.760914524414</c:v>
                </c:pt>
                <c:pt idx="411">
                  <c:v>556.594991154811</c:v>
                </c:pt>
                <c:pt idx="412">
                  <c:v>558.422190284693</c:v>
                </c:pt>
                <c:pt idx="413">
                  <c:v>560.242471425276</c:v>
                </c:pt>
                <c:pt idx="414">
                  <c:v>562.055795010891</c:v>
                </c:pt>
                <c:pt idx="415">
                  <c:v>563.862122400612</c:v>
                </c:pt>
                <c:pt idx="416">
                  <c:v>565.661415879476</c:v>
                </c:pt>
                <c:pt idx="417">
                  <c:v>567.453638659345</c:v>
                </c:pt>
                <c:pt idx="418">
                  <c:v>569.238754879374</c:v>
                </c:pt>
                <c:pt idx="419">
                  <c:v>571.016729606135</c:v>
                </c:pt>
                <c:pt idx="420">
                  <c:v>572.787528833383</c:v>
                </c:pt>
                <c:pt idx="421">
                  <c:v>574.551119481473</c:v>
                </c:pt>
                <c:pt idx="422">
                  <c:v>576.307469396449</c:v>
                </c:pt>
                <c:pt idx="423">
                  <c:v>578.056547348809</c:v>
                </c:pt>
                <c:pt idx="424">
                  <c:v>579.798323031942</c:v>
                </c:pt>
                <c:pt idx="425">
                  <c:v>581.532767060268</c:v>
                </c:pt>
                <c:pt idx="426">
                  <c:v>583.259850967066</c:v>
                </c:pt>
                <c:pt idx="427">
                  <c:v>584.979547202017</c:v>
                </c:pt>
                <c:pt idx="428">
                  <c:v>586.691829128458</c:v>
                </c:pt>
                <c:pt idx="429">
                  <c:v>588.396671020355</c:v>
                </c:pt>
                <c:pt idx="430">
                  <c:v>590.094048059015</c:v>
                </c:pt>
                <c:pt idx="431">
                  <c:v>591.783936329525</c:v>
                </c:pt>
                <c:pt idx="432">
                  <c:v>593.466312816948</c:v>
                </c:pt>
                <c:pt idx="433">
                  <c:v>595.141155402257</c:v>
                </c:pt>
                <c:pt idx="434">
                  <c:v>596.808442858042</c:v>
                </c:pt>
                <c:pt idx="435">
                  <c:v>598.468154843978</c:v>
                </c:pt>
                <c:pt idx="436">
                  <c:v>600.120271902064</c:v>
                </c:pt>
                <c:pt idx="437">
                  <c:v>601.764775451648</c:v>
                </c:pt>
                <c:pt idx="438">
                  <c:v>603.40164778424</c:v>
                </c:pt>
                <c:pt idx="439">
                  <c:v>605.030872058114</c:v>
                </c:pt>
                <c:pt idx="440">
                  <c:v>606.652432292717</c:v>
                </c:pt>
                <c:pt idx="441">
                  <c:v>608.266313362881</c:v>
                </c:pt>
                <c:pt idx="442">
                  <c:v>609.872500992857</c:v>
                </c:pt>
                <c:pt idx="443">
                  <c:v>611.470981750162</c:v>
                </c:pt>
                <c:pt idx="444">
                  <c:v>613.06174303926</c:v>
                </c:pt>
                <c:pt idx="445">
                  <c:v>614.64477309507</c:v>
                </c:pt>
                <c:pt idx="446">
                  <c:v>616.22006097632</c:v>
                </c:pt>
                <c:pt idx="447">
                  <c:v>617.787596558748</c:v>
                </c:pt>
                <c:pt idx="448">
                  <c:v>619.347370528147</c:v>
                </c:pt>
                <c:pt idx="449">
                  <c:v>620.899374373278</c:v>
                </c:pt>
                <c:pt idx="450">
                  <c:v>622.443600378644</c:v>
                </c:pt>
                <c:pt idx="451">
                  <c:v>623.98004161713</c:v>
                </c:pt>
                <c:pt idx="452">
                  <c:v>625.508691942527</c:v>
                </c:pt>
                <c:pt idx="453">
                  <c:v>627.029545981928</c:v>
                </c:pt>
                <c:pt idx="454">
                  <c:v>628.542599128025</c:v>
                </c:pt>
                <c:pt idx="455">
                  <c:v>630.04784753128</c:v>
                </c:pt>
                <c:pt idx="456">
                  <c:v>631.545288092013</c:v>
                </c:pt>
                <c:pt idx="457">
                  <c:v>633.034918452384</c:v>
                </c:pt>
                <c:pt idx="458">
                  <c:v>634.516736988282</c:v>
                </c:pt>
                <c:pt idx="459">
                  <c:v>635.990742801137</c:v>
                </c:pt>
                <c:pt idx="460">
                  <c:v>637.456935709642</c:v>
                </c:pt>
                <c:pt idx="461">
                  <c:v>638.915316241408</c:v>
                </c:pt>
                <c:pt idx="462">
                  <c:v>640.365885624537</c:v>
                </c:pt>
                <c:pt idx="463">
                  <c:v>641.808645779145</c:v>
                </c:pt>
                <c:pt idx="464">
                  <c:v>643.243599308809</c:v>
                </c:pt>
                <c:pt idx="465">
                  <c:v>644.670749491966</c:v>
                </c:pt>
                <c:pt idx="466">
                  <c:v>646.090100273259</c:v>
                </c:pt>
                <c:pt idx="467">
                  <c:v>647.501656254833</c:v>
                </c:pt>
                <c:pt idx="468">
                  <c:v>648.905422687594</c:v>
                </c:pt>
                <c:pt idx="469">
                  <c:v>650.301405462422</c:v>
                </c:pt>
                <c:pt idx="470">
                  <c:v>651.68961110136</c:v>
                </c:pt>
                <c:pt idx="471">
                  <c:v>653.07004674876</c:v>
                </c:pt>
                <c:pt idx="472">
                  <c:v>654.442720162418</c:v>
                </c:pt>
                <c:pt idx="473">
                  <c:v>655.807639704674</c:v>
                </c:pt>
                <c:pt idx="474">
                  <c:v>657.164814333505</c:v>
                </c:pt>
                <c:pt idx="475">
                  <c:v>658.514253593593</c:v>
                </c:pt>
                <c:pt idx="476">
                  <c:v>659.855967607396</c:v>
                </c:pt>
                <c:pt idx="477">
                  <c:v>661.1899670662</c:v>
                </c:pt>
                <c:pt idx="478">
                  <c:v>662.516263221174</c:v>
                </c:pt>
                <c:pt idx="479">
                  <c:v>663.834867874429</c:v>
                </c:pt>
                <c:pt idx="480">
                  <c:v>665.145793370071</c:v>
                </c:pt>
                <c:pt idx="481">
                  <c:v>666.449052585269</c:v>
                </c:pt>
                <c:pt idx="482">
                  <c:v>667.744658921334</c:v>
                </c:pt>
                <c:pt idx="483">
                  <c:v>669.032626294805</c:v>
                </c:pt>
                <c:pt idx="484">
                  <c:v>670.312969128558</c:v>
                </c:pt>
                <c:pt idx="485">
                  <c:v>671.585702342932</c:v>
                </c:pt>
                <c:pt idx="486">
                  <c:v>672.850841346877</c:v>
                </c:pt>
                <c:pt idx="487">
                  <c:v>674.108402029129</c:v>
                </c:pt>
                <c:pt idx="488">
                  <c:v>675.358400749412</c:v>
                </c:pt>
                <c:pt idx="489">
                  <c:v>676.600854329671</c:v>
                </c:pt>
                <c:pt idx="490">
                  <c:v>677.835780045339</c:v>
                </c:pt>
                <c:pt idx="491">
                  <c:v>679.063195616639</c:v>
                </c:pt>
                <c:pt idx="492">
                  <c:v>680.283119199921</c:v>
                </c:pt>
                <c:pt idx="493">
                  <c:v>681.49556937905</c:v>
                </c:pt>
                <c:pt idx="494">
                  <c:v>682.700565156822</c:v>
                </c:pt>
                <c:pt idx="495">
                  <c:v>683.898125946437</c:v>
                </c:pt>
                <c:pt idx="496">
                  <c:v>685.088271563015</c:v>
                </c:pt>
                <c:pt idx="497">
                  <c:v>686.271022215159</c:v>
                </c:pt>
                <c:pt idx="498">
                  <c:v>687.446398496569</c:v>
                </c:pt>
                <c:pt idx="499">
                  <c:v>688.614421377716</c:v>
                </c:pt>
                <c:pt idx="500">
                  <c:v>689.775112197561</c:v>
                </c:pt>
                <c:pt idx="501">
                  <c:v>690.928492655337</c:v>
                </c:pt>
                <c:pt idx="502">
                  <c:v>690.928492655337</c:v>
                </c:pt>
                <c:pt idx="503">
                  <c:v>690.928492655337</c:v>
                </c:pt>
                <c:pt idx="504">
                  <c:v>690.928492655337</c:v>
                </c:pt>
                <c:pt idx="505">
                  <c:v>690.928492655337</c:v>
                </c:pt>
                <c:pt idx="506">
                  <c:v>690.928492655337</c:v>
                </c:pt>
                <c:pt idx="507">
                  <c:v>690.928492655337</c:v>
                </c:pt>
                <c:pt idx="508">
                  <c:v>690.928492655337</c:v>
                </c:pt>
                <c:pt idx="509">
                  <c:v>690.928492655337</c:v>
                </c:pt>
                <c:pt idx="510">
                  <c:v>690.928492655337</c:v>
                </c:pt>
                <c:pt idx="511">
                  <c:v>690.928492655337</c:v>
                </c:pt>
                <c:pt idx="512">
                  <c:v>690.928492655337</c:v>
                </c:pt>
                <c:pt idx="513">
                  <c:v>690.928492655337</c:v>
                </c:pt>
                <c:pt idx="514">
                  <c:v>690.928492655337</c:v>
                </c:pt>
                <c:pt idx="515">
                  <c:v>690.928492655337</c:v>
                </c:pt>
                <c:pt idx="516">
                  <c:v>690.928492655337</c:v>
                </c:pt>
                <c:pt idx="517">
                  <c:v>690.928492655337</c:v>
                </c:pt>
                <c:pt idx="518">
                  <c:v>690.928492655337</c:v>
                </c:pt>
                <c:pt idx="519">
                  <c:v>690.928492655337</c:v>
                </c:pt>
                <c:pt idx="520">
                  <c:v>690.928492655337</c:v>
                </c:pt>
                <c:pt idx="521">
                  <c:v>690.928492655337</c:v>
                </c:pt>
                <c:pt idx="522">
                  <c:v>690.928492655337</c:v>
                </c:pt>
                <c:pt idx="523">
                  <c:v>690.928492655337</c:v>
                </c:pt>
                <c:pt idx="524">
                  <c:v>690.928492655337</c:v>
                </c:pt>
                <c:pt idx="525">
                  <c:v>690.928492655337</c:v>
                </c:pt>
                <c:pt idx="526">
                  <c:v>690.928492655337</c:v>
                </c:pt>
                <c:pt idx="527">
                  <c:v>690.928492655337</c:v>
                </c:pt>
                <c:pt idx="528">
                  <c:v>690.928492655337</c:v>
                </c:pt>
                <c:pt idx="529">
                  <c:v>690.928492655337</c:v>
                </c:pt>
                <c:pt idx="530">
                  <c:v>690.928492655337</c:v>
                </c:pt>
                <c:pt idx="531">
                  <c:v>690.928492655337</c:v>
                </c:pt>
                <c:pt idx="532">
                  <c:v>690.928492655337</c:v>
                </c:pt>
                <c:pt idx="533">
                  <c:v>690.928492655337</c:v>
                </c:pt>
                <c:pt idx="534">
                  <c:v>690.928492655337</c:v>
                </c:pt>
                <c:pt idx="535">
                  <c:v>690.928492655337</c:v>
                </c:pt>
                <c:pt idx="536">
                  <c:v>690.928492655337</c:v>
                </c:pt>
                <c:pt idx="537">
                  <c:v>690.928492655337</c:v>
                </c:pt>
                <c:pt idx="538">
                  <c:v>690.928492655337</c:v>
                </c:pt>
                <c:pt idx="539">
                  <c:v>690.928492655337</c:v>
                </c:pt>
                <c:pt idx="540">
                  <c:v>690.928492655337</c:v>
                </c:pt>
                <c:pt idx="541">
                  <c:v>690.928492655337</c:v>
                </c:pt>
                <c:pt idx="542">
                  <c:v>690.928492655337</c:v>
                </c:pt>
                <c:pt idx="543">
                  <c:v>690.928492655337</c:v>
                </c:pt>
                <c:pt idx="544">
                  <c:v>690.928492655337</c:v>
                </c:pt>
                <c:pt idx="545">
                  <c:v>690.928492655337</c:v>
                </c:pt>
                <c:pt idx="546">
                  <c:v>690.928492655337</c:v>
                </c:pt>
                <c:pt idx="547">
                  <c:v>690.928492655337</c:v>
                </c:pt>
                <c:pt idx="548">
                  <c:v>690.928492655337</c:v>
                </c:pt>
                <c:pt idx="549">
                  <c:v>690.928492655337</c:v>
                </c:pt>
                <c:pt idx="550">
                  <c:v>690.928492655337</c:v>
                </c:pt>
                <c:pt idx="551">
                  <c:v>690.928492655337</c:v>
                </c:pt>
                <c:pt idx="552">
                  <c:v>690.928492655337</c:v>
                </c:pt>
                <c:pt idx="553">
                  <c:v>690.928492655337</c:v>
                </c:pt>
                <c:pt idx="554">
                  <c:v>690.928492655337</c:v>
                </c:pt>
                <c:pt idx="555">
                  <c:v>690.928492655337</c:v>
                </c:pt>
                <c:pt idx="556">
                  <c:v>690.928492655337</c:v>
                </c:pt>
                <c:pt idx="557">
                  <c:v>690.928492655337</c:v>
                </c:pt>
                <c:pt idx="558">
                  <c:v>690.928492655337</c:v>
                </c:pt>
                <c:pt idx="559">
                  <c:v>690.928492655337</c:v>
                </c:pt>
                <c:pt idx="560">
                  <c:v>690.928492655337</c:v>
                </c:pt>
                <c:pt idx="561">
                  <c:v>690.928492655337</c:v>
                </c:pt>
                <c:pt idx="562">
                  <c:v>690.928492655337</c:v>
                </c:pt>
                <c:pt idx="563">
                  <c:v>690.928492655337</c:v>
                </c:pt>
                <c:pt idx="564">
                  <c:v>690.928492655337</c:v>
                </c:pt>
                <c:pt idx="565">
                  <c:v>690.928492655337</c:v>
                </c:pt>
                <c:pt idx="566">
                  <c:v>690.928492655337</c:v>
                </c:pt>
                <c:pt idx="567">
                  <c:v>690.928492655337</c:v>
                </c:pt>
                <c:pt idx="568">
                  <c:v>690.928492655337</c:v>
                </c:pt>
                <c:pt idx="569">
                  <c:v>690.928492655337</c:v>
                </c:pt>
                <c:pt idx="570">
                  <c:v>690.928492655337</c:v>
                </c:pt>
                <c:pt idx="571">
                  <c:v>690.928492655337</c:v>
                </c:pt>
                <c:pt idx="572">
                  <c:v>690.928492655337</c:v>
                </c:pt>
                <c:pt idx="573">
                  <c:v>690.928492655337</c:v>
                </c:pt>
                <c:pt idx="574">
                  <c:v>690.928492655337</c:v>
                </c:pt>
                <c:pt idx="575">
                  <c:v>690.928492655337</c:v>
                </c:pt>
                <c:pt idx="576">
                  <c:v>690.928492655337</c:v>
                </c:pt>
                <c:pt idx="577">
                  <c:v>690.928492655337</c:v>
                </c:pt>
                <c:pt idx="578">
                  <c:v>690.928492655337</c:v>
                </c:pt>
                <c:pt idx="579">
                  <c:v>690.928492655337</c:v>
                </c:pt>
                <c:pt idx="580">
                  <c:v>690.928492655337</c:v>
                </c:pt>
                <c:pt idx="581">
                  <c:v>690.928492655337</c:v>
                </c:pt>
                <c:pt idx="582">
                  <c:v>690.928492655337</c:v>
                </c:pt>
                <c:pt idx="583">
                  <c:v>690.928492655337</c:v>
                </c:pt>
                <c:pt idx="584">
                  <c:v>690.928492655337</c:v>
                </c:pt>
                <c:pt idx="585">
                  <c:v>690.928492655337</c:v>
                </c:pt>
                <c:pt idx="586">
                  <c:v>690.928492655337</c:v>
                </c:pt>
                <c:pt idx="587">
                  <c:v>690.928492655337</c:v>
                </c:pt>
                <c:pt idx="588">
                  <c:v>690.928492655337</c:v>
                </c:pt>
                <c:pt idx="589">
                  <c:v>690.928492655337</c:v>
                </c:pt>
                <c:pt idx="590">
                  <c:v>690.928492655337</c:v>
                </c:pt>
                <c:pt idx="591">
                  <c:v>690.928492655337</c:v>
                </c:pt>
                <c:pt idx="592">
                  <c:v>690.928492655337</c:v>
                </c:pt>
                <c:pt idx="593">
                  <c:v>690.928492655337</c:v>
                </c:pt>
                <c:pt idx="594">
                  <c:v>690.928492655337</c:v>
                </c:pt>
                <c:pt idx="595">
                  <c:v>690.928492655337</c:v>
                </c:pt>
                <c:pt idx="596">
                  <c:v>690.928492655337</c:v>
                </c:pt>
                <c:pt idx="597">
                  <c:v>690.928492655337</c:v>
                </c:pt>
                <c:pt idx="598">
                  <c:v>690.928492655337</c:v>
                </c:pt>
                <c:pt idx="599">
                  <c:v>690.928492655337</c:v>
                </c:pt>
                <c:pt idx="600">
                  <c:v>690.928492655337</c:v>
                </c:pt>
                <c:pt idx="601">
                  <c:v>690.928492655337</c:v>
                </c:pt>
                <c:pt idx="602">
                  <c:v>690.928492655337</c:v>
                </c:pt>
                <c:pt idx="603">
                  <c:v>690.928492655337</c:v>
                </c:pt>
                <c:pt idx="604">
                  <c:v>690.928492655337</c:v>
                </c:pt>
                <c:pt idx="605">
                  <c:v>690.928492655337</c:v>
                </c:pt>
                <c:pt idx="606">
                  <c:v>690.928492655337</c:v>
                </c:pt>
                <c:pt idx="607">
                  <c:v>690.928492655337</c:v>
                </c:pt>
                <c:pt idx="608">
                  <c:v>690.928492655337</c:v>
                </c:pt>
                <c:pt idx="609">
                  <c:v>690.928492655337</c:v>
                </c:pt>
                <c:pt idx="610">
                  <c:v>690.928492655337</c:v>
                </c:pt>
                <c:pt idx="611">
                  <c:v>690.928492655337</c:v>
                </c:pt>
                <c:pt idx="612">
                  <c:v>690.928492655337</c:v>
                </c:pt>
                <c:pt idx="613">
                  <c:v>690.928492655337</c:v>
                </c:pt>
                <c:pt idx="614">
                  <c:v>690.928492655337</c:v>
                </c:pt>
                <c:pt idx="615">
                  <c:v>690.928492655337</c:v>
                </c:pt>
                <c:pt idx="616">
                  <c:v>690.928492655337</c:v>
                </c:pt>
                <c:pt idx="617">
                  <c:v>690.928492655337</c:v>
                </c:pt>
                <c:pt idx="618">
                  <c:v>690.928492655337</c:v>
                </c:pt>
                <c:pt idx="619">
                  <c:v>690.928492655337</c:v>
                </c:pt>
                <c:pt idx="620">
                  <c:v>690.928492655337</c:v>
                </c:pt>
                <c:pt idx="621">
                  <c:v>690.928492655337</c:v>
                </c:pt>
                <c:pt idx="622">
                  <c:v>690.928492655337</c:v>
                </c:pt>
                <c:pt idx="623">
                  <c:v>690.928492655337</c:v>
                </c:pt>
                <c:pt idx="624">
                  <c:v>690.928492655337</c:v>
                </c:pt>
                <c:pt idx="625">
                  <c:v>690.928492655337</c:v>
                </c:pt>
                <c:pt idx="626">
                  <c:v>690.928492655337</c:v>
                </c:pt>
                <c:pt idx="627">
                  <c:v>690.928492655337</c:v>
                </c:pt>
                <c:pt idx="628">
                  <c:v>690.928492655337</c:v>
                </c:pt>
                <c:pt idx="629">
                  <c:v>690.928492655337</c:v>
                </c:pt>
                <c:pt idx="630">
                  <c:v>690.928492655337</c:v>
                </c:pt>
                <c:pt idx="631">
                  <c:v>690.928492655337</c:v>
                </c:pt>
                <c:pt idx="632">
                  <c:v>690.928492655337</c:v>
                </c:pt>
                <c:pt idx="633">
                  <c:v>690.928492655337</c:v>
                </c:pt>
                <c:pt idx="634">
                  <c:v>690.928492655337</c:v>
                </c:pt>
                <c:pt idx="635">
                  <c:v>690.928492655337</c:v>
                </c:pt>
                <c:pt idx="636">
                  <c:v>690.928492655337</c:v>
                </c:pt>
                <c:pt idx="637">
                  <c:v>690.928492655337</c:v>
                </c:pt>
                <c:pt idx="638">
                  <c:v>690.928492655337</c:v>
                </c:pt>
                <c:pt idx="639">
                  <c:v>690.928492655337</c:v>
                </c:pt>
                <c:pt idx="640">
                  <c:v>690.928492655337</c:v>
                </c:pt>
                <c:pt idx="641">
                  <c:v>690.928492655337</c:v>
                </c:pt>
                <c:pt idx="642">
                  <c:v>690.928492655337</c:v>
                </c:pt>
                <c:pt idx="643">
                  <c:v>690.928492655337</c:v>
                </c:pt>
                <c:pt idx="644">
                  <c:v>690.928492655337</c:v>
                </c:pt>
                <c:pt idx="645">
                  <c:v>690.928492655337</c:v>
                </c:pt>
                <c:pt idx="646">
                  <c:v>690.928492655337</c:v>
                </c:pt>
                <c:pt idx="647">
                  <c:v>690.928492655337</c:v>
                </c:pt>
                <c:pt idx="648">
                  <c:v>690.928492655337</c:v>
                </c:pt>
                <c:pt idx="649">
                  <c:v>690.928492655337</c:v>
                </c:pt>
                <c:pt idx="650">
                  <c:v>690.928492655337</c:v>
                </c:pt>
                <c:pt idx="651">
                  <c:v>690.928492655337</c:v>
                </c:pt>
                <c:pt idx="652">
                  <c:v>690.928492655337</c:v>
                </c:pt>
                <c:pt idx="653">
                  <c:v>690.928492655337</c:v>
                </c:pt>
                <c:pt idx="654">
                  <c:v>690.928492655337</c:v>
                </c:pt>
                <c:pt idx="655">
                  <c:v>690.928492655337</c:v>
                </c:pt>
                <c:pt idx="656">
                  <c:v>690.928492655337</c:v>
                </c:pt>
                <c:pt idx="657">
                  <c:v>690.928492655337</c:v>
                </c:pt>
                <c:pt idx="658">
                  <c:v>690.928492655337</c:v>
                </c:pt>
                <c:pt idx="659">
                  <c:v>690.928492655337</c:v>
                </c:pt>
                <c:pt idx="660">
                  <c:v>690.928492655337</c:v>
                </c:pt>
                <c:pt idx="661">
                  <c:v>690.928492655337</c:v>
                </c:pt>
                <c:pt idx="662">
                  <c:v>690.928492655337</c:v>
                </c:pt>
                <c:pt idx="663">
                  <c:v>690.928492655337</c:v>
                </c:pt>
                <c:pt idx="664">
                  <c:v>690.928492655337</c:v>
                </c:pt>
                <c:pt idx="665">
                  <c:v>690.928492655337</c:v>
                </c:pt>
                <c:pt idx="666">
                  <c:v>690.928492655337</c:v>
                </c:pt>
                <c:pt idx="667">
                  <c:v>690.928492655337</c:v>
                </c:pt>
                <c:pt idx="668">
                  <c:v>690.928492655337</c:v>
                </c:pt>
                <c:pt idx="669">
                  <c:v>690.928492655337</c:v>
                </c:pt>
                <c:pt idx="670">
                  <c:v>690.928492655337</c:v>
                </c:pt>
                <c:pt idx="671">
                  <c:v>690.928492655337</c:v>
                </c:pt>
                <c:pt idx="672">
                  <c:v>690.928492655337</c:v>
                </c:pt>
                <c:pt idx="673">
                  <c:v>690.928492655337</c:v>
                </c:pt>
                <c:pt idx="674">
                  <c:v>690.928492655337</c:v>
                </c:pt>
                <c:pt idx="675">
                  <c:v>690.928492655337</c:v>
                </c:pt>
                <c:pt idx="676">
                  <c:v>690.928492655337</c:v>
                </c:pt>
                <c:pt idx="677">
                  <c:v>690.928492655337</c:v>
                </c:pt>
                <c:pt idx="678">
                  <c:v>690.928492655337</c:v>
                </c:pt>
                <c:pt idx="679">
                  <c:v>690.928492655337</c:v>
                </c:pt>
                <c:pt idx="680">
                  <c:v>690.928492655337</c:v>
                </c:pt>
                <c:pt idx="681">
                  <c:v>690.928492655337</c:v>
                </c:pt>
                <c:pt idx="682">
                  <c:v>690.928492655337</c:v>
                </c:pt>
                <c:pt idx="683">
                  <c:v>690.928492655337</c:v>
                </c:pt>
                <c:pt idx="684">
                  <c:v>690.928492655337</c:v>
                </c:pt>
                <c:pt idx="685">
                  <c:v>690.928492655337</c:v>
                </c:pt>
                <c:pt idx="686">
                  <c:v>690.928492655337</c:v>
                </c:pt>
                <c:pt idx="687">
                  <c:v>690.928492655337</c:v>
                </c:pt>
                <c:pt idx="688">
                  <c:v>690.928492655337</c:v>
                </c:pt>
                <c:pt idx="689">
                  <c:v>690.928492655337</c:v>
                </c:pt>
                <c:pt idx="690">
                  <c:v>690.928492655337</c:v>
                </c:pt>
                <c:pt idx="691">
                  <c:v>690.928492655337</c:v>
                </c:pt>
                <c:pt idx="692">
                  <c:v>690.928492655337</c:v>
                </c:pt>
                <c:pt idx="693">
                  <c:v>690.928492655337</c:v>
                </c:pt>
                <c:pt idx="694">
                  <c:v>690.928492655337</c:v>
                </c:pt>
                <c:pt idx="695">
                  <c:v>690.928492655337</c:v>
                </c:pt>
                <c:pt idx="696">
                  <c:v>690.928492655337</c:v>
                </c:pt>
                <c:pt idx="697">
                  <c:v>690.928492655337</c:v>
                </c:pt>
                <c:pt idx="698">
                  <c:v>690.928492655337</c:v>
                </c:pt>
                <c:pt idx="699">
                  <c:v>690.928492655337</c:v>
                </c:pt>
                <c:pt idx="700">
                  <c:v>690.928492655337</c:v>
                </c:pt>
                <c:pt idx="701">
                  <c:v>690.928492655337</c:v>
                </c:pt>
                <c:pt idx="702">
                  <c:v>690.928492655337</c:v>
                </c:pt>
                <c:pt idx="703">
                  <c:v>690.928492655337</c:v>
                </c:pt>
                <c:pt idx="704">
                  <c:v>690.928492655337</c:v>
                </c:pt>
                <c:pt idx="705">
                  <c:v>690.928492655337</c:v>
                </c:pt>
                <c:pt idx="706">
                  <c:v>690.928492655337</c:v>
                </c:pt>
                <c:pt idx="707">
                  <c:v>690.928492655337</c:v>
                </c:pt>
                <c:pt idx="708">
                  <c:v>690.928492655337</c:v>
                </c:pt>
                <c:pt idx="709">
                  <c:v>690.928492655337</c:v>
                </c:pt>
                <c:pt idx="710">
                  <c:v>690.928492655337</c:v>
                </c:pt>
                <c:pt idx="711">
                  <c:v>690.928492655337</c:v>
                </c:pt>
                <c:pt idx="712">
                  <c:v>690.928492655337</c:v>
                </c:pt>
                <c:pt idx="713">
                  <c:v>690.928492655337</c:v>
                </c:pt>
                <c:pt idx="714">
                  <c:v>690.928492655337</c:v>
                </c:pt>
                <c:pt idx="715">
                  <c:v>690.928492655337</c:v>
                </c:pt>
                <c:pt idx="716">
                  <c:v>690.928492655337</c:v>
                </c:pt>
                <c:pt idx="717">
                  <c:v>690.928492655337</c:v>
                </c:pt>
                <c:pt idx="718">
                  <c:v>690.928492655337</c:v>
                </c:pt>
                <c:pt idx="719">
                  <c:v>690.928492655337</c:v>
                </c:pt>
                <c:pt idx="720">
                  <c:v>690.928492655337</c:v>
                </c:pt>
                <c:pt idx="721">
                  <c:v>690.928492655337</c:v>
                </c:pt>
                <c:pt idx="722">
                  <c:v>690.928492655337</c:v>
                </c:pt>
                <c:pt idx="723">
                  <c:v>690.928492655337</c:v>
                </c:pt>
                <c:pt idx="724">
                  <c:v>690.928492655337</c:v>
                </c:pt>
                <c:pt idx="725">
                  <c:v>690.928492655337</c:v>
                </c:pt>
                <c:pt idx="726">
                  <c:v>690.928492655337</c:v>
                </c:pt>
                <c:pt idx="727">
                  <c:v>690.928492655337</c:v>
                </c:pt>
                <c:pt idx="728">
                  <c:v>690.928492655337</c:v>
                </c:pt>
                <c:pt idx="729">
                  <c:v>690.928492655337</c:v>
                </c:pt>
                <c:pt idx="730">
                  <c:v>690.928492655337</c:v>
                </c:pt>
                <c:pt idx="731">
                  <c:v>690.928492655337</c:v>
                </c:pt>
                <c:pt idx="732">
                  <c:v>690.928492655337</c:v>
                </c:pt>
                <c:pt idx="733">
                  <c:v>690.928492655337</c:v>
                </c:pt>
                <c:pt idx="734">
                  <c:v>690.928492655337</c:v>
                </c:pt>
                <c:pt idx="735">
                  <c:v>690.928492655337</c:v>
                </c:pt>
                <c:pt idx="736">
                  <c:v>690.928492655337</c:v>
                </c:pt>
                <c:pt idx="737">
                  <c:v>690.928492655337</c:v>
                </c:pt>
                <c:pt idx="738">
                  <c:v>690.928492655337</c:v>
                </c:pt>
                <c:pt idx="739">
                  <c:v>690.928492655337</c:v>
                </c:pt>
                <c:pt idx="740">
                  <c:v>690.928492655337</c:v>
                </c:pt>
                <c:pt idx="741">
                  <c:v>690.928492655337</c:v>
                </c:pt>
                <c:pt idx="742">
                  <c:v>690.928492655337</c:v>
                </c:pt>
                <c:pt idx="743">
                  <c:v>690.928492655337</c:v>
                </c:pt>
                <c:pt idx="744">
                  <c:v>690.928492655337</c:v>
                </c:pt>
                <c:pt idx="745">
                  <c:v>690.928492655337</c:v>
                </c:pt>
                <c:pt idx="746">
                  <c:v>690.928492655337</c:v>
                </c:pt>
                <c:pt idx="747">
                  <c:v>690.928492655337</c:v>
                </c:pt>
                <c:pt idx="748">
                  <c:v>690.928492655337</c:v>
                </c:pt>
                <c:pt idx="749">
                  <c:v>690.928492655337</c:v>
                </c:pt>
                <c:pt idx="750">
                  <c:v>690.928492655337</c:v>
                </c:pt>
                <c:pt idx="751">
                  <c:v>690.928492655337</c:v>
                </c:pt>
                <c:pt idx="752">
                  <c:v>690.928492655337</c:v>
                </c:pt>
                <c:pt idx="753">
                  <c:v>690.928492655337</c:v>
                </c:pt>
                <c:pt idx="754">
                  <c:v>690.928492655337</c:v>
                </c:pt>
                <c:pt idx="755">
                  <c:v>690.928492655337</c:v>
                </c:pt>
                <c:pt idx="756">
                  <c:v>690.928492655337</c:v>
                </c:pt>
                <c:pt idx="757">
                  <c:v>690.928492655337</c:v>
                </c:pt>
                <c:pt idx="758">
                  <c:v>690.928492655337</c:v>
                </c:pt>
                <c:pt idx="759">
                  <c:v>690.928492655337</c:v>
                </c:pt>
                <c:pt idx="760">
                  <c:v>690.928492655337</c:v>
                </c:pt>
                <c:pt idx="761">
                  <c:v>690.928492655337</c:v>
                </c:pt>
                <c:pt idx="762">
                  <c:v>690.928492655337</c:v>
                </c:pt>
                <c:pt idx="763">
                  <c:v>690.928492655337</c:v>
                </c:pt>
                <c:pt idx="764">
                  <c:v>690.928492655337</c:v>
                </c:pt>
                <c:pt idx="765">
                  <c:v>690.928492655337</c:v>
                </c:pt>
                <c:pt idx="766">
                  <c:v>690.928492655337</c:v>
                </c:pt>
                <c:pt idx="767">
                  <c:v>690.928492655337</c:v>
                </c:pt>
                <c:pt idx="768">
                  <c:v>690.928492655337</c:v>
                </c:pt>
                <c:pt idx="769">
                  <c:v>690.928492655337</c:v>
                </c:pt>
                <c:pt idx="770">
                  <c:v>690.928492655337</c:v>
                </c:pt>
                <c:pt idx="771">
                  <c:v>690.928492655337</c:v>
                </c:pt>
                <c:pt idx="772">
                  <c:v>690.928492655337</c:v>
                </c:pt>
                <c:pt idx="773">
                  <c:v>690.928492655337</c:v>
                </c:pt>
                <c:pt idx="774">
                  <c:v>690.928492655337</c:v>
                </c:pt>
                <c:pt idx="775">
                  <c:v>690.928492655337</c:v>
                </c:pt>
                <c:pt idx="776">
                  <c:v>690.928492655337</c:v>
                </c:pt>
                <c:pt idx="777">
                  <c:v>690.928492655337</c:v>
                </c:pt>
                <c:pt idx="778">
                  <c:v>690.928492655337</c:v>
                </c:pt>
                <c:pt idx="779">
                  <c:v>690.928492655337</c:v>
                </c:pt>
                <c:pt idx="780">
                  <c:v>690.928492655337</c:v>
                </c:pt>
                <c:pt idx="781">
                  <c:v>690.928492655337</c:v>
                </c:pt>
                <c:pt idx="782">
                  <c:v>690.928492655337</c:v>
                </c:pt>
                <c:pt idx="783">
                  <c:v>690.928492655337</c:v>
                </c:pt>
                <c:pt idx="784">
                  <c:v>690.928492655337</c:v>
                </c:pt>
                <c:pt idx="785">
                  <c:v>690.928492655337</c:v>
                </c:pt>
                <c:pt idx="786">
                  <c:v>690.928492655337</c:v>
                </c:pt>
                <c:pt idx="787">
                  <c:v>690.928492655337</c:v>
                </c:pt>
                <c:pt idx="788">
                  <c:v>690.928492655337</c:v>
                </c:pt>
                <c:pt idx="789">
                  <c:v>690.928492655337</c:v>
                </c:pt>
                <c:pt idx="790">
                  <c:v>690.928492655337</c:v>
                </c:pt>
                <c:pt idx="791">
                  <c:v>690.928492655337</c:v>
                </c:pt>
                <c:pt idx="792">
                  <c:v>690.928492655337</c:v>
                </c:pt>
                <c:pt idx="793">
                  <c:v>690.928492655337</c:v>
                </c:pt>
                <c:pt idx="794">
                  <c:v>690.928492655337</c:v>
                </c:pt>
                <c:pt idx="795">
                  <c:v>690.928492655337</c:v>
                </c:pt>
                <c:pt idx="796">
                  <c:v>690.928492655337</c:v>
                </c:pt>
                <c:pt idx="797">
                  <c:v>690.928492655337</c:v>
                </c:pt>
                <c:pt idx="798">
                  <c:v>690.928492655337</c:v>
                </c:pt>
                <c:pt idx="799">
                  <c:v>690.928492655337</c:v>
                </c:pt>
                <c:pt idx="800">
                  <c:v>690.928492655337</c:v>
                </c:pt>
                <c:pt idx="801">
                  <c:v>690.928492655337</c:v>
                </c:pt>
                <c:pt idx="802">
                  <c:v>690.928492655337</c:v>
                </c:pt>
                <c:pt idx="803">
                  <c:v>690.928492655337</c:v>
                </c:pt>
                <c:pt idx="804">
                  <c:v>690.928492655337</c:v>
                </c:pt>
                <c:pt idx="805">
                  <c:v>690.928492655337</c:v>
                </c:pt>
                <c:pt idx="806">
                  <c:v>690.928492655337</c:v>
                </c:pt>
                <c:pt idx="807">
                  <c:v>690.928492655337</c:v>
                </c:pt>
                <c:pt idx="808">
                  <c:v>690.928492655337</c:v>
                </c:pt>
                <c:pt idx="809">
                  <c:v>690.928492655337</c:v>
                </c:pt>
                <c:pt idx="810">
                  <c:v>690.928492655337</c:v>
                </c:pt>
                <c:pt idx="811">
                  <c:v>690.928492655337</c:v>
                </c:pt>
                <c:pt idx="812">
                  <c:v>690.928492655337</c:v>
                </c:pt>
                <c:pt idx="813">
                  <c:v>690.928492655337</c:v>
                </c:pt>
                <c:pt idx="814">
                  <c:v>690.928492655337</c:v>
                </c:pt>
                <c:pt idx="815">
                  <c:v>690.928492655337</c:v>
                </c:pt>
                <c:pt idx="816">
                  <c:v>690.928492655337</c:v>
                </c:pt>
                <c:pt idx="817">
                  <c:v>690.928492655337</c:v>
                </c:pt>
                <c:pt idx="818">
                  <c:v>690.928492655337</c:v>
                </c:pt>
                <c:pt idx="819">
                  <c:v>690.928492655337</c:v>
                </c:pt>
                <c:pt idx="820">
                  <c:v>690.928492655337</c:v>
                </c:pt>
                <c:pt idx="821">
                  <c:v>690.928492655337</c:v>
                </c:pt>
                <c:pt idx="822">
                  <c:v>690.928492655337</c:v>
                </c:pt>
                <c:pt idx="823">
                  <c:v>690.928492655337</c:v>
                </c:pt>
                <c:pt idx="824">
                  <c:v>690.928492655337</c:v>
                </c:pt>
                <c:pt idx="825">
                  <c:v>690.928492655337</c:v>
                </c:pt>
                <c:pt idx="826">
                  <c:v>690.928492655337</c:v>
                </c:pt>
                <c:pt idx="827">
                  <c:v>690.928492655337</c:v>
                </c:pt>
                <c:pt idx="828">
                  <c:v>690.928492655337</c:v>
                </c:pt>
                <c:pt idx="829">
                  <c:v>690.928492655337</c:v>
                </c:pt>
                <c:pt idx="830">
                  <c:v>690.928492655337</c:v>
                </c:pt>
                <c:pt idx="831">
                  <c:v>690.928492655337</c:v>
                </c:pt>
                <c:pt idx="832">
                  <c:v>690.928492655337</c:v>
                </c:pt>
                <c:pt idx="833">
                  <c:v>690.928492655337</c:v>
                </c:pt>
                <c:pt idx="834">
                  <c:v>690.928492655337</c:v>
                </c:pt>
                <c:pt idx="835">
                  <c:v>690.928492655337</c:v>
                </c:pt>
                <c:pt idx="836">
                  <c:v>690.928492655337</c:v>
                </c:pt>
                <c:pt idx="837">
                  <c:v>690.928492655337</c:v>
                </c:pt>
                <c:pt idx="838">
                  <c:v>690.928492655337</c:v>
                </c:pt>
                <c:pt idx="839">
                  <c:v>690.928492655337</c:v>
                </c:pt>
                <c:pt idx="840">
                  <c:v>690.928492655337</c:v>
                </c:pt>
                <c:pt idx="841">
                  <c:v>690.928492655337</c:v>
                </c:pt>
                <c:pt idx="842">
                  <c:v>690.928492655337</c:v>
                </c:pt>
                <c:pt idx="843">
                  <c:v>690.928492655337</c:v>
                </c:pt>
                <c:pt idx="844">
                  <c:v>690.928492655337</c:v>
                </c:pt>
                <c:pt idx="845">
                  <c:v>690.928492655337</c:v>
                </c:pt>
                <c:pt idx="846">
                  <c:v>690.928492655337</c:v>
                </c:pt>
                <c:pt idx="847">
                  <c:v>690.928492655337</c:v>
                </c:pt>
                <c:pt idx="848">
                  <c:v>690.928492655337</c:v>
                </c:pt>
                <c:pt idx="849">
                  <c:v>690.928492655337</c:v>
                </c:pt>
                <c:pt idx="850">
                  <c:v>690.928492655337</c:v>
                </c:pt>
                <c:pt idx="851">
                  <c:v>690.928492655337</c:v>
                </c:pt>
                <c:pt idx="852">
                  <c:v>690.928492655337</c:v>
                </c:pt>
                <c:pt idx="853">
                  <c:v>690.928492655337</c:v>
                </c:pt>
                <c:pt idx="854">
                  <c:v>690.928492655337</c:v>
                </c:pt>
                <c:pt idx="855">
                  <c:v>690.928492655337</c:v>
                </c:pt>
                <c:pt idx="856">
                  <c:v>690.928492655337</c:v>
                </c:pt>
                <c:pt idx="857">
                  <c:v>690.928492655337</c:v>
                </c:pt>
                <c:pt idx="858">
                  <c:v>690.928492655337</c:v>
                </c:pt>
                <c:pt idx="859">
                  <c:v>690.928492655337</c:v>
                </c:pt>
                <c:pt idx="860">
                  <c:v>690.928492655337</c:v>
                </c:pt>
                <c:pt idx="861">
                  <c:v>690.928492655337</c:v>
                </c:pt>
                <c:pt idx="862">
                  <c:v>690.928492655337</c:v>
                </c:pt>
                <c:pt idx="863">
                  <c:v>690.928492655337</c:v>
                </c:pt>
                <c:pt idx="864">
                  <c:v>690.928492655337</c:v>
                </c:pt>
                <c:pt idx="865">
                  <c:v>690.928492655337</c:v>
                </c:pt>
                <c:pt idx="866">
                  <c:v>690.928492655337</c:v>
                </c:pt>
                <c:pt idx="867">
                  <c:v>690.928492655337</c:v>
                </c:pt>
                <c:pt idx="868">
                  <c:v>690.928492655337</c:v>
                </c:pt>
                <c:pt idx="869">
                  <c:v>690.928492655337</c:v>
                </c:pt>
                <c:pt idx="870">
                  <c:v>690.928492655337</c:v>
                </c:pt>
                <c:pt idx="871">
                  <c:v>690.928492655337</c:v>
                </c:pt>
                <c:pt idx="872">
                  <c:v>690.928492655337</c:v>
                </c:pt>
                <c:pt idx="873">
                  <c:v>690.928492655337</c:v>
                </c:pt>
                <c:pt idx="874">
                  <c:v>690.928492655337</c:v>
                </c:pt>
                <c:pt idx="875">
                  <c:v>690.928492655337</c:v>
                </c:pt>
                <c:pt idx="876">
                  <c:v>690.928492655337</c:v>
                </c:pt>
                <c:pt idx="877">
                  <c:v>690.928492655337</c:v>
                </c:pt>
                <c:pt idx="878">
                  <c:v>690.928492655337</c:v>
                </c:pt>
                <c:pt idx="879">
                  <c:v>690.928492655337</c:v>
                </c:pt>
                <c:pt idx="880">
                  <c:v>690.928492655337</c:v>
                </c:pt>
                <c:pt idx="881">
                  <c:v>690.928492655337</c:v>
                </c:pt>
                <c:pt idx="882">
                  <c:v>690.928492655337</c:v>
                </c:pt>
                <c:pt idx="883">
                  <c:v>690.928492655337</c:v>
                </c:pt>
                <c:pt idx="884">
                  <c:v>690.928492655337</c:v>
                </c:pt>
                <c:pt idx="885">
                  <c:v>690.928492655337</c:v>
                </c:pt>
                <c:pt idx="886">
                  <c:v>690.928492655337</c:v>
                </c:pt>
                <c:pt idx="887">
                  <c:v>690.928492655337</c:v>
                </c:pt>
                <c:pt idx="888">
                  <c:v>690.928492655337</c:v>
                </c:pt>
                <c:pt idx="889">
                  <c:v>690.928492655337</c:v>
                </c:pt>
                <c:pt idx="890">
                  <c:v>690.928492655337</c:v>
                </c:pt>
                <c:pt idx="891">
                  <c:v>690.928492655337</c:v>
                </c:pt>
                <c:pt idx="892">
                  <c:v>690.928492655337</c:v>
                </c:pt>
                <c:pt idx="893">
                  <c:v>690.928492655337</c:v>
                </c:pt>
                <c:pt idx="894">
                  <c:v>690.928492655337</c:v>
                </c:pt>
                <c:pt idx="895">
                  <c:v>690.928492655337</c:v>
                </c:pt>
                <c:pt idx="896">
                  <c:v>690.928492655337</c:v>
                </c:pt>
                <c:pt idx="897">
                  <c:v>690.928492655337</c:v>
                </c:pt>
                <c:pt idx="898">
                  <c:v>690.928492655337</c:v>
                </c:pt>
                <c:pt idx="899">
                  <c:v>690.928492655337</c:v>
                </c:pt>
                <c:pt idx="900">
                  <c:v>690.928492655337</c:v>
                </c:pt>
                <c:pt idx="901">
                  <c:v>690.928492655337</c:v>
                </c:pt>
                <c:pt idx="902">
                  <c:v>690.928492655337</c:v>
                </c:pt>
                <c:pt idx="903">
                  <c:v>690.928492655337</c:v>
                </c:pt>
                <c:pt idx="904">
                  <c:v>690.928492655337</c:v>
                </c:pt>
                <c:pt idx="905">
                  <c:v>690.928492655337</c:v>
                </c:pt>
                <c:pt idx="906">
                  <c:v>690.928492655337</c:v>
                </c:pt>
                <c:pt idx="907">
                  <c:v>690.928492655337</c:v>
                </c:pt>
                <c:pt idx="908">
                  <c:v>690.928492655337</c:v>
                </c:pt>
                <c:pt idx="909">
                  <c:v>690.928492655337</c:v>
                </c:pt>
                <c:pt idx="910">
                  <c:v>690.928492655337</c:v>
                </c:pt>
                <c:pt idx="911">
                  <c:v>690.928492655337</c:v>
                </c:pt>
                <c:pt idx="912">
                  <c:v>690.928492655337</c:v>
                </c:pt>
                <c:pt idx="913">
                  <c:v>690.928492655337</c:v>
                </c:pt>
                <c:pt idx="914">
                  <c:v>690.928492655337</c:v>
                </c:pt>
                <c:pt idx="915">
                  <c:v>690.928492655337</c:v>
                </c:pt>
                <c:pt idx="916">
                  <c:v>690.928492655337</c:v>
                </c:pt>
                <c:pt idx="917">
                  <c:v>690.928492655337</c:v>
                </c:pt>
                <c:pt idx="918">
                  <c:v>690.928492655337</c:v>
                </c:pt>
                <c:pt idx="919">
                  <c:v>690.928492655337</c:v>
                </c:pt>
                <c:pt idx="920">
                  <c:v>690.928492655337</c:v>
                </c:pt>
                <c:pt idx="921">
                  <c:v>690.928492655337</c:v>
                </c:pt>
                <c:pt idx="922">
                  <c:v>690.928492655337</c:v>
                </c:pt>
                <c:pt idx="923">
                  <c:v>690.928492655337</c:v>
                </c:pt>
                <c:pt idx="924">
                  <c:v>690.928492655337</c:v>
                </c:pt>
                <c:pt idx="925">
                  <c:v>690.928492655337</c:v>
                </c:pt>
                <c:pt idx="926">
                  <c:v>690.928492655337</c:v>
                </c:pt>
                <c:pt idx="927">
                  <c:v>690.928492655337</c:v>
                </c:pt>
                <c:pt idx="928">
                  <c:v>690.928492655337</c:v>
                </c:pt>
                <c:pt idx="929">
                  <c:v>690.928492655337</c:v>
                </c:pt>
                <c:pt idx="930">
                  <c:v>690.928492655337</c:v>
                </c:pt>
                <c:pt idx="931">
                  <c:v>690.928492655337</c:v>
                </c:pt>
                <c:pt idx="932">
                  <c:v>690.928492655337</c:v>
                </c:pt>
                <c:pt idx="933">
                  <c:v>690.928492655337</c:v>
                </c:pt>
                <c:pt idx="934">
                  <c:v>690.928492655337</c:v>
                </c:pt>
                <c:pt idx="935">
                  <c:v>690.928492655337</c:v>
                </c:pt>
                <c:pt idx="936">
                  <c:v>690.928492655337</c:v>
                </c:pt>
                <c:pt idx="937">
                  <c:v>690.928492655337</c:v>
                </c:pt>
                <c:pt idx="938">
                  <c:v>690.928492655337</c:v>
                </c:pt>
                <c:pt idx="939">
                  <c:v>690.928492655337</c:v>
                </c:pt>
                <c:pt idx="940">
                  <c:v>690.928492655337</c:v>
                </c:pt>
                <c:pt idx="941">
                  <c:v>690.928492655337</c:v>
                </c:pt>
                <c:pt idx="942">
                  <c:v>690.928492655337</c:v>
                </c:pt>
                <c:pt idx="943">
                  <c:v>690.928492655337</c:v>
                </c:pt>
                <c:pt idx="944">
                  <c:v>690.928492655337</c:v>
                </c:pt>
                <c:pt idx="945">
                  <c:v>690.928492655337</c:v>
                </c:pt>
                <c:pt idx="946">
                  <c:v>690.928492655337</c:v>
                </c:pt>
                <c:pt idx="947">
                  <c:v>690.928492655337</c:v>
                </c:pt>
                <c:pt idx="948">
                  <c:v>690.928492655337</c:v>
                </c:pt>
                <c:pt idx="949">
                  <c:v>690.928492655337</c:v>
                </c:pt>
                <c:pt idx="950">
                  <c:v>690.928492655337</c:v>
                </c:pt>
                <c:pt idx="951">
                  <c:v>690.928492655337</c:v>
                </c:pt>
                <c:pt idx="952">
                  <c:v>690.928492655337</c:v>
                </c:pt>
                <c:pt idx="953">
                  <c:v>690.928492655337</c:v>
                </c:pt>
                <c:pt idx="954">
                  <c:v>690.928492655337</c:v>
                </c:pt>
                <c:pt idx="955">
                  <c:v>690.928492655337</c:v>
                </c:pt>
                <c:pt idx="956">
                  <c:v>690.928492655337</c:v>
                </c:pt>
                <c:pt idx="957">
                  <c:v>690.928492655337</c:v>
                </c:pt>
                <c:pt idx="958">
                  <c:v>690.928492655337</c:v>
                </c:pt>
                <c:pt idx="959">
                  <c:v>690.928492655337</c:v>
                </c:pt>
                <c:pt idx="960">
                  <c:v>690.928492655337</c:v>
                </c:pt>
                <c:pt idx="961">
                  <c:v>690.928492655337</c:v>
                </c:pt>
                <c:pt idx="962">
                  <c:v>690.928492655337</c:v>
                </c:pt>
                <c:pt idx="963">
                  <c:v>690.928492655337</c:v>
                </c:pt>
                <c:pt idx="964">
                  <c:v>690.928492655337</c:v>
                </c:pt>
                <c:pt idx="965">
                  <c:v>690.928492655337</c:v>
                </c:pt>
                <c:pt idx="966">
                  <c:v>690.928492655337</c:v>
                </c:pt>
                <c:pt idx="967">
                  <c:v>690.928492655337</c:v>
                </c:pt>
                <c:pt idx="968">
                  <c:v>690.928492655337</c:v>
                </c:pt>
                <c:pt idx="969">
                  <c:v>690.928492655337</c:v>
                </c:pt>
                <c:pt idx="970">
                  <c:v>690.928492655337</c:v>
                </c:pt>
                <c:pt idx="971">
                  <c:v>690.928492655337</c:v>
                </c:pt>
                <c:pt idx="972">
                  <c:v>690.928492655337</c:v>
                </c:pt>
                <c:pt idx="973">
                  <c:v>690.928492655337</c:v>
                </c:pt>
                <c:pt idx="974">
                  <c:v>690.928492655337</c:v>
                </c:pt>
                <c:pt idx="975">
                  <c:v>690.928492655337</c:v>
                </c:pt>
                <c:pt idx="976">
                  <c:v>690.928492655337</c:v>
                </c:pt>
                <c:pt idx="977">
                  <c:v>690.928492655337</c:v>
                </c:pt>
                <c:pt idx="978">
                  <c:v>690.928492655337</c:v>
                </c:pt>
                <c:pt idx="979">
                  <c:v>690.928492655337</c:v>
                </c:pt>
                <c:pt idx="980">
                  <c:v>690.928492655337</c:v>
                </c:pt>
                <c:pt idx="981">
                  <c:v>690.928492655337</c:v>
                </c:pt>
                <c:pt idx="982">
                  <c:v>690.928492655337</c:v>
                </c:pt>
                <c:pt idx="983">
                  <c:v>690.928492655337</c:v>
                </c:pt>
                <c:pt idx="984">
                  <c:v>690.928492655337</c:v>
                </c:pt>
                <c:pt idx="985">
                  <c:v>690.928492655337</c:v>
                </c:pt>
                <c:pt idx="986">
                  <c:v>690.928492655337</c:v>
                </c:pt>
                <c:pt idx="987">
                  <c:v>690.928492655337</c:v>
                </c:pt>
                <c:pt idx="988">
                  <c:v>690.928492655337</c:v>
                </c:pt>
                <c:pt idx="989">
                  <c:v>690.928492655337</c:v>
                </c:pt>
                <c:pt idx="990">
                  <c:v>690.928492655337</c:v>
                </c:pt>
                <c:pt idx="991">
                  <c:v>690.928492655337</c:v>
                </c:pt>
                <c:pt idx="992">
                  <c:v>690.928492655337</c:v>
                </c:pt>
                <c:pt idx="993">
                  <c:v>690.928492655337</c:v>
                </c:pt>
                <c:pt idx="994">
                  <c:v>690.928492655337</c:v>
                </c:pt>
                <c:pt idx="995">
                  <c:v>690.928492655337</c:v>
                </c:pt>
                <c:pt idx="996">
                  <c:v>690.928492655337</c:v>
                </c:pt>
                <c:pt idx="997">
                  <c:v>690.928492655337</c:v>
                </c:pt>
                <c:pt idx="998">
                  <c:v>690.928492655337</c:v>
                </c:pt>
                <c:pt idx="999">
                  <c:v>690.928492655337</c:v>
                </c:pt>
                <c:pt idx="1000">
                  <c:v>690.928492655337</c:v>
                </c:pt>
              </c:numCache>
            </c:numRef>
          </c:yVal>
          <c:smooth val="0"/>
        </c:ser>
        <c:ser>
          <c:idx val="1"/>
          <c:order val="1"/>
          <c:tx>
            <c:strRef>
              <c:f>Courbes!$B$143</c:f>
              <c:strCache>
                <c:ptCount val="1"/>
                <c:pt idx="0">
                  <c:v>Altitude</c:v>
                </c:pt>
              </c:strCache>
            </c:strRef>
          </c:tx>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Calculs!$K$4:$K$1004</c:f>
              <c:numCache>
                <c:formatCode>General</c:formatCode>
                <c:ptCount val="1001"/>
                <c:pt idx="0">
                  <c:v>0</c:v>
                </c:pt>
                <c:pt idx="1">
                  <c:v>0.000809369121977596</c:v>
                </c:pt>
                <c:pt idx="2">
                  <c:v>0.00681497705424646</c:v>
                </c:pt>
                <c:pt idx="3">
                  <c:v>0.0237742342654421</c:v>
                </c:pt>
                <c:pt idx="4">
                  <c:v>0.0536390370688621</c:v>
                </c:pt>
                <c:pt idx="5">
                  <c:v>0.0959528173126447</c:v>
                </c:pt>
                <c:pt idx="6">
                  <c:v>0.150397298662818</c:v>
                </c:pt>
                <c:pt idx="7">
                  <c:v>0.216932234156586</c:v>
                </c:pt>
                <c:pt idx="8">
                  <c:v>0.295656592254106</c:v>
                </c:pt>
                <c:pt idx="9">
                  <c:v>0.386669378019447</c:v>
                </c:pt>
                <c:pt idx="10">
                  <c:v>0.490069630937058</c:v>
                </c:pt>
                <c:pt idx="11">
                  <c:v>0.605941961097425</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4.52381044693113</c:v>
                </c:pt>
                <c:pt idx="29">
                  <c:v>4.87051495281694</c:v>
                </c:pt>
                <c:pt idx="30">
                  <c:v>5.23023195522687</c:v>
                </c:pt>
                <c:pt idx="31">
                  <c:v>5.60297611074379</c:v>
                </c:pt>
                <c:pt idx="32">
                  <c:v>5.98876196007513</c:v>
                </c:pt>
                <c:pt idx="33">
                  <c:v>6.38760392523191</c:v>
                </c:pt>
                <c:pt idx="34">
                  <c:v>6.79951630690016</c:v>
                </c:pt>
                <c:pt idx="35">
                  <c:v>7.2245132819825</c:v>
                </c:pt>
                <c:pt idx="36">
                  <c:v>7.66260890129063</c:v>
                </c:pt>
                <c:pt idx="37">
                  <c:v>8.11381708737258</c:v>
                </c:pt>
                <c:pt idx="38">
                  <c:v>8.57815163246043</c:v>
                </c:pt>
                <c:pt idx="39">
                  <c:v>9.05562619652656</c:v>
                </c:pt>
                <c:pt idx="40">
                  <c:v>9.54625430543776</c:v>
                </c:pt>
                <c:pt idx="41">
                  <c:v>10.0500448353437</c:v>
                </c:pt>
                <c:pt idx="42">
                  <c:v>10.5669974874658</c:v>
                </c:pt>
                <c:pt idx="43">
                  <c:v>11.0971072870597</c:v>
                </c:pt>
                <c:pt idx="44">
                  <c:v>11.6403690924156</c:v>
                </c:pt>
                <c:pt idx="45">
                  <c:v>12.1967775939708</c:v>
                </c:pt>
                <c:pt idx="46">
                  <c:v>12.7663273134904</c:v>
                </c:pt>
                <c:pt idx="47">
                  <c:v>13.3490126033098</c:v>
                </c:pt>
                <c:pt idx="48">
                  <c:v>13.944827645637</c:v>
                </c:pt>
                <c:pt idx="49">
                  <c:v>14.5537664519077</c:v>
                </c:pt>
                <c:pt idx="50">
                  <c:v>15.1758228621925</c:v>
                </c:pt>
                <c:pt idx="51">
                  <c:v>15.8109905446507</c:v>
                </c:pt>
                <c:pt idx="52">
                  <c:v>16.4592629950292</c:v>
                </c:pt>
                <c:pt idx="53">
                  <c:v>17.1206335362031</c:v>
                </c:pt>
                <c:pt idx="54">
                  <c:v>17.795095317757</c:v>
                </c:pt>
                <c:pt idx="55">
                  <c:v>18.4826413156022</c:v>
                </c:pt>
                <c:pt idx="56">
                  <c:v>19.1832643316316</c:v>
                </c:pt>
                <c:pt idx="57">
                  <c:v>19.8969569934066</c:v>
                </c:pt>
                <c:pt idx="58">
                  <c:v>20.6237117538779</c:v>
                </c:pt>
                <c:pt idx="59">
                  <c:v>21.3635208911363</c:v>
                </c:pt>
                <c:pt idx="60">
                  <c:v>22.116376508193</c:v>
                </c:pt>
                <c:pt idx="61">
                  <c:v>22.8822705327891</c:v>
                </c:pt>
                <c:pt idx="62">
                  <c:v>23.6611947172314</c:v>
                </c:pt>
                <c:pt idx="63">
                  <c:v>24.4531406382549</c:v>
                </c:pt>
                <c:pt idx="64">
                  <c:v>25.2580996969102</c:v>
                </c:pt>
                <c:pt idx="65">
                  <c:v>26.0760631184758</c:v>
                </c:pt>
                <c:pt idx="66">
                  <c:v>26.9070219523937</c:v>
                </c:pt>
                <c:pt idx="67">
                  <c:v>27.7509670722276</c:v>
                </c:pt>
                <c:pt idx="68">
                  <c:v>28.6078891756439</c:v>
                </c:pt>
                <c:pt idx="69">
                  <c:v>29.4777787844132</c:v>
                </c:pt>
                <c:pt idx="70">
                  <c:v>30.3606262444339</c:v>
                </c:pt>
                <c:pt idx="71">
                  <c:v>31.2564217257753</c:v>
                </c:pt>
                <c:pt idx="72">
                  <c:v>32.1651552227409</c:v>
                </c:pt>
                <c:pt idx="73">
                  <c:v>33.0868165539511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47.3403191008921</c:v>
                </c:pt>
                <c:pt idx="88">
                  <c:v>48.4540382067721</c:v>
                </c:pt>
                <c:pt idx="89">
                  <c:v>49.5803513373839</c:v>
                </c:pt>
                <c:pt idx="90">
                  <c:v>50.7192268975048</c:v>
                </c:pt>
                <c:pt idx="91">
                  <c:v>51.8706310841689</c:v>
                </c:pt>
                <c:pt idx="92">
                  <c:v>53.0345258597699</c:v>
                </c:pt>
                <c:pt idx="93">
                  <c:v>54.2108709752172</c:v>
                </c:pt>
                <c:pt idx="94">
                  <c:v>55.3996259962981</c:v>
                </c:pt>
                <c:pt idx="95">
                  <c:v>56.6007503052889</c:v>
                </c:pt>
                <c:pt idx="96">
                  <c:v>57.8142031025794</c:v>
                </c:pt>
                <c:pt idx="97">
                  <c:v>59.0399434083093</c:v>
                </c:pt>
                <c:pt idx="98">
                  <c:v>60.2779300640165</c:v>
                </c:pt>
                <c:pt idx="99">
                  <c:v>61.5281217342969</c:v>
                </c:pt>
                <c:pt idx="100">
                  <c:v>62.7904769084752</c:v>
                </c:pt>
                <c:pt idx="101">
                  <c:v>64.0649535783243</c:v>
                </c:pt>
                <c:pt idx="102">
                  <c:v>65.3515089153761</c:v>
                </c:pt>
                <c:pt idx="103">
                  <c:v>66.6500995962024</c:v>
                </c:pt>
                <c:pt idx="104">
                  <c:v>67.9606821281556</c:v>
                </c:pt>
                <c:pt idx="105">
                  <c:v>69.2832128511519</c:v>
                </c:pt>
                <c:pt idx="106">
                  <c:v>70.617647939464</c:v>
                </c:pt>
                <c:pt idx="107">
                  <c:v>71.9639434035227</c:v>
                </c:pt>
                <c:pt idx="108">
                  <c:v>73.322055091726</c:v>
                </c:pt>
                <c:pt idx="109">
                  <c:v>74.6919386922565</c:v>
                </c:pt>
                <c:pt idx="110">
                  <c:v>76.0735497349065</c:v>
                </c:pt>
                <c:pt idx="111">
                  <c:v>77.4668473235084</c:v>
                </c:pt>
                <c:pt idx="112">
                  <c:v>78.8717978724917</c:v>
                </c:pt>
                <c:pt idx="113">
                  <c:v>80.2883713812461</c:v>
                </c:pt>
                <c:pt idx="114">
                  <c:v>81.7165377040319</c:v>
                </c:pt>
                <c:pt idx="115">
                  <c:v>83.1562665511598</c:v>
                </c:pt>
                <c:pt idx="116">
                  <c:v>84.6075274901793</c:v>
                </c:pt>
                <c:pt idx="117">
                  <c:v>86.070289947075</c:v>
                </c:pt>
                <c:pt idx="118">
                  <c:v>87.5445232074688</c:v>
                </c:pt>
                <c:pt idx="119">
                  <c:v>89.0301964178315</c:v>
                </c:pt>
                <c:pt idx="120">
                  <c:v>90.5272785866989</c:v>
                </c:pt>
                <c:pt idx="121">
                  <c:v>92.0357323971959</c:v>
                </c:pt>
                <c:pt idx="122">
                  <c:v>93.5555080137354</c:v>
                </c:pt>
                <c:pt idx="123">
                  <c:v>95.0865492687492</c:v>
                </c:pt>
                <c:pt idx="124">
                  <c:v>96.6287998558301</c:v>
                </c:pt>
                <c:pt idx="125">
                  <c:v>98.18220333213</c:v>
                </c:pt>
                <c:pt idx="126">
                  <c:v>99.7467031207575</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115.989223567471</c:v>
                </c:pt>
                <c:pt idx="137">
                  <c:v>117.671874993802</c:v>
                </c:pt>
                <c:pt idx="138">
                  <c:v>119.364888839612</c:v>
                </c:pt>
                <c:pt idx="139">
                  <c:v>121.068200522312</c:v>
                </c:pt>
                <c:pt idx="140">
                  <c:v>122.781745360408</c:v>
                </c:pt>
                <c:pt idx="141">
                  <c:v>124.505439197165</c:v>
                </c:pt>
                <c:pt idx="142">
                  <c:v>126.239159014771</c:v>
                </c:pt>
                <c:pt idx="143">
                  <c:v>127.982762322136</c:v>
                </c:pt>
                <c:pt idx="144">
                  <c:v>129.736106554507</c:v>
                </c:pt>
                <c:pt idx="145">
                  <c:v>131.499049080756</c:v>
                </c:pt>
                <c:pt idx="146">
                  <c:v>133.271447210596</c:v>
                </c:pt>
                <c:pt idx="147">
                  <c:v>135.053158201746</c:v>
                </c:pt>
                <c:pt idx="148">
                  <c:v>136.844039267026</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153.350498289288</c:v>
                </c:pt>
                <c:pt idx="158">
                  <c:v>155.224028762765</c:v>
                </c:pt>
                <c:pt idx="159">
                  <c:v>157.104056772517</c:v>
                </c:pt>
                <c:pt idx="160">
                  <c:v>158.99007313415</c:v>
                </c:pt>
                <c:pt idx="161">
                  <c:v>160.881452376397</c:v>
                </c:pt>
                <c:pt idx="162">
                  <c:v>162.777336189554</c:v>
                </c:pt>
                <c:pt idx="163">
                  <c:v>164.676761615208</c:v>
                </c:pt>
                <c:pt idx="164">
                  <c:v>166.578789170951</c:v>
                </c:pt>
                <c:pt idx="165">
                  <c:v>168.482603311807</c:v>
                </c:pt>
                <c:pt idx="166">
                  <c:v>170.387612715169</c:v>
                </c:pt>
                <c:pt idx="167">
                  <c:v>172.293253758675</c:v>
                </c:pt>
                <c:pt idx="168">
                  <c:v>174.198855599423</c:v>
                </c:pt>
                <c:pt idx="169">
                  <c:v>176.103550152462</c:v>
                </c:pt>
                <c:pt idx="170">
                  <c:v>178.00624363917</c:v>
                </c:pt>
                <c:pt idx="171">
                  <c:v>179.90617124101</c:v>
                </c:pt>
                <c:pt idx="172">
                  <c:v>181.803143928908</c:v>
                </c:pt>
                <c:pt idx="173">
                  <c:v>183.697168171124</c:v>
                </c:pt>
                <c:pt idx="174">
                  <c:v>185.588250410162</c:v>
                </c:pt>
                <c:pt idx="175">
                  <c:v>187.476397062908</c:v>
                </c:pt>
                <c:pt idx="176">
                  <c:v>189.361614520763</c:v>
                </c:pt>
                <c:pt idx="177">
                  <c:v>191.243909149777</c:v>
                </c:pt>
                <c:pt idx="178">
                  <c:v>193.123287290786</c:v>
                </c:pt>
                <c:pt idx="179">
                  <c:v>194.999755259537</c:v>
                </c:pt>
                <c:pt idx="180">
                  <c:v>196.873319346825</c:v>
                </c:pt>
                <c:pt idx="181">
                  <c:v>198.743985818621</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220.968216959713</c:v>
                </c:pt>
                <c:pt idx="194">
                  <c:v>222.801773570674</c:v>
                </c:pt>
                <c:pt idx="195">
                  <c:v>224.632517754234</c:v>
                </c:pt>
                <c:pt idx="196">
                  <c:v>226.460455419081</c:v>
                </c:pt>
                <c:pt idx="197">
                  <c:v>228.285592451052</c:v>
                </c:pt>
                <c:pt idx="198">
                  <c:v>230.107934713249</c:v>
                </c:pt>
                <c:pt idx="199">
                  <c:v>231.927488046157</c:v>
                </c:pt>
                <c:pt idx="200">
                  <c:v>233.744258267757</c:v>
                </c:pt>
                <c:pt idx="201">
                  <c:v>251.759338269024</c:v>
                </c:pt>
                <c:pt idx="202">
                  <c:v>269.499832784952</c:v>
                </c:pt>
                <c:pt idx="203">
                  <c:v>286.97134765305</c:v>
                </c:pt>
                <c:pt idx="204">
                  <c:v>304.179278247715</c:v>
                </c:pt>
                <c:pt idx="205">
                  <c:v>321.128819794228</c:v>
                </c:pt>
                <c:pt idx="206">
                  <c:v>337.824977049869</c:v>
                </c:pt>
                <c:pt idx="207">
                  <c:v>354.272573398403</c:v>
                </c:pt>
                <c:pt idx="208">
                  <c:v>370.476259400238</c:v>
                </c:pt>
                <c:pt idx="209">
                  <c:v>386.440520837068</c:v>
                </c:pt>
                <c:pt idx="210">
                  <c:v>402.169686286569</c:v>
                </c:pt>
                <c:pt idx="211">
                  <c:v>417.667934259837</c:v>
                </c:pt>
                <c:pt idx="212">
                  <c:v>432.939299931636</c:v>
                </c:pt>
                <c:pt idx="213">
                  <c:v>447.987681491085</c:v>
                </c:pt>
                <c:pt idx="214">
                  <c:v>462.816846138289</c:v>
                </c:pt>
                <c:pt idx="215">
                  <c:v>477.430435750407</c:v>
                </c:pt>
                <c:pt idx="216">
                  <c:v>491.831972238845</c:v>
                </c:pt>
                <c:pt idx="217">
                  <c:v>506.024862617608</c:v>
                </c:pt>
                <c:pt idx="218">
                  <c:v>520.012403801359</c:v>
                </c:pt>
                <c:pt idx="219">
                  <c:v>533.797787150326</c:v>
                </c:pt>
                <c:pt idx="220">
                  <c:v>547.384102777952</c:v>
                </c:pt>
                <c:pt idx="221">
                  <c:v>560.774343636018</c:v>
                </c:pt>
                <c:pt idx="222">
                  <c:v>573.971409390916</c:v>
                </c:pt>
                <c:pt idx="223">
                  <c:v>586.978110103761</c:v>
                </c:pt>
                <c:pt idx="224">
                  <c:v>599.797169726151</c:v>
                </c:pt>
                <c:pt idx="225">
                  <c:v>612.431229422539</c:v>
                </c:pt>
                <c:pt idx="226">
                  <c:v>624.882850729448</c:v>
                </c:pt>
                <c:pt idx="227">
                  <c:v>637.154518561036</c:v>
                </c:pt>
                <c:pt idx="228">
                  <c:v>649.248644069885</c:v>
                </c:pt>
                <c:pt idx="229">
                  <c:v>661.167567371297</c:v>
                </c:pt>
                <c:pt idx="230">
                  <c:v>672.913560138816</c:v>
                </c:pt>
                <c:pt idx="231">
                  <c:v>684.488828078198</c:v>
                </c:pt>
                <c:pt idx="232">
                  <c:v>695.895513286582</c:v>
                </c:pt>
                <c:pt idx="233">
                  <c:v>707.135696503156</c:v>
                </c:pt>
                <c:pt idx="234">
                  <c:v>718.211399257249</c:v>
                </c:pt>
                <c:pt idx="235">
                  <c:v>729.124585919368</c:v>
                </c:pt>
                <c:pt idx="236">
                  <c:v>739.877165660366</c:v>
                </c:pt>
                <c:pt idx="237">
                  <c:v>750.470994323609</c:v>
                </c:pt>
                <c:pt idx="238">
                  <c:v>760.907876214706</c:v>
                </c:pt>
                <c:pt idx="239">
                  <c:v>771.189565813081</c:v>
                </c:pt>
                <c:pt idx="240">
                  <c:v>781.317769409413</c:v>
                </c:pt>
                <c:pt idx="241">
                  <c:v>791.294146672729</c:v>
                </c:pt>
                <c:pt idx="242">
                  <c:v>801.120312150711</c:v>
                </c:pt>
                <c:pt idx="243">
                  <c:v>810.797836706551</c:v>
                </c:pt>
                <c:pt idx="244">
                  <c:v>820.328248895524</c:v>
                </c:pt>
                <c:pt idx="245">
                  <c:v>829.713036284235</c:v>
                </c:pt>
                <c:pt idx="246">
                  <c:v>838.953646715341</c:v>
                </c:pt>
                <c:pt idx="247">
                  <c:v>848.051489520393</c:v>
                </c:pt>
                <c:pt idx="248">
                  <c:v>857.007936683274</c:v>
                </c:pt>
                <c:pt idx="249">
                  <c:v>865.824323956595</c:v>
                </c:pt>
                <c:pt idx="250">
                  <c:v>874.501951933264</c:v>
                </c:pt>
                <c:pt idx="251">
                  <c:v>883.042087075321</c:v>
                </c:pt>
                <c:pt idx="252">
                  <c:v>891.445962702023</c:v>
                </c:pt>
                <c:pt idx="253">
                  <c:v>899.714779939057</c:v>
                </c:pt>
                <c:pt idx="254">
                  <c:v>907.849708630642</c:v>
                </c:pt>
                <c:pt idx="255">
                  <c:v>915.851888216219</c:v>
                </c:pt>
                <c:pt idx="256">
                  <c:v>923.722428573292</c:v>
                </c:pt>
                <c:pt idx="257">
                  <c:v>931.462410827955</c:v>
                </c:pt>
                <c:pt idx="258">
                  <c:v>939.072888134509</c:v>
                </c:pt>
                <c:pt idx="259">
                  <c:v>946.554886425535</c:v>
                </c:pt>
                <c:pt idx="260">
                  <c:v>953.909405133704</c:v>
                </c:pt>
                <c:pt idx="261">
                  <c:v>961.137417886551</c:v>
                </c:pt>
                <c:pt idx="262">
                  <c:v>968.239873175354</c:v>
                </c:pt>
                <c:pt idx="263">
                  <c:v>975.217694999242</c:v>
                </c:pt>
                <c:pt idx="264">
                  <c:v>982.071783485561</c:v>
                </c:pt>
                <c:pt idx="265">
                  <c:v>988.803015487493</c:v>
                </c:pt>
                <c:pt idx="266">
                  <c:v>995.412245159895</c:v>
                </c:pt>
                <c:pt idx="267">
                  <c:v>1001.90030451423</c:v>
                </c:pt>
                <c:pt idx="268">
                  <c:v>1008.26800395349</c:v>
                </c:pt>
                <c:pt idx="269">
                  <c:v>1014.51613278786</c:v>
                </c:pt>
                <c:pt idx="270">
                  <c:v>1020.64545973203</c:v>
                </c:pt>
                <c:pt idx="271">
                  <c:v>1026.65673338474</c:v>
                </c:pt>
                <c:pt idx="272">
                  <c:v>1032.55068269141</c:v>
                </c:pt>
                <c:pt idx="273">
                  <c:v>1038.32801739047</c:v>
                </c:pt>
                <c:pt idx="274">
                  <c:v>1043.98942844403</c:v>
                </c:pt>
                <c:pt idx="275">
                  <c:v>1049.53558845364</c:v>
                </c:pt>
                <c:pt idx="276">
                  <c:v>1054.96715206147</c:v>
                </c:pt>
                <c:pt idx="277">
                  <c:v>1060.28475633787</c:v>
                </c:pt>
                <c:pt idx="278">
                  <c:v>1065.48902115551</c:v>
                </c:pt>
                <c:pt idx="279">
                  <c:v>1070.58054955085</c:v>
                </c:pt>
                <c:pt idx="280">
                  <c:v>1075.55992807338</c:v>
                </c:pt>
                <c:pt idx="281">
                  <c:v>1080.42772712318</c:v>
                </c:pt>
                <c:pt idx="282">
                  <c:v>1085.18450127717</c:v>
                </c:pt>
                <c:pt idx="283">
                  <c:v>1089.83078960477</c:v>
                </c:pt>
                <c:pt idx="284">
                  <c:v>1094.36711597305</c:v>
                </c:pt>
                <c:pt idx="285">
                  <c:v>1098.79398934229</c:v>
                </c:pt>
                <c:pt idx="286">
                  <c:v>1103.11190405194</c:v>
                </c:pt>
                <c:pt idx="287">
                  <c:v>1107.32134009781</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1140.3971564499</c:v>
                </c:pt>
                <c:pt idx="297">
                  <c:v>1143.54523245974</c:v>
                </c:pt>
                <c:pt idx="298">
                  <c:v>1146.58923471149</c:v>
                </c:pt>
                <c:pt idx="299">
                  <c:v>1149.52949004743</c:v>
                </c:pt>
                <c:pt idx="300">
                  <c:v>1152.36631396239</c:v>
                </c:pt>
                <c:pt idx="301">
                  <c:v>1155.1000108056</c:v>
                </c:pt>
                <c:pt idx="302">
                  <c:v>1157.73087398174</c:v>
                </c:pt>
                <c:pt idx="303">
                  <c:v>1160.2591861519</c:v>
                </c:pt>
                <c:pt idx="304">
                  <c:v>1162.68521943538</c:v>
                </c:pt>
                <c:pt idx="305">
                  <c:v>1165.00923561341</c:v>
                </c:pt>
                <c:pt idx="306">
                  <c:v>1167.23148633575</c:v>
                </c:pt>
                <c:pt idx="307">
                  <c:v>1169.35221333152</c:v>
                </c:pt>
                <c:pt idx="308">
                  <c:v>1171.37164862532</c:v>
                </c:pt>
                <c:pt idx="309">
                  <c:v>1173.29001476041</c:v>
                </c:pt>
                <c:pt idx="310">
                  <c:v>1175.1075250301</c:v>
                </c:pt>
                <c:pt idx="311">
                  <c:v>1176.82438371933</c:v>
                </c:pt>
                <c:pt idx="312">
                  <c:v>1178.44078635796</c:v>
                </c:pt>
                <c:pt idx="313">
                  <c:v>1179.95691998779</c:v>
                </c:pt>
                <c:pt idx="314">
                  <c:v>1181.3729634453</c:v>
                </c:pt>
                <c:pt idx="315">
                  <c:v>1182.68908766194</c:v>
                </c:pt>
                <c:pt idx="316">
                  <c:v>1183.90545598429</c:v>
                </c:pt>
                <c:pt idx="317">
                  <c:v>1185.02222451576</c:v>
                </c:pt>
                <c:pt idx="318">
                  <c:v>1186.03954248212</c:v>
                </c:pt>
                <c:pt idx="319">
                  <c:v>1186.95755262217</c:v>
                </c:pt>
                <c:pt idx="320">
                  <c:v>1187.77639160531</c:v>
                </c:pt>
                <c:pt idx="321">
                  <c:v>1188.4961904768</c:v>
                </c:pt>
                <c:pt idx="322">
                  <c:v>1189.1170751314</c:v>
                </c:pt>
                <c:pt idx="323">
                  <c:v>1189.63916681507</c:v>
                </c:pt>
                <c:pt idx="324">
                  <c:v>1190.06258265402</c:v>
                </c:pt>
                <c:pt idx="325">
                  <c:v>1190.38743620944</c:v>
                </c:pt>
                <c:pt idx="326">
                  <c:v>1190.61383805511</c:v>
                </c:pt>
                <c:pt idx="327">
                  <c:v>1190.7418963748</c:v>
                </c:pt>
                <c:pt idx="328">
                  <c:v>1190.77171757483</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1182.26879748705</c:v>
                </c:pt>
                <c:pt idx="342">
                  <c:v>1180.93491877981</c:v>
                </c:pt>
                <c:pt idx="343">
                  <c:v>1179.50458700375</c:v>
                </c:pt>
                <c:pt idx="344">
                  <c:v>1177.97795584974</c:v>
                </c:pt>
                <c:pt idx="345">
                  <c:v>1176.35518532768</c:v>
                </c:pt>
                <c:pt idx="346">
                  <c:v>1174.6364419696</c:v>
                </c:pt>
                <c:pt idx="347">
                  <c:v>1172.82189900575</c:v>
                </c:pt>
                <c:pt idx="348">
                  <c:v>1170.91173651566</c:v>
                </c:pt>
                <c:pt idx="349">
                  <c:v>1168.90614155618</c:v>
                </c:pt>
                <c:pt idx="350">
                  <c:v>1166.8053082684</c:v>
                </c:pt>
                <c:pt idx="351">
                  <c:v>1164.60943796536</c:v>
                </c:pt>
                <c:pt idx="352">
                  <c:v>1162.31873920221</c:v>
                </c:pt>
                <c:pt idx="353">
                  <c:v>1159.93342783038</c:v>
                </c:pt>
                <c:pt idx="354">
                  <c:v>1157.4537270373</c:v>
                </c:pt>
                <c:pt idx="355">
                  <c:v>1154.87986737299</c:v>
                </c:pt>
                <c:pt idx="356">
                  <c:v>1152.2120867646</c:v>
                </c:pt>
                <c:pt idx="357">
                  <c:v>1149.45063052023</c:v>
                </c:pt>
                <c:pt idx="358">
                  <c:v>1146.59575132278</c:v>
                </c:pt>
                <c:pt idx="359">
                  <c:v>1143.6477092149</c:v>
                </c:pt>
                <c:pt idx="360">
                  <c:v>1140.60677157566</c:v>
                </c:pt>
                <c:pt idx="361">
                  <c:v>1137.47321308986</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1084.04899249818</c:v>
                </c:pt>
                <c:pt idx="376">
                  <c:v>1079.56389079921</c:v>
                </c:pt>
                <c:pt idx="377">
                  <c:v>1074.99151054388</c:v>
                </c:pt>
                <c:pt idx="378">
                  <c:v>1070.33224096776</c:v>
                </c:pt>
                <c:pt idx="379">
                  <c:v>1065.58647727694</c:v>
                </c:pt>
                <c:pt idx="380">
                  <c:v>1060.75462054727</c:v>
                </c:pt>
                <c:pt idx="381">
                  <c:v>1055.83707762198</c:v>
                </c:pt>
                <c:pt idx="382">
                  <c:v>1050.83426100772</c:v>
                </c:pt>
                <c:pt idx="383">
                  <c:v>1045.74658876908</c:v>
                </c:pt>
                <c:pt idx="384">
                  <c:v>1040.57448442188</c:v>
                </c:pt>
                <c:pt idx="385">
                  <c:v>1035.31837682509</c:v>
                </c:pt>
                <c:pt idx="386">
                  <c:v>1029.97870007167</c:v>
                </c:pt>
                <c:pt idx="387">
                  <c:v>1024.5558933783</c:v>
                </c:pt>
                <c:pt idx="388">
                  <c:v>1019.05040097411</c:v>
                </c:pt>
                <c:pt idx="389">
                  <c:v>1013.4626719886</c:v>
                </c:pt>
                <c:pt idx="390">
                  <c:v>1007.79316033861</c:v>
                </c:pt>
                <c:pt idx="391">
                  <c:v>1002.04232461467</c:v>
                </c:pt>
                <c:pt idx="392">
                  <c:v>996.210627966583</c:v>
                </c:pt>
                <c:pt idx="393">
                  <c:v>990.29853798852</c:v>
                </c:pt>
                <c:pt idx="394">
                  <c:v>984.306526603507</c:v>
                </c:pt>
                <c:pt idx="395">
                  <c:v>978.235069947512</c:v>
                </c:pt>
                <c:pt idx="396">
                  <c:v>972.084648253135</c:v>
                </c:pt>
                <c:pt idx="397">
                  <c:v>965.855745732987</c:v>
                </c:pt>
                <c:pt idx="398">
                  <c:v>959.548850462818</c:v>
                </c:pt>
                <c:pt idx="399">
                  <c:v>953.164454264457</c:v>
                </c:pt>
                <c:pt idx="400">
                  <c:v>946.703052588626</c:v>
                </c:pt>
                <c:pt idx="401">
                  <c:v>940.165144397693</c:v>
                </c:pt>
                <c:pt idx="402">
                  <c:v>933.551232048414</c:v>
                </c:pt>
                <c:pt idx="403">
                  <c:v>926.861821174727</c:v>
                </c:pt>
                <c:pt idx="404">
                  <c:v>920.097420570659</c:v>
                </c:pt>
                <c:pt idx="405">
                  <c:v>913.258542073387</c:v>
                </c:pt>
                <c:pt idx="406">
                  <c:v>906.345700446519</c:v>
                </c:pt>
                <c:pt idx="407">
                  <c:v>899.359413263647</c:v>
                </c:pt>
                <c:pt idx="408">
                  <c:v>892.300200792209</c:v>
                </c:pt>
                <c:pt idx="409">
                  <c:v>885.168585877736</c:v>
                </c:pt>
                <c:pt idx="410">
                  <c:v>877.965093828501</c:v>
                </c:pt>
                <c:pt idx="411">
                  <c:v>870.690252300642</c:v>
                </c:pt>
                <c:pt idx="412">
                  <c:v>863.344591183802</c:v>
                </c:pt>
                <c:pt idx="413">
                  <c:v>855.928642487311</c:v>
                </c:pt>
                <c:pt idx="414">
                  <c:v>848.442940226982</c:v>
                </c:pt>
                <c:pt idx="415">
                  <c:v>840.888020312549</c:v>
                </c:pt>
                <c:pt idx="416">
                  <c:v>833.264420435784</c:v>
                </c:pt>
                <c:pt idx="417">
                  <c:v>825.572679959345</c:v>
                </c:pt>
                <c:pt idx="418">
                  <c:v>817.813339806387</c:v>
                </c:pt>
                <c:pt idx="419">
                  <c:v>809.986942350978</c:v>
                </c:pt>
                <c:pt idx="420">
                  <c:v>802.094031309351</c:v>
                </c:pt>
                <c:pt idx="421">
                  <c:v>794.135151632036</c:v>
                </c:pt>
                <c:pt idx="422">
                  <c:v>786.110849396899</c:v>
                </c:pt>
                <c:pt idx="423">
                  <c:v>778.021671703125</c:v>
                </c:pt>
                <c:pt idx="424">
                  <c:v>769.868166566178</c:v>
                </c:pt>
                <c:pt idx="425">
                  <c:v>761.650882813765</c:v>
                </c:pt>
                <c:pt idx="426">
                  <c:v>753.370369982843</c:v>
                </c:pt>
                <c:pt idx="427">
                  <c:v>745.027178217683</c:v>
                </c:pt>
                <c:pt idx="428">
                  <c:v>736.621858169034</c:v>
                </c:pt>
                <c:pt idx="429">
                  <c:v>728.154960894401</c:v>
                </c:pt>
                <c:pt idx="430">
                  <c:v>719.627037759474</c:v>
                </c:pt>
                <c:pt idx="431">
                  <c:v>711.038640340723</c:v>
                </c:pt>
                <c:pt idx="432">
                  <c:v>702.390320329184</c:v>
                </c:pt>
                <c:pt idx="433">
                  <c:v>693.682629435462</c:v>
                </c:pt>
                <c:pt idx="434">
                  <c:v>684.916119295969</c:v>
                </c:pt>
                <c:pt idx="435">
                  <c:v>676.091341380416</c:v>
                </c:pt>
                <c:pt idx="436">
                  <c:v>667.208846900577</c:v>
                </c:pt>
                <c:pt idx="437">
                  <c:v>658.269186720353</c:v>
                </c:pt>
                <c:pt idx="438">
                  <c:v>649.272911267134</c:v>
                </c:pt>
                <c:pt idx="439">
                  <c:v>640.220570444489</c:v>
                </c:pt>
                <c:pt idx="440">
                  <c:v>631.112713546196</c:v>
                </c:pt>
                <c:pt idx="441">
                  <c:v>621.949889171623</c:v>
                </c:pt>
                <c:pt idx="442">
                  <c:v>612.73264514247</c:v>
                </c:pt>
                <c:pt idx="443">
                  <c:v>603.461528420892</c:v>
                </c:pt>
                <c:pt idx="444">
                  <c:v>594.137085029004</c:v>
                </c:pt>
                <c:pt idx="445">
                  <c:v>584.759859969784</c:v>
                </c:pt>
                <c:pt idx="446">
                  <c:v>575.330397149381</c:v>
                </c:pt>
                <c:pt idx="447">
                  <c:v>565.849239300835</c:v>
                </c:pt>
                <c:pt idx="448">
                  <c:v>556.31692790921</c:v>
                </c:pt>
                <c:pt idx="449">
                  <c:v>546.734003138163</c:v>
                </c:pt>
                <c:pt idx="450">
                  <c:v>537.101003757933</c:v>
                </c:pt>
                <c:pt idx="451">
                  <c:v>527.418467074768</c:v>
                </c:pt>
                <c:pt idx="452">
                  <c:v>517.686928861784</c:v>
                </c:pt>
                <c:pt idx="453">
                  <c:v>507.906923291271</c:v>
                </c:pt>
                <c:pt idx="454">
                  <c:v>498.078982868434</c:v>
                </c:pt>
                <c:pt idx="455">
                  <c:v>488.203638366576</c:v>
                </c:pt>
                <c:pt idx="456">
                  <c:v>478.281418763721</c:v>
                </c:pt>
                <c:pt idx="457">
                  <c:v>468.312851180684</c:v>
                </c:pt>
                <c:pt idx="458">
                  <c:v>458.298460820569</c:v>
                </c:pt>
                <c:pt idx="459">
                  <c:v>448.238770909716</c:v>
                </c:pt>
                <c:pt idx="460">
                  <c:v>438.134302640069</c:v>
                </c:pt>
                <c:pt idx="461">
                  <c:v>427.985575112982</c:v>
                </c:pt>
                <c:pt idx="462">
                  <c:v>417.79310528445</c:v>
                </c:pt>
                <c:pt idx="463">
                  <c:v>407.557407911754</c:v>
                </c:pt>
                <c:pt idx="464">
                  <c:v>397.278995501528</c:v>
                </c:pt>
                <c:pt idx="465">
                  <c:v>386.95837825923</c:v>
                </c:pt>
                <c:pt idx="466">
                  <c:v>376.596064040011</c:v>
                </c:pt>
                <c:pt idx="467">
                  <c:v>366.192558300989</c:v>
                </c:pt>
                <c:pt idx="468">
                  <c:v>355.748364054895</c:v>
                </c:pt>
                <c:pt idx="469">
                  <c:v>345.263981825105</c:v>
                </c:pt>
                <c:pt idx="470">
                  <c:v>334.739909602037</c:v>
                </c:pt>
                <c:pt idx="471">
                  <c:v>324.176642800906</c:v>
                </c:pt>
                <c:pt idx="472">
                  <c:v>313.574674220831</c:v>
                </c:pt>
                <c:pt idx="473">
                  <c:v>302.934494005271</c:v>
                </c:pt>
                <c:pt idx="474">
                  <c:v>292.256589603796</c:v>
                </c:pt>
                <c:pt idx="475">
                  <c:v>281.541445735168</c:v>
                </c:pt>
                <c:pt idx="476">
                  <c:v>270.789544351731</c:v>
                </c:pt>
                <c:pt idx="477">
                  <c:v>260.001364605083</c:v>
                </c:pt>
                <c:pt idx="478">
                  <c:v>249.177382813035</c:v>
                </c:pt>
                <c:pt idx="479">
                  <c:v>238.31807242783</c:v>
                </c:pt>
                <c:pt idx="480">
                  <c:v>227.423904005614</c:v>
                </c:pt>
                <c:pt idx="481">
                  <c:v>216.49534517715</c:v>
                </c:pt>
                <c:pt idx="482">
                  <c:v>205.53286061975</c:v>
                </c:pt>
                <c:pt idx="483">
                  <c:v>194.536912030422</c:v>
                </c:pt>
                <c:pt idx="484">
                  <c:v>183.507958100208</c:v>
                </c:pt>
                <c:pt idx="485">
                  <c:v>172.446454489711</c:v>
                </c:pt>
                <c:pt idx="486">
                  <c:v>161.352853805774</c:v>
                </c:pt>
                <c:pt idx="487">
                  <c:v>150.227605579323</c:v>
                </c:pt>
                <c:pt idx="488">
                  <c:v>139.071156244339</c:v>
                </c:pt>
                <c:pt idx="489">
                  <c:v>127.883949117947</c:v>
                </c:pt>
                <c:pt idx="490">
                  <c:v>116.666424381613</c:v>
                </c:pt>
                <c:pt idx="491">
                  <c:v>105.41901906343</c:v>
                </c:pt>
                <c:pt idx="492">
                  <c:v>94.1421670214652</c:v>
                </c:pt>
                <c:pt idx="493">
                  <c:v>82.8362989281763</c:v>
                </c:pt>
                <c:pt idx="494">
                  <c:v>71.5018422558558</c:v>
                </c:pt>
                <c:pt idx="495">
                  <c:v>60.1392212631031</c:v>
                </c:pt>
                <c:pt idx="496">
                  <c:v>48.7488569822998</c:v>
                </c:pt>
                <c:pt idx="497">
                  <c:v>37.3311672080754</c:v>
                </c:pt>
                <c:pt idx="498">
                  <c:v>25.8865664867444</c:v>
                </c:pt>
                <c:pt idx="499">
                  <c:v>14.4154661066991</c:v>
                </c:pt>
                <c:pt idx="500">
                  <c:v>2.91827408974138</c:v>
                </c:pt>
                <c:pt idx="501">
                  <c:v>-8.60460481666437</c:v>
                </c:pt>
                <c:pt idx="502">
                  <c:v>-8.61614045078113</c:v>
                </c:pt>
                <c:pt idx="503">
                  <c:v>-8.62767610998321</c:v>
                </c:pt>
                <c:pt idx="504">
                  <c:v>-8.63921179427021</c:v>
                </c:pt>
                <c:pt idx="505">
                  <c:v>-8.65074750364173</c:v>
                </c:pt>
                <c:pt idx="506">
                  <c:v>-8.66228323809738</c:v>
                </c:pt>
                <c:pt idx="507">
                  <c:v>-8.67381899763675</c:v>
                </c:pt>
                <c:pt idx="508">
                  <c:v>-8.68535478225947</c:v>
                </c:pt>
                <c:pt idx="509">
                  <c:v>-8.69689059196512</c:v>
                </c:pt>
                <c:pt idx="510">
                  <c:v>-8.70842642675331</c:v>
                </c:pt>
                <c:pt idx="511">
                  <c:v>-8.71996228662365</c:v>
                </c:pt>
                <c:pt idx="512">
                  <c:v>-8.73149817157575</c:v>
                </c:pt>
                <c:pt idx="513">
                  <c:v>-8.7430340816092</c:v>
                </c:pt>
                <c:pt idx="514">
                  <c:v>-8.75457001672361</c:v>
                </c:pt>
                <c:pt idx="515">
                  <c:v>-8.76610597691859</c:v>
                </c:pt>
                <c:pt idx="516">
                  <c:v>-8.77764196219374</c:v>
                </c:pt>
                <c:pt idx="517">
                  <c:v>-8.78917797254866</c:v>
                </c:pt>
                <c:pt idx="518">
                  <c:v>-8.80071400798296</c:v>
                </c:pt>
                <c:pt idx="519">
                  <c:v>-8.81225006849624</c:v>
                </c:pt>
                <c:pt idx="520">
                  <c:v>-8.82378615408811</c:v>
                </c:pt>
                <c:pt idx="521">
                  <c:v>-8.83532226475818</c:v>
                </c:pt>
                <c:pt idx="522">
                  <c:v>-8.84685840050604</c:v>
                </c:pt>
                <c:pt idx="523">
                  <c:v>-8.85839456133129</c:v>
                </c:pt>
                <c:pt idx="524">
                  <c:v>-8.86993074723356</c:v>
                </c:pt>
                <c:pt idx="525">
                  <c:v>-8.88146695821243</c:v>
                </c:pt>
                <c:pt idx="526">
                  <c:v>-8.89300319426752</c:v>
                </c:pt>
                <c:pt idx="527">
                  <c:v>-8.90453945539842</c:v>
                </c:pt>
                <c:pt idx="528">
                  <c:v>-8.91607574160475</c:v>
                </c:pt>
                <c:pt idx="529">
                  <c:v>-8.9276120528861</c:v>
                </c:pt>
                <c:pt idx="530">
                  <c:v>-8.93914838924208</c:v>
                </c:pt>
                <c:pt idx="531">
                  <c:v>-8.9506847506723</c:v>
                </c:pt>
                <c:pt idx="532">
                  <c:v>-8.96222113717636</c:v>
                </c:pt>
                <c:pt idx="533">
                  <c:v>-8.97375754875387</c:v>
                </c:pt>
                <c:pt idx="534">
                  <c:v>-8.98529398540442</c:v>
                </c:pt>
                <c:pt idx="535">
                  <c:v>-8.99683044712763</c:v>
                </c:pt>
                <c:pt idx="536">
                  <c:v>-9.00836693392309</c:v>
                </c:pt>
                <c:pt idx="537">
                  <c:v>-9.01990344579042</c:v>
                </c:pt>
                <c:pt idx="538">
                  <c:v>-9.03143998272921</c:v>
                </c:pt>
                <c:pt idx="539">
                  <c:v>-9.04297654473908</c:v>
                </c:pt>
                <c:pt idx="540">
                  <c:v>-9.05451313181962</c:v>
                </c:pt>
                <c:pt idx="541">
                  <c:v>-9.06604974397043</c:v>
                </c:pt>
                <c:pt idx="542">
                  <c:v>-9.07758638119114</c:v>
                </c:pt>
                <c:pt idx="543">
                  <c:v>-9.08912304348133</c:v>
                </c:pt>
                <c:pt idx="544">
                  <c:v>-9.10065973084062</c:v>
                </c:pt>
                <c:pt idx="545">
                  <c:v>-9.1121964432686</c:v>
                </c:pt>
                <c:pt idx="546">
                  <c:v>-9.12373318076488</c:v>
                </c:pt>
                <c:pt idx="547">
                  <c:v>-9.13526994332908</c:v>
                </c:pt>
                <c:pt idx="548">
                  <c:v>-9.14680673096078</c:v>
                </c:pt>
                <c:pt idx="549">
                  <c:v>-9.1583435436596</c:v>
                </c:pt>
                <c:pt idx="550">
                  <c:v>-9.16988038142514</c:v>
                </c:pt>
                <c:pt idx="551">
                  <c:v>-9.181417244257</c:v>
                </c:pt>
                <c:pt idx="552">
                  <c:v>-9.19295413215479</c:v>
                </c:pt>
                <c:pt idx="553">
                  <c:v>-9.20449104511812</c:v>
                </c:pt>
                <c:pt idx="554">
                  <c:v>-9.21602798314658</c:v>
                </c:pt>
                <c:pt idx="555">
                  <c:v>-9.22756494623979</c:v>
                </c:pt>
                <c:pt idx="556">
                  <c:v>-9.23910193439734</c:v>
                </c:pt>
                <c:pt idx="557">
                  <c:v>-9.25063894761885</c:v>
                </c:pt>
                <c:pt idx="558">
                  <c:v>-9.26217598590391</c:v>
                </c:pt>
                <c:pt idx="559">
                  <c:v>-9.27371304925213</c:v>
                </c:pt>
                <c:pt idx="560">
                  <c:v>-9.28525013766312</c:v>
                </c:pt>
                <c:pt idx="561">
                  <c:v>-9.29678725113647</c:v>
                </c:pt>
                <c:pt idx="562">
                  <c:v>-9.3083243896718</c:v>
                </c:pt>
                <c:pt idx="563">
                  <c:v>-9.31986155326871</c:v>
                </c:pt>
                <c:pt idx="564">
                  <c:v>-9.3313987419268</c:v>
                </c:pt>
                <c:pt idx="565">
                  <c:v>-9.34293595564568</c:v>
                </c:pt>
                <c:pt idx="566">
                  <c:v>-9.35447319442495</c:v>
                </c:pt>
                <c:pt idx="567">
                  <c:v>-9.36601045826422</c:v>
                </c:pt>
                <c:pt idx="568">
                  <c:v>-9.37754774716309</c:v>
                </c:pt>
                <c:pt idx="569">
                  <c:v>-9.38908506112117</c:v>
                </c:pt>
                <c:pt idx="570">
                  <c:v>-9.40062240013805</c:v>
                </c:pt>
                <c:pt idx="571">
                  <c:v>-9.41215976421335</c:v>
                </c:pt>
                <c:pt idx="572">
                  <c:v>-9.42369715334667</c:v>
                </c:pt>
                <c:pt idx="573">
                  <c:v>-9.43523456753761</c:v>
                </c:pt>
                <c:pt idx="574">
                  <c:v>-9.44677200678578</c:v>
                </c:pt>
                <c:pt idx="575">
                  <c:v>-9.45830947109079</c:v>
                </c:pt>
                <c:pt idx="576">
                  <c:v>-9.46984696045223</c:v>
                </c:pt>
                <c:pt idx="577">
                  <c:v>-9.48138447486971</c:v>
                </c:pt>
                <c:pt idx="578">
                  <c:v>-9.49292201434285</c:v>
                </c:pt>
                <c:pt idx="579">
                  <c:v>-9.50445957887123</c:v>
                </c:pt>
                <c:pt idx="580">
                  <c:v>-9.51599716845447</c:v>
                </c:pt>
                <c:pt idx="581">
                  <c:v>-9.52753478309216</c:v>
                </c:pt>
                <c:pt idx="582">
                  <c:v>-9.53907242278393</c:v>
                </c:pt>
                <c:pt idx="583">
                  <c:v>-9.55061008752936</c:v>
                </c:pt>
                <c:pt idx="584">
                  <c:v>-9.56214777732807</c:v>
                </c:pt>
                <c:pt idx="585">
                  <c:v>-9.57368549217965</c:v>
                </c:pt>
                <c:pt idx="586">
                  <c:v>-9.58522323208372</c:v>
                </c:pt>
                <c:pt idx="587">
                  <c:v>-9.59676099703988</c:v>
                </c:pt>
                <c:pt idx="588">
                  <c:v>-9.60829878704773</c:v>
                </c:pt>
                <c:pt idx="589">
                  <c:v>-9.61983660210688</c:v>
                </c:pt>
                <c:pt idx="590">
                  <c:v>-9.63137444221692</c:v>
                </c:pt>
                <c:pt idx="591">
                  <c:v>-9.64291230737748</c:v>
                </c:pt>
                <c:pt idx="592">
                  <c:v>-9.65445019758814</c:v>
                </c:pt>
                <c:pt idx="593">
                  <c:v>-9.66598811284853</c:v>
                </c:pt>
                <c:pt idx="594">
                  <c:v>-9.67752605315823</c:v>
                </c:pt>
                <c:pt idx="595">
                  <c:v>-9.68906401851685</c:v>
                </c:pt>
                <c:pt idx="596">
                  <c:v>-9.70060200892401</c:v>
                </c:pt>
                <c:pt idx="597">
                  <c:v>-9.7121400243793</c:v>
                </c:pt>
                <c:pt idx="598">
                  <c:v>-9.72367806488233</c:v>
                </c:pt>
                <c:pt idx="599">
                  <c:v>-9.7352161304327</c:v>
                </c:pt>
                <c:pt idx="600">
                  <c:v>-9.74675422103002</c:v>
                </c:pt>
                <c:pt idx="601">
                  <c:v>-9.75829233667389</c:v>
                </c:pt>
                <c:pt idx="602">
                  <c:v>-9.76983047736392</c:v>
                </c:pt>
                <c:pt idx="603">
                  <c:v>-9.78136864309971</c:v>
                </c:pt>
                <c:pt idx="604">
                  <c:v>-9.79290683388087</c:v>
                </c:pt>
                <c:pt idx="605">
                  <c:v>-9.804445049707</c:v>
                </c:pt>
                <c:pt idx="606">
                  <c:v>-9.8159832905777</c:v>
                </c:pt>
                <c:pt idx="607">
                  <c:v>-9.82752155649259</c:v>
                </c:pt>
                <c:pt idx="608">
                  <c:v>-9.83905984745126</c:v>
                </c:pt>
                <c:pt idx="609">
                  <c:v>-9.85059816345332</c:v>
                </c:pt>
                <c:pt idx="610">
                  <c:v>-9.86213650449837</c:v>
                </c:pt>
                <c:pt idx="611">
                  <c:v>-9.87367487058603</c:v>
                </c:pt>
                <c:pt idx="612">
                  <c:v>-9.88521326171589</c:v>
                </c:pt>
                <c:pt idx="613">
                  <c:v>-9.89675167788755</c:v>
                </c:pt>
                <c:pt idx="614">
                  <c:v>-9.90829011910063</c:v>
                </c:pt>
                <c:pt idx="615">
                  <c:v>-9.91982858535473</c:v>
                </c:pt>
                <c:pt idx="616">
                  <c:v>-9.93136707664945</c:v>
                </c:pt>
                <c:pt idx="617">
                  <c:v>-9.9429055929844</c:v>
                </c:pt>
                <c:pt idx="618">
                  <c:v>-9.95444413435918</c:v>
                </c:pt>
                <c:pt idx="619">
                  <c:v>-9.96598270077339</c:v>
                </c:pt>
                <c:pt idx="620">
                  <c:v>-9.97752129222665</c:v>
                </c:pt>
                <c:pt idx="621">
                  <c:v>-9.98905990871855</c:v>
                </c:pt>
                <c:pt idx="622">
                  <c:v>-10.0005985502487</c:v>
                </c:pt>
                <c:pt idx="623">
                  <c:v>-10.0121372168167</c:v>
                </c:pt>
                <c:pt idx="624">
                  <c:v>-10.0236759084222</c:v>
                </c:pt>
                <c:pt idx="625">
                  <c:v>-10.0352146250647</c:v>
                </c:pt>
                <c:pt idx="626">
                  <c:v>-10.0467533667439</c:v>
                </c:pt>
                <c:pt idx="627">
                  <c:v>-10.0582921334594</c:v>
                </c:pt>
                <c:pt idx="628">
                  <c:v>-10.0698309252108</c:v>
                </c:pt>
                <c:pt idx="629">
                  <c:v>-10.0813697419976</c:v>
                </c:pt>
                <c:pt idx="630">
                  <c:v>-10.0929085838195</c:v>
                </c:pt>
                <c:pt idx="631">
                  <c:v>-10.1044474506762</c:v>
                </c:pt>
                <c:pt idx="632">
                  <c:v>-10.1159863425671</c:v>
                </c:pt>
                <c:pt idx="633">
                  <c:v>-10.1275252594919</c:v>
                </c:pt>
                <c:pt idx="634">
                  <c:v>-10.1390642014502</c:v>
                </c:pt>
                <c:pt idx="635">
                  <c:v>-10.1506031684417</c:v>
                </c:pt>
                <c:pt idx="636">
                  <c:v>-10.1621421604658</c:v>
                </c:pt>
                <c:pt idx="637">
                  <c:v>-10.1736811775223</c:v>
                </c:pt>
                <c:pt idx="638">
                  <c:v>-10.1852202196107</c:v>
                </c:pt>
                <c:pt idx="639">
                  <c:v>-10.1967592867307</c:v>
                </c:pt>
                <c:pt idx="640">
                  <c:v>-10.2082983788818</c:v>
                </c:pt>
                <c:pt idx="641">
                  <c:v>-10.2198374960636</c:v>
                </c:pt>
                <c:pt idx="642">
                  <c:v>-10.2313766382757</c:v>
                </c:pt>
                <c:pt idx="643">
                  <c:v>-10.2429158055179</c:v>
                </c:pt>
                <c:pt idx="644">
                  <c:v>-10.2544549977895</c:v>
                </c:pt>
                <c:pt idx="645">
                  <c:v>-10.2659942150904</c:v>
                </c:pt>
                <c:pt idx="646">
                  <c:v>-10.27753345742</c:v>
                </c:pt>
                <c:pt idx="647">
                  <c:v>-10.2890727247779</c:v>
                </c:pt>
                <c:pt idx="648">
                  <c:v>-10.3006120171639</c:v>
                </c:pt>
                <c:pt idx="649">
                  <c:v>-10.3121513345774</c:v>
                </c:pt>
                <c:pt idx="650">
                  <c:v>-10.3236906770181</c:v>
                </c:pt>
                <c:pt idx="651">
                  <c:v>-10.3352300444856</c:v>
                </c:pt>
                <c:pt idx="652">
                  <c:v>-10.3467694369795</c:v>
                </c:pt>
                <c:pt idx="653">
                  <c:v>-10.3583088544993</c:v>
                </c:pt>
                <c:pt idx="654">
                  <c:v>-10.3698482970448</c:v>
                </c:pt>
                <c:pt idx="655">
                  <c:v>-10.3813877646155</c:v>
                </c:pt>
                <c:pt idx="656">
                  <c:v>-10.392927257211</c:v>
                </c:pt>
                <c:pt idx="657">
                  <c:v>-10.4044667748309</c:v>
                </c:pt>
                <c:pt idx="658">
                  <c:v>-10.4160063174749</c:v>
                </c:pt>
                <c:pt idx="659">
                  <c:v>-10.4275458851425</c:v>
                </c:pt>
                <c:pt idx="660">
                  <c:v>-10.4390854778333</c:v>
                </c:pt>
                <c:pt idx="661">
                  <c:v>-10.4506250955469</c:v>
                </c:pt>
                <c:pt idx="662">
                  <c:v>-10.462164738283</c:v>
                </c:pt>
                <c:pt idx="663">
                  <c:v>-10.4737044060411</c:v>
                </c:pt>
                <c:pt idx="664">
                  <c:v>-10.4852440988209</c:v>
                </c:pt>
                <c:pt idx="665">
                  <c:v>-10.496783816622</c:v>
                </c:pt>
                <c:pt idx="666">
                  <c:v>-10.5083235594439</c:v>
                </c:pt>
                <c:pt idx="667">
                  <c:v>-10.5198633272862</c:v>
                </c:pt>
                <c:pt idx="668">
                  <c:v>-10.5314031201487</c:v>
                </c:pt>
                <c:pt idx="669">
                  <c:v>-10.5429429380308</c:v>
                </c:pt>
                <c:pt idx="670">
                  <c:v>-10.5544827809322</c:v>
                </c:pt>
                <c:pt idx="671">
                  <c:v>-10.5660226488524</c:v>
                </c:pt>
                <c:pt idx="672">
                  <c:v>-10.5775625417912</c:v>
                </c:pt>
                <c:pt idx="673">
                  <c:v>-10.5891024597481</c:v>
                </c:pt>
                <c:pt idx="674">
                  <c:v>-10.6006424027226</c:v>
                </c:pt>
                <c:pt idx="675">
                  <c:v>-10.6121823707145</c:v>
                </c:pt>
                <c:pt idx="676">
                  <c:v>-10.6237223637233</c:v>
                </c:pt>
                <c:pt idx="677">
                  <c:v>-10.6352623817486</c:v>
                </c:pt>
                <c:pt idx="678">
                  <c:v>-10.64680242479</c:v>
                </c:pt>
                <c:pt idx="679">
                  <c:v>-10.6583424928471</c:v>
                </c:pt>
                <c:pt idx="680">
                  <c:v>-10.6698825859196</c:v>
                </c:pt>
                <c:pt idx="681">
                  <c:v>-10.681422704007</c:v>
                </c:pt>
                <c:pt idx="682">
                  <c:v>-10.692962847109</c:v>
                </c:pt>
                <c:pt idx="683">
                  <c:v>-10.7045030152251</c:v>
                </c:pt>
                <c:pt idx="684">
                  <c:v>-10.7160432083549</c:v>
                </c:pt>
                <c:pt idx="685">
                  <c:v>-10.7275834264981</c:v>
                </c:pt>
                <c:pt idx="686">
                  <c:v>-10.7391236696542</c:v>
                </c:pt>
                <c:pt idx="687">
                  <c:v>-10.7506639378229</c:v>
                </c:pt>
                <c:pt idx="688">
                  <c:v>-10.7622042310038</c:v>
                </c:pt>
                <c:pt idx="689">
                  <c:v>-10.7737445491965</c:v>
                </c:pt>
                <c:pt idx="690">
                  <c:v>-10.7852848924005</c:v>
                </c:pt>
                <c:pt idx="691">
                  <c:v>-10.7968252606155</c:v>
                </c:pt>
                <c:pt idx="692">
                  <c:v>-10.8083656538411</c:v>
                </c:pt>
                <c:pt idx="693">
                  <c:v>-10.8199060720769</c:v>
                </c:pt>
                <c:pt idx="694">
                  <c:v>-10.8314465153225</c:v>
                </c:pt>
                <c:pt idx="695">
                  <c:v>-10.8429869835775</c:v>
                </c:pt>
                <c:pt idx="696">
                  <c:v>-10.8545274768415</c:v>
                </c:pt>
                <c:pt idx="697">
                  <c:v>-10.8660679951142</c:v>
                </c:pt>
                <c:pt idx="698">
                  <c:v>-10.877608538395</c:v>
                </c:pt>
                <c:pt idx="699">
                  <c:v>-10.8891491066837</c:v>
                </c:pt>
                <c:pt idx="700">
                  <c:v>-10.9006896999798</c:v>
                </c:pt>
                <c:pt idx="701">
                  <c:v>-10.9122303182829</c:v>
                </c:pt>
                <c:pt idx="702">
                  <c:v>-10.9237709615927</c:v>
                </c:pt>
                <c:pt idx="703">
                  <c:v>-10.9353116299087</c:v>
                </c:pt>
                <c:pt idx="704">
                  <c:v>-10.9468523232305</c:v>
                </c:pt>
                <c:pt idx="705">
                  <c:v>-10.9583930415578</c:v>
                </c:pt>
                <c:pt idx="706">
                  <c:v>-10.9699337848902</c:v>
                </c:pt>
                <c:pt idx="707">
                  <c:v>-10.9814745532272</c:v>
                </c:pt>
                <c:pt idx="708">
                  <c:v>-10.9930153465685</c:v>
                </c:pt>
                <c:pt idx="709">
                  <c:v>-11.0045561649137</c:v>
                </c:pt>
                <c:pt idx="710">
                  <c:v>-11.0160970082623</c:v>
                </c:pt>
                <c:pt idx="711">
                  <c:v>-11.0276378766141</c:v>
                </c:pt>
                <c:pt idx="712">
                  <c:v>-11.0391787699685</c:v>
                </c:pt>
                <c:pt idx="713">
                  <c:v>-11.0507196883252</c:v>
                </c:pt>
                <c:pt idx="714">
                  <c:v>-11.0622606316838</c:v>
                </c:pt>
                <c:pt idx="715">
                  <c:v>-11.0738016000439</c:v>
                </c:pt>
                <c:pt idx="716">
                  <c:v>-11.0853425934051</c:v>
                </c:pt>
                <c:pt idx="717">
                  <c:v>-11.0968836117671</c:v>
                </c:pt>
                <c:pt idx="718">
                  <c:v>-11.1084246551293</c:v>
                </c:pt>
                <c:pt idx="719">
                  <c:v>-11.1199657234915</c:v>
                </c:pt>
                <c:pt idx="720">
                  <c:v>-11.1315068168532</c:v>
                </c:pt>
                <c:pt idx="721">
                  <c:v>-11.143047935214</c:v>
                </c:pt>
                <c:pt idx="722">
                  <c:v>-11.1545890785736</c:v>
                </c:pt>
                <c:pt idx="723">
                  <c:v>-11.1661302469315</c:v>
                </c:pt>
                <c:pt idx="724">
                  <c:v>-11.1776714402874</c:v>
                </c:pt>
                <c:pt idx="725">
                  <c:v>-11.1892126586408</c:v>
                </c:pt>
                <c:pt idx="726">
                  <c:v>-11.2007539019914</c:v>
                </c:pt>
                <c:pt idx="727">
                  <c:v>-11.2122951703387</c:v>
                </c:pt>
                <c:pt idx="728">
                  <c:v>-11.2238364636824</c:v>
                </c:pt>
                <c:pt idx="729">
                  <c:v>-11.2353777820221</c:v>
                </c:pt>
                <c:pt idx="730">
                  <c:v>-11.2469191253574</c:v>
                </c:pt>
                <c:pt idx="731">
                  <c:v>-11.2584604936878</c:v>
                </c:pt>
                <c:pt idx="732">
                  <c:v>-11.2700018870131</c:v>
                </c:pt>
                <c:pt idx="733">
                  <c:v>-11.2815433053327</c:v>
                </c:pt>
                <c:pt idx="734">
                  <c:v>-11.2930847486463</c:v>
                </c:pt>
                <c:pt idx="735">
                  <c:v>-11.3046262169536</c:v>
                </c:pt>
                <c:pt idx="736">
                  <c:v>-11.316167710254</c:v>
                </c:pt>
                <c:pt idx="737">
                  <c:v>-11.3277092285472</c:v>
                </c:pt>
                <c:pt idx="738">
                  <c:v>-11.3392507718329</c:v>
                </c:pt>
                <c:pt idx="739">
                  <c:v>-11.3507923401106</c:v>
                </c:pt>
                <c:pt idx="740">
                  <c:v>-11.3623339333799</c:v>
                </c:pt>
                <c:pt idx="741">
                  <c:v>-11.3738755516405</c:v>
                </c:pt>
                <c:pt idx="742">
                  <c:v>-11.3854171948919</c:v>
                </c:pt>
                <c:pt idx="743">
                  <c:v>-11.3969588631337</c:v>
                </c:pt>
                <c:pt idx="744">
                  <c:v>-11.4085005563656</c:v>
                </c:pt>
                <c:pt idx="745">
                  <c:v>-11.4200422745872</c:v>
                </c:pt>
                <c:pt idx="746">
                  <c:v>-11.431584017798</c:v>
                </c:pt>
                <c:pt idx="747">
                  <c:v>-11.4431257859977</c:v>
                </c:pt>
                <c:pt idx="748">
                  <c:v>-11.4546675791858</c:v>
                </c:pt>
                <c:pt idx="749">
                  <c:v>-11.466209397362</c:v>
                </c:pt>
                <c:pt idx="750">
                  <c:v>-11.4777512405259</c:v>
                </c:pt>
                <c:pt idx="751">
                  <c:v>-11.4892931086771</c:v>
                </c:pt>
                <c:pt idx="752">
                  <c:v>-11.5008350018152</c:v>
                </c:pt>
                <c:pt idx="753">
                  <c:v>-11.5123769199398</c:v>
                </c:pt>
                <c:pt idx="754">
                  <c:v>-11.5239188630504</c:v>
                </c:pt>
                <c:pt idx="755">
                  <c:v>-11.5354608311468</c:v>
                </c:pt>
                <c:pt idx="756">
                  <c:v>-11.5470028242285</c:v>
                </c:pt>
                <c:pt idx="757">
                  <c:v>-11.5585448422951</c:v>
                </c:pt>
                <c:pt idx="758">
                  <c:v>-11.5700868853462</c:v>
                </c:pt>
                <c:pt idx="759">
                  <c:v>-11.5816289533815</c:v>
                </c:pt>
                <c:pt idx="760">
                  <c:v>-11.5931710464005</c:v>
                </c:pt>
                <c:pt idx="761">
                  <c:v>-11.6047131644028</c:v>
                </c:pt>
                <c:pt idx="762">
                  <c:v>-11.6162553073881</c:v>
                </c:pt>
                <c:pt idx="763">
                  <c:v>-11.6277974753559</c:v>
                </c:pt>
                <c:pt idx="764">
                  <c:v>-11.6393396683059</c:v>
                </c:pt>
                <c:pt idx="765">
                  <c:v>-11.6508818862376</c:v>
                </c:pt>
                <c:pt idx="766">
                  <c:v>-11.6624241291507</c:v>
                </c:pt>
                <c:pt idx="767">
                  <c:v>-11.6739663970447</c:v>
                </c:pt>
                <c:pt idx="768">
                  <c:v>-11.6855086899194</c:v>
                </c:pt>
                <c:pt idx="769">
                  <c:v>-11.6970510077742</c:v>
                </c:pt>
                <c:pt idx="770">
                  <c:v>-11.7085933506088</c:v>
                </c:pt>
                <c:pt idx="771">
                  <c:v>-11.7201357184227</c:v>
                </c:pt>
                <c:pt idx="772">
                  <c:v>-11.7316781112157</c:v>
                </c:pt>
                <c:pt idx="773">
                  <c:v>-11.7432205289873</c:v>
                </c:pt>
                <c:pt idx="774">
                  <c:v>-11.7547629717371</c:v>
                </c:pt>
                <c:pt idx="775">
                  <c:v>-11.7663054394646</c:v>
                </c:pt>
                <c:pt idx="776">
                  <c:v>-11.7778479321696</c:v>
                </c:pt>
                <c:pt idx="777">
                  <c:v>-11.7893904498517</c:v>
                </c:pt>
                <c:pt idx="778">
                  <c:v>-11.8009329925103</c:v>
                </c:pt>
                <c:pt idx="779">
                  <c:v>-11.8124755601452</c:v>
                </c:pt>
                <c:pt idx="780">
                  <c:v>-11.8240181527559</c:v>
                </c:pt>
                <c:pt idx="781">
                  <c:v>-11.8355607703421</c:v>
                </c:pt>
                <c:pt idx="782">
                  <c:v>-11.8471034129033</c:v>
                </c:pt>
                <c:pt idx="783">
                  <c:v>-11.8586460804391</c:v>
                </c:pt>
                <c:pt idx="784">
                  <c:v>-11.8701887729492</c:v>
                </c:pt>
                <c:pt idx="785">
                  <c:v>-11.8817314904332</c:v>
                </c:pt>
                <c:pt idx="786">
                  <c:v>-11.8932742328906</c:v>
                </c:pt>
                <c:pt idx="787">
                  <c:v>-11.9048170003211</c:v>
                </c:pt>
                <c:pt idx="788">
                  <c:v>-11.9163597927243</c:v>
                </c:pt>
                <c:pt idx="789">
                  <c:v>-11.9279026100998</c:v>
                </c:pt>
                <c:pt idx="790">
                  <c:v>-11.9394454524472</c:v>
                </c:pt>
                <c:pt idx="791">
                  <c:v>-11.950988319766</c:v>
                </c:pt>
                <c:pt idx="792">
                  <c:v>-11.962531212056</c:v>
                </c:pt>
                <c:pt idx="793">
                  <c:v>-11.9740741293166</c:v>
                </c:pt>
                <c:pt idx="794">
                  <c:v>-11.9856170715476</c:v>
                </c:pt>
                <c:pt idx="795">
                  <c:v>-11.9971600387485</c:v>
                </c:pt>
                <c:pt idx="796">
                  <c:v>-12.0087030309189</c:v>
                </c:pt>
                <c:pt idx="797">
                  <c:v>-12.0202460480584</c:v>
                </c:pt>
                <c:pt idx="798">
                  <c:v>-12.0317890901666</c:v>
                </c:pt>
                <c:pt idx="799">
                  <c:v>-12.0433321572432</c:v>
                </c:pt>
                <c:pt idx="800">
                  <c:v>-12.0548752492877</c:v>
                </c:pt>
                <c:pt idx="801">
                  <c:v>-12.0664183662998</c:v>
                </c:pt>
                <c:pt idx="802">
                  <c:v>-12.0779615082791</c:v>
                </c:pt>
                <c:pt idx="803">
                  <c:v>-12.089504675225</c:v>
                </c:pt>
                <c:pt idx="804">
                  <c:v>-12.1010478671374</c:v>
                </c:pt>
                <c:pt idx="805">
                  <c:v>-12.1125910840157</c:v>
                </c:pt>
                <c:pt idx="806">
                  <c:v>-12.1241343258596</c:v>
                </c:pt>
                <c:pt idx="807">
                  <c:v>-12.1356775926687</c:v>
                </c:pt>
                <c:pt idx="808">
                  <c:v>-12.1472208844425</c:v>
                </c:pt>
                <c:pt idx="809">
                  <c:v>-12.1587642011807</c:v>
                </c:pt>
                <c:pt idx="810">
                  <c:v>-12.170307542883</c:v>
                </c:pt>
                <c:pt idx="811">
                  <c:v>-12.1818509095488</c:v>
                </c:pt>
                <c:pt idx="812">
                  <c:v>-12.1933943011778</c:v>
                </c:pt>
                <c:pt idx="813">
                  <c:v>-12.2049377177697</c:v>
                </c:pt>
                <c:pt idx="814">
                  <c:v>-12.2164811593239</c:v>
                </c:pt>
                <c:pt idx="815">
                  <c:v>-12.2280246258402</c:v>
                </c:pt>
                <c:pt idx="816">
                  <c:v>-12.2395681173181</c:v>
                </c:pt>
                <c:pt idx="817">
                  <c:v>-12.2511116337573</c:v>
                </c:pt>
                <c:pt idx="818">
                  <c:v>-12.2626551751572</c:v>
                </c:pt>
                <c:pt idx="819">
                  <c:v>-12.2741987415177</c:v>
                </c:pt>
                <c:pt idx="820">
                  <c:v>-12.2857423328381</c:v>
                </c:pt>
                <c:pt idx="821">
                  <c:v>-12.2972859491182</c:v>
                </c:pt>
                <c:pt idx="822">
                  <c:v>-12.3088295903576</c:v>
                </c:pt>
                <c:pt idx="823">
                  <c:v>-12.3203732565558</c:v>
                </c:pt>
                <c:pt idx="824">
                  <c:v>-12.3319169477126</c:v>
                </c:pt>
                <c:pt idx="825">
                  <c:v>-12.3434606638273</c:v>
                </c:pt>
                <c:pt idx="826">
                  <c:v>-12.3550044048998</c:v>
                </c:pt>
                <c:pt idx="827">
                  <c:v>-12.3665481709295</c:v>
                </c:pt>
                <c:pt idx="828">
                  <c:v>-12.3780919619162</c:v>
                </c:pt>
                <c:pt idx="829">
                  <c:v>-12.3896357778593</c:v>
                </c:pt>
                <c:pt idx="830">
                  <c:v>-12.4011796187585</c:v>
                </c:pt>
                <c:pt idx="831">
                  <c:v>-12.4127234846135</c:v>
                </c:pt>
                <c:pt idx="832">
                  <c:v>-12.4242673754237</c:v>
                </c:pt>
                <c:pt idx="833">
                  <c:v>-12.4358112911889</c:v>
                </c:pt>
                <c:pt idx="834">
                  <c:v>-12.4473552319086</c:v>
                </c:pt>
                <c:pt idx="835">
                  <c:v>-12.4588991975824</c:v>
                </c:pt>
                <c:pt idx="836">
                  <c:v>-12.47044318821</c:v>
                </c:pt>
                <c:pt idx="837">
                  <c:v>-12.4819872037909</c:v>
                </c:pt>
                <c:pt idx="838">
                  <c:v>-12.4935312443247</c:v>
                </c:pt>
                <c:pt idx="839">
                  <c:v>-12.5050753098111</c:v>
                </c:pt>
                <c:pt idx="840">
                  <c:v>-12.5166194002496</c:v>
                </c:pt>
                <c:pt idx="841">
                  <c:v>-12.5281635156399</c:v>
                </c:pt>
                <c:pt idx="842">
                  <c:v>-12.5397076559816</c:v>
                </c:pt>
                <c:pt idx="843">
                  <c:v>-12.5512518212742</c:v>
                </c:pt>
                <c:pt idx="844">
                  <c:v>-12.5627960115174</c:v>
                </c:pt>
                <c:pt idx="845">
                  <c:v>-12.5743402267108</c:v>
                </c:pt>
                <c:pt idx="846">
                  <c:v>-12.585884466854</c:v>
                </c:pt>
                <c:pt idx="847">
                  <c:v>-12.5974287319466</c:v>
                </c:pt>
                <c:pt idx="848">
                  <c:v>-12.6089730219882</c:v>
                </c:pt>
                <c:pt idx="849">
                  <c:v>-12.6205173369784</c:v>
                </c:pt>
                <c:pt idx="850">
                  <c:v>-12.6320616769167</c:v>
                </c:pt>
                <c:pt idx="851">
                  <c:v>-12.643606041803</c:v>
                </c:pt>
                <c:pt idx="852">
                  <c:v>-12.6551504316366</c:v>
                </c:pt>
                <c:pt idx="853">
                  <c:v>-12.6666948464172</c:v>
                </c:pt>
                <c:pt idx="854">
                  <c:v>-12.6782392861445</c:v>
                </c:pt>
                <c:pt idx="855">
                  <c:v>-12.689783750818</c:v>
                </c:pt>
                <c:pt idx="856">
                  <c:v>-12.7013282404374</c:v>
                </c:pt>
                <c:pt idx="857">
                  <c:v>-12.7128727550022</c:v>
                </c:pt>
                <c:pt idx="858">
                  <c:v>-12.7244172945121</c:v>
                </c:pt>
                <c:pt idx="859">
                  <c:v>-12.7359618589666</c:v>
                </c:pt>
                <c:pt idx="860">
                  <c:v>-12.7475064483654</c:v>
                </c:pt>
                <c:pt idx="861">
                  <c:v>-12.759051062708</c:v>
                </c:pt>
                <c:pt idx="862">
                  <c:v>-12.7705957019942</c:v>
                </c:pt>
                <c:pt idx="863">
                  <c:v>-12.7821403662234</c:v>
                </c:pt>
                <c:pt idx="864">
                  <c:v>-12.7936850553953</c:v>
                </c:pt>
                <c:pt idx="865">
                  <c:v>-12.8052297695095</c:v>
                </c:pt>
                <c:pt idx="866">
                  <c:v>-12.8167745085655</c:v>
                </c:pt>
                <c:pt idx="867">
                  <c:v>-12.8283192725631</c:v>
                </c:pt>
                <c:pt idx="868">
                  <c:v>-12.8398640615018</c:v>
                </c:pt>
                <c:pt idx="869">
                  <c:v>-12.8514088753812</c:v>
                </c:pt>
                <c:pt idx="870">
                  <c:v>-12.862953714201</c:v>
                </c:pt>
                <c:pt idx="871">
                  <c:v>-12.8744985779606</c:v>
                </c:pt>
                <c:pt idx="872">
                  <c:v>-12.8860434666598</c:v>
                </c:pt>
                <c:pt idx="873">
                  <c:v>-12.8975883802981</c:v>
                </c:pt>
                <c:pt idx="874">
                  <c:v>-12.9091333188752</c:v>
                </c:pt>
                <c:pt idx="875">
                  <c:v>-12.9206782823906</c:v>
                </c:pt>
                <c:pt idx="876">
                  <c:v>-12.932223270844</c:v>
                </c:pt>
                <c:pt idx="877">
                  <c:v>-12.9437682842349</c:v>
                </c:pt>
                <c:pt idx="878">
                  <c:v>-12.955313322563</c:v>
                </c:pt>
                <c:pt idx="879">
                  <c:v>-12.9668583858278</c:v>
                </c:pt>
                <c:pt idx="880">
                  <c:v>-12.978403474029</c:v>
                </c:pt>
                <c:pt idx="881">
                  <c:v>-12.9899485871663</c:v>
                </c:pt>
                <c:pt idx="882">
                  <c:v>-13.001493725239</c:v>
                </c:pt>
                <c:pt idx="883">
                  <c:v>-13.013038888247</c:v>
                </c:pt>
                <c:pt idx="884">
                  <c:v>-13.0245840761898</c:v>
                </c:pt>
                <c:pt idx="885">
                  <c:v>-13.036129289067</c:v>
                </c:pt>
                <c:pt idx="886">
                  <c:v>-13.0476745268782</c:v>
                </c:pt>
                <c:pt idx="887">
                  <c:v>-13.059219789623</c:v>
                </c:pt>
                <c:pt idx="888">
                  <c:v>-13.070765077301</c:v>
                </c:pt>
                <c:pt idx="889">
                  <c:v>-13.0823103899119</c:v>
                </c:pt>
                <c:pt idx="890">
                  <c:v>-13.0938557274551</c:v>
                </c:pt>
                <c:pt idx="891">
                  <c:v>-13.1054010899305</c:v>
                </c:pt>
                <c:pt idx="892">
                  <c:v>-13.1169464773374</c:v>
                </c:pt>
                <c:pt idx="893">
                  <c:v>-13.1284918896756</c:v>
                </c:pt>
                <c:pt idx="894">
                  <c:v>-13.1400373269447</c:v>
                </c:pt>
                <c:pt idx="895">
                  <c:v>-13.1515827891442</c:v>
                </c:pt>
                <c:pt idx="896">
                  <c:v>-13.1631282762738</c:v>
                </c:pt>
                <c:pt idx="897">
                  <c:v>-13.174673788333</c:v>
                </c:pt>
                <c:pt idx="898">
                  <c:v>-13.1862193253215</c:v>
                </c:pt>
                <c:pt idx="899">
                  <c:v>-13.1977648872389</c:v>
                </c:pt>
                <c:pt idx="900">
                  <c:v>-13.2093104740848</c:v>
                </c:pt>
                <c:pt idx="901">
                  <c:v>-13.2208560858588</c:v>
                </c:pt>
                <c:pt idx="902">
                  <c:v>-13.2324017225605</c:v>
                </c:pt>
                <c:pt idx="903">
                  <c:v>-13.2439473841895</c:v>
                </c:pt>
                <c:pt idx="904">
                  <c:v>-13.2554930707453</c:v>
                </c:pt>
                <c:pt idx="905">
                  <c:v>-13.2670387822277</c:v>
                </c:pt>
                <c:pt idx="906">
                  <c:v>-13.2785845186363</c:v>
                </c:pt>
                <c:pt idx="907">
                  <c:v>-13.2901302799705</c:v>
                </c:pt>
                <c:pt idx="908">
                  <c:v>-13.3016760662301</c:v>
                </c:pt>
                <c:pt idx="909">
                  <c:v>-13.3132218774146</c:v>
                </c:pt>
                <c:pt idx="910">
                  <c:v>-13.3247677135237</c:v>
                </c:pt>
                <c:pt idx="911">
                  <c:v>-13.3363135745569</c:v>
                </c:pt>
                <c:pt idx="912">
                  <c:v>-13.3478594605138</c:v>
                </c:pt>
                <c:pt idx="913">
                  <c:v>-13.3594053713942</c:v>
                </c:pt>
                <c:pt idx="914">
                  <c:v>-13.3709513071975</c:v>
                </c:pt>
                <c:pt idx="915">
                  <c:v>-13.3824972679233</c:v>
                </c:pt>
                <c:pt idx="916">
                  <c:v>-13.3940432535714</c:v>
                </c:pt>
                <c:pt idx="917">
                  <c:v>-13.4055892641412</c:v>
                </c:pt>
                <c:pt idx="918">
                  <c:v>-13.4171352996324</c:v>
                </c:pt>
                <c:pt idx="919">
                  <c:v>-13.4286813600446</c:v>
                </c:pt>
                <c:pt idx="920">
                  <c:v>-13.4402274453774</c:v>
                </c:pt>
                <c:pt idx="921">
                  <c:v>-13.4517735556304</c:v>
                </c:pt>
                <c:pt idx="922">
                  <c:v>-13.4633196908032</c:v>
                </c:pt>
                <c:pt idx="923">
                  <c:v>-13.4748658508954</c:v>
                </c:pt>
                <c:pt idx="924">
                  <c:v>-13.4864120359067</c:v>
                </c:pt>
                <c:pt idx="925">
                  <c:v>-13.4979582458365</c:v>
                </c:pt>
                <c:pt idx="926">
                  <c:v>-13.5095044806847</c:v>
                </c:pt>
                <c:pt idx="927">
                  <c:v>-13.5210507404506</c:v>
                </c:pt>
                <c:pt idx="928">
                  <c:v>-13.532597025134</c:v>
                </c:pt>
                <c:pt idx="929">
                  <c:v>-13.5441433347344</c:v>
                </c:pt>
                <c:pt idx="930">
                  <c:v>-13.5556896692515</c:v>
                </c:pt>
                <c:pt idx="931">
                  <c:v>-13.5672360286849</c:v>
                </c:pt>
                <c:pt idx="932">
                  <c:v>-13.5787824130341</c:v>
                </c:pt>
                <c:pt idx="933">
                  <c:v>-13.5903288222988</c:v>
                </c:pt>
                <c:pt idx="934">
                  <c:v>-13.6018752564786</c:v>
                </c:pt>
                <c:pt idx="935">
                  <c:v>-13.6134217155731</c:v>
                </c:pt>
                <c:pt idx="936">
                  <c:v>-13.6249681995819</c:v>
                </c:pt>
                <c:pt idx="937">
                  <c:v>-13.6365147085045</c:v>
                </c:pt>
                <c:pt idx="938">
                  <c:v>-13.6480612423407</c:v>
                </c:pt>
                <c:pt idx="939">
                  <c:v>-13.6596078010899</c:v>
                </c:pt>
                <c:pt idx="940">
                  <c:v>-13.6711543847519</c:v>
                </c:pt>
                <c:pt idx="941">
                  <c:v>-13.6827009933262</c:v>
                </c:pt>
                <c:pt idx="942">
                  <c:v>-13.6942476268124</c:v>
                </c:pt>
                <c:pt idx="943">
                  <c:v>-13.7057942852102</c:v>
                </c:pt>
                <c:pt idx="944">
                  <c:v>-13.7173409685191</c:v>
                </c:pt>
                <c:pt idx="945">
                  <c:v>-13.7288876767387</c:v>
                </c:pt>
                <c:pt idx="946">
                  <c:v>-13.7404344098687</c:v>
                </c:pt>
                <c:pt idx="947">
                  <c:v>-13.7519811679086</c:v>
                </c:pt>
                <c:pt idx="948">
                  <c:v>-13.7635279508581</c:v>
                </c:pt>
                <c:pt idx="949">
                  <c:v>-13.7750747587168</c:v>
                </c:pt>
                <c:pt idx="950">
                  <c:v>-13.7866215914842</c:v>
                </c:pt>
                <c:pt idx="951">
                  <c:v>-13.79816844916</c:v>
                </c:pt>
                <c:pt idx="952">
                  <c:v>-13.8097153317438</c:v>
                </c:pt>
                <c:pt idx="953">
                  <c:v>-13.8212622392352</c:v>
                </c:pt>
                <c:pt idx="954">
                  <c:v>-13.8328091716338</c:v>
                </c:pt>
                <c:pt idx="955">
                  <c:v>-13.8443561289391</c:v>
                </c:pt>
                <c:pt idx="956">
                  <c:v>-13.8559031111509</c:v>
                </c:pt>
                <c:pt idx="957">
                  <c:v>-13.8674501182687</c:v>
                </c:pt>
                <c:pt idx="958">
                  <c:v>-13.8789971502921</c:v>
                </c:pt>
                <c:pt idx="959">
                  <c:v>-13.8905442072207</c:v>
                </c:pt>
                <c:pt idx="960">
                  <c:v>-13.9020912890542</c:v>
                </c:pt>
                <c:pt idx="961">
                  <c:v>-13.9136383957921</c:v>
                </c:pt>
                <c:pt idx="962">
                  <c:v>-13.925185527434</c:v>
                </c:pt>
                <c:pt idx="963">
                  <c:v>-13.9367326839796</c:v>
                </c:pt>
                <c:pt idx="964">
                  <c:v>-13.9482798654285</c:v>
                </c:pt>
                <c:pt idx="965">
                  <c:v>-13.9598270717801</c:v>
                </c:pt>
                <c:pt idx="966">
                  <c:v>-13.9713743030343</c:v>
                </c:pt>
                <c:pt idx="967">
                  <c:v>-13.9829215591905</c:v>
                </c:pt>
                <c:pt idx="968">
                  <c:v>-13.9944688402484</c:v>
                </c:pt>
                <c:pt idx="969">
                  <c:v>-14.0060161462076</c:v>
                </c:pt>
                <c:pt idx="970">
                  <c:v>-14.0175634770677</c:v>
                </c:pt>
                <c:pt idx="971">
                  <c:v>-14.0291108328283</c:v>
                </c:pt>
                <c:pt idx="972">
                  <c:v>-14.0406582134889</c:v>
                </c:pt>
                <c:pt idx="973">
                  <c:v>-14.0522056190493</c:v>
                </c:pt>
                <c:pt idx="974">
                  <c:v>-14.063753049509</c:v>
                </c:pt>
                <c:pt idx="975">
                  <c:v>-14.0753005048676</c:v>
                </c:pt>
                <c:pt idx="976">
                  <c:v>-14.0868479851247</c:v>
                </c:pt>
                <c:pt idx="977">
                  <c:v>-14.0983954902799</c:v>
                </c:pt>
                <c:pt idx="978">
                  <c:v>-14.1099430203329</c:v>
                </c:pt>
                <c:pt idx="979">
                  <c:v>-14.1214905752832</c:v>
                </c:pt>
                <c:pt idx="980">
                  <c:v>-14.1330381551305</c:v>
                </c:pt>
                <c:pt idx="981">
                  <c:v>-14.1445857598743</c:v>
                </c:pt>
                <c:pt idx="982">
                  <c:v>-14.1561333895143</c:v>
                </c:pt>
                <c:pt idx="983">
                  <c:v>-14.16768104405</c:v>
                </c:pt>
                <c:pt idx="984">
                  <c:v>-14.1792287234811</c:v>
                </c:pt>
                <c:pt idx="985">
                  <c:v>-14.1907764278072</c:v>
                </c:pt>
                <c:pt idx="986">
                  <c:v>-14.2023241570279</c:v>
                </c:pt>
                <c:pt idx="987">
                  <c:v>-14.2138719111427</c:v>
                </c:pt>
                <c:pt idx="988">
                  <c:v>-14.2254196901514</c:v>
                </c:pt>
                <c:pt idx="989">
                  <c:v>-14.2369674940534</c:v>
                </c:pt>
                <c:pt idx="990">
                  <c:v>-14.2485153228485</c:v>
                </c:pt>
                <c:pt idx="991">
                  <c:v>-14.2600631765361</c:v>
                </c:pt>
                <c:pt idx="992">
                  <c:v>-14.271611055116</c:v>
                </c:pt>
                <c:pt idx="993">
                  <c:v>-14.2831589585877</c:v>
                </c:pt>
                <c:pt idx="994">
                  <c:v>-14.2947068869509</c:v>
                </c:pt>
                <c:pt idx="995">
                  <c:v>-14.306254840205</c:v>
                </c:pt>
                <c:pt idx="996">
                  <c:v>-14.3178028183498</c:v>
                </c:pt>
                <c:pt idx="997">
                  <c:v>-14.3293508213849</c:v>
                </c:pt>
                <c:pt idx="998">
                  <c:v>-14.3408988493098</c:v>
                </c:pt>
                <c:pt idx="999">
                  <c:v>-14.3524469021241</c:v>
                </c:pt>
                <c:pt idx="1000">
                  <c:v>-14.3639949798276</c:v>
                </c:pt>
              </c:numCache>
            </c:numRef>
          </c:yVal>
          <c:smooth val="0"/>
        </c:ser>
        <c:axId val="20174586"/>
        <c:axId val="25677009"/>
      </c:scatterChart>
      <c:valAx>
        <c:axId val="20174586"/>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25677009"/>
        <c:crosses val="autoZero"/>
        <c:crossBetween val="midCat"/>
      </c:valAx>
      <c:valAx>
        <c:axId val="25677009"/>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1175" spc="-1" strike="noStrike">
                    <a:solidFill>
                      <a:srgbClr val="000000"/>
                    </a:solidFill>
                    <a:latin typeface="Arial"/>
                    <a:ea typeface="Arial"/>
                  </a:defRPr>
                </a:pPr>
                <a:r>
                  <a:rPr b="1" lang="fr-FR" sz="1175" spc="-1" strike="noStrike">
                    <a:solidFill>
                      <a:srgbClr val="000000"/>
                    </a:solidFill>
                    <a:latin typeface="Arial"/>
                    <a:ea typeface="Arial"/>
                  </a:rPr>
                  <a:t>Positions [m]</a:t>
                </a:r>
              </a:p>
            </c:rich>
          </c:tx>
          <c:layout>
            <c:manualLayout>
              <c:xMode val="edge"/>
              <c:yMode val="edge"/>
              <c:x val="0.0200388744909293"/>
              <c:y val="0.300518774703557"/>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20174586"/>
        <c:crosses val="autoZero"/>
        <c:crossBetween val="midCat"/>
      </c:valAx>
      <c:spPr>
        <a:noFill/>
        <a:ln w="12600">
          <a:solidFill>
            <a:srgbClr val="808080"/>
          </a:solidFill>
          <a:round/>
        </a:ln>
      </c:spPr>
    </c:plotArea>
    <c:legend>
      <c:legendPos val="r"/>
      <c:layout>
        <c:manualLayout>
          <c:xMode val="edge"/>
          <c:yMode val="edge"/>
          <c:x val="0.828616971227653"/>
          <c:y val="0.488889238845144"/>
          <c:w val="0.136792576635468"/>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Arial"/>
                <a:ea typeface="Arial"/>
              </a:defRPr>
            </a:pPr>
            <a:r>
              <a:rPr b="0" sz="1200" spc="-1" strike="noStrike">
                <a:solidFill>
                  <a:srgbClr val="000000"/>
                </a:solidFill>
                <a:latin typeface="Arial"/>
                <a:ea typeface="Arial"/>
              </a:rPr>
              <a:t>Pandora (Pro24-6G BS)</a:t>
            </a:r>
          </a:p>
        </c:rich>
      </c:tx>
      <c:layout>
        <c:manualLayout>
          <c:xMode val="edge"/>
          <c:yMode val="edge"/>
          <c:x val="0.471258355129323"/>
          <c:y val="0.0393250393250393"/>
        </c:manualLayout>
      </c:layout>
      <c:overlay val="0"/>
      <c:spPr>
        <a:noFill/>
        <a:ln w="0">
          <a:noFill/>
        </a:ln>
      </c:spPr>
    </c:title>
    <c:autoTitleDeleted val="0"/>
    <c:plotArea>
      <c:layout>
        <c:manualLayout>
          <c:layoutTarget val="inner"/>
          <c:xMode val="edge"/>
          <c:yMode val="edge"/>
          <c:x val="0.0724789305434467"/>
          <c:y val="0.0554840554840555"/>
          <c:w val="0.889683231618716"/>
          <c:h val="0.823823823823824"/>
        </c:manualLayout>
      </c:layout>
      <c:scatterChart>
        <c:scatterStyle val="lineMarker"/>
        <c:varyColors val="0"/>
        <c:ser>
          <c:idx val="0"/>
          <c:order val="0"/>
          <c:tx>
            <c:strRef>
              <c:f>Propu!$A$4</c:f>
              <c:strCache>
                <c:ptCount val="1"/>
                <c:pt idx="0">
                  <c:v>Poussée (en N)</c:v>
                </c:pt>
              </c:strCache>
            </c:strRef>
          </c:tx>
          <c:spPr>
            <a:solidFill>
              <a:srgbClr val="004586"/>
            </a:solidFill>
            <a:ln w="25560">
              <a:solidFill>
                <a:srgbClr val="004586"/>
              </a:solidFill>
              <a:round/>
            </a:ln>
          </c:spPr>
          <c:marker>
            <c:symbol val="square"/>
            <c:size val="4"/>
            <c:spPr>
              <a:solidFill>
                <a:srgbClr val="004586"/>
              </a:solidFill>
            </c:spPr>
          </c:marker>
          <c:dLbls>
            <c:txPr>
              <a:bodyPr wrap="square"/>
              <a:lstStyle/>
              <a:p>
                <a:pPr>
                  <a:defRPr b="0" sz="12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1280.62</c:v>
                </c:pt>
                <c:pt idx="9">
                  <c:v>1249.86</c:v>
                </c:pt>
                <c:pt idx="10">
                  <c:v>1217.94</c:v>
                </c:pt>
                <c:pt idx="11">
                  <c:v>1199.29</c:v>
                </c:pt>
                <c:pt idx="12">
                  <c:v>1158.77</c:v>
                </c:pt>
                <c:pt idx="13">
                  <c:v>1112.56</c:v>
                </c:pt>
                <c:pt idx="14">
                  <c:v>941.81</c:v>
                </c:pt>
                <c:pt idx="15">
                  <c:v>726.07</c:v>
                </c:pt>
                <c:pt idx="16">
                  <c:v>559.17</c:v>
                </c:pt>
                <c:pt idx="17">
                  <c:v>399.95</c:v>
                </c:pt>
                <c:pt idx="18">
                  <c:v>317.66</c:v>
                </c:pt>
                <c:pt idx="19">
                  <c:v>247.28</c:v>
                </c:pt>
                <c:pt idx="20">
                  <c:v>198.05</c:v>
                </c:pt>
                <c:pt idx="21">
                  <c:v>67.3</c:v>
                </c:pt>
                <c:pt idx="22">
                  <c:v>0</c:v>
                </c:pt>
              </c:numCache>
            </c:numRef>
          </c:yVal>
          <c:smooth val="0"/>
        </c:ser>
        <c:axId val="91769287"/>
        <c:axId val="95855027"/>
      </c:scatterChart>
      <c:valAx>
        <c:axId val="91769287"/>
        <c:scaling>
          <c:orientation val="minMax"/>
        </c:scaling>
        <c:delete val="0"/>
        <c:axPos val="b"/>
        <c:majorGridlines>
          <c:spPr>
            <a:ln w="3240">
              <a:solidFill>
                <a:srgbClr val="b3b3b3"/>
              </a:solidFill>
              <a:prstDash val="sysDash"/>
              <a:round/>
            </a:ln>
          </c:spPr>
        </c:majorGridlines>
        <c:title>
          <c:tx>
            <c:rich>
              <a:bodyPr rot="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Temps / Time [s]</a:t>
                </a:r>
              </a:p>
            </c:rich>
          </c:tx>
          <c:layout>
            <c:manualLayout>
              <c:xMode val="edge"/>
              <c:yMode val="edge"/>
              <c:x val="0.786689915722174"/>
              <c:y val="0.688545688545689"/>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95855027"/>
        <c:crosses val="autoZero"/>
        <c:crossBetween val="midCat"/>
      </c:valAx>
      <c:valAx>
        <c:axId val="95855027"/>
        <c:scaling>
          <c:orientation val="minMax"/>
        </c:scaling>
        <c:delete val="0"/>
        <c:axPos val="l"/>
        <c:majorGridlines>
          <c:spPr>
            <a:ln w="3240">
              <a:solidFill>
                <a:srgbClr val="b3b3b3"/>
              </a:solidFill>
              <a:prstDash val="sysDash"/>
              <a:round/>
            </a:ln>
          </c:spPr>
        </c:majorGridlines>
        <c:title>
          <c:tx>
            <c:rich>
              <a:bodyPr rot="-540000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Poussée / Thrust [N]</a:t>
                </a:r>
              </a:p>
            </c:rich>
          </c:tx>
          <c:layout>
            <c:manualLayout>
              <c:xMode val="edge"/>
              <c:yMode val="edge"/>
              <c:x val="0.0850915431560593"/>
              <c:y val="0.353067353067353"/>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91769287"/>
        <c:crosses val="autoZero"/>
        <c:crossBetween val="midCat"/>
      </c:valAx>
      <c:spPr>
        <a:noFill/>
        <a:ln w="3240">
          <a:solidFill>
            <a:srgbClr val="b3b3b3"/>
          </a:solidFill>
          <a:round/>
        </a:ln>
      </c:spPr>
    </c:plotArea>
    <c:plotVisOnly val="0"/>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xml"/><Relationship Id="rId4" Type="http://schemas.openxmlformats.org/officeDocument/2006/relationships/chart" Target="../charts/chart2.xm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6.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
</Relationships>
</file>

<file path=xl/drawings/_rels/drawing7.xml.rels><?xml version="1.0" encoding="UTF-8"?>
<Relationships xmlns="http://schemas.openxmlformats.org/package/2006/relationships"><Relationship Id="rId1" Type="http://schemas.openxmlformats.org/officeDocument/2006/relationships/image" Target="../media/image6.jpeg"/><Relationship Id="rId2" Type="http://schemas.openxmlformats.org/officeDocument/2006/relationships/image" Target="../media/image7.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25560</xdr:colOff>
      <xdr:row>1</xdr:row>
      <xdr:rowOff>25560</xdr:rowOff>
    </xdr:from>
    <xdr:to>
      <xdr:col>12</xdr:col>
      <xdr:colOff>488520</xdr:colOff>
      <xdr:row>1</xdr:row>
      <xdr:rowOff>139680</xdr:rowOff>
    </xdr:to>
    <xdr:grpSp>
      <xdr:nvGrpSpPr>
        <xdr:cNvPr id="0" name="Groupe 1"/>
        <xdr:cNvGrpSpPr/>
      </xdr:nvGrpSpPr>
      <xdr:grpSpPr>
        <a:xfrm>
          <a:off x="7799760" y="187560"/>
          <a:ext cx="462960" cy="114120"/>
          <a:chOff x="7799760" y="187560"/>
          <a:chExt cx="462960" cy="114120"/>
        </a:xfrm>
      </xdr:grpSpPr>
      <xdr:pic>
        <xdr:nvPicPr>
          <xdr:cNvPr id="1" name="Image 1" descr=""/>
          <xdr:cNvPicPr/>
        </xdr:nvPicPr>
        <xdr:blipFill>
          <a:blip r:embed="rId1"/>
          <a:stretch/>
        </xdr:blipFill>
        <xdr:spPr>
          <a:xfrm>
            <a:off x="7799760" y="187560"/>
            <a:ext cx="181080" cy="114120"/>
          </a:xfrm>
          <a:prstGeom prst="rect">
            <a:avLst/>
          </a:prstGeom>
          <a:ln w="9525">
            <a:noFill/>
          </a:ln>
        </xdr:spPr>
      </xdr:pic>
      <xdr:pic>
        <xdr:nvPicPr>
          <xdr:cNvPr id="2" name="Image 2" descr=""/>
          <xdr:cNvPicPr/>
        </xdr:nvPicPr>
        <xdr:blipFill>
          <a:blip r:embed="rId2"/>
          <a:stretch/>
        </xdr:blipFill>
        <xdr:spPr>
          <a:xfrm>
            <a:off x="8021160" y="187560"/>
            <a:ext cx="241560" cy="114120"/>
          </a:xfrm>
          <a:prstGeom prst="rect">
            <a:avLst/>
          </a:prstGeom>
          <a:ln w="9525">
            <a:noFill/>
          </a:ln>
        </xdr:spPr>
      </xdr:pic>
    </xdr:grpSp>
    <xdr:clientData/>
  </xdr:twoCellAnchor>
  <xdr:twoCellAnchor editAs="oneCell">
    <xdr:from>
      <xdr:col>4</xdr:col>
      <xdr:colOff>279360</xdr:colOff>
      <xdr:row>1</xdr:row>
      <xdr:rowOff>0</xdr:rowOff>
    </xdr:from>
    <xdr:to>
      <xdr:col>9</xdr:col>
      <xdr:colOff>375480</xdr:colOff>
      <xdr:row>23</xdr:row>
      <xdr:rowOff>161640</xdr:rowOff>
    </xdr:to>
    <xdr:graphicFrame>
      <xdr:nvGraphicFramePr>
        <xdr:cNvPr id="3" name="Graphique 9"/>
        <xdr:cNvGraphicFramePr/>
      </xdr:nvGraphicFramePr>
      <xdr:xfrm>
        <a:off x="3379320" y="162000"/>
        <a:ext cx="3040200" cy="3723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25</xdr:row>
      <xdr:rowOff>0</xdr:rowOff>
    </xdr:from>
    <xdr:to>
      <xdr:col>15</xdr:col>
      <xdr:colOff>610560</xdr:colOff>
      <xdr:row>34</xdr:row>
      <xdr:rowOff>161640</xdr:rowOff>
    </xdr:to>
    <xdr:graphicFrame>
      <xdr:nvGraphicFramePr>
        <xdr:cNvPr id="4" name="Graphique 19"/>
        <xdr:cNvGraphicFramePr/>
      </xdr:nvGraphicFramePr>
      <xdr:xfrm>
        <a:off x="6576120" y="4048200"/>
        <a:ext cx="3013920" cy="16189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974520</xdr:colOff>
      <xdr:row>4</xdr:row>
      <xdr:rowOff>151920</xdr:rowOff>
    </xdr:to>
    <xdr:pic>
      <xdr:nvPicPr>
        <xdr:cNvPr id="5" name="Picture 8" descr="logoplasci"/>
        <xdr:cNvPicPr/>
      </xdr:nvPicPr>
      <xdr:blipFill>
        <a:blip r:embed="rId5"/>
        <a:stretch/>
      </xdr:blipFill>
      <xdr:spPr>
        <a:xfrm>
          <a:off x="156240" y="162000"/>
          <a:ext cx="974520" cy="637560"/>
        </a:xfrm>
        <a:prstGeom prst="rect">
          <a:avLst/>
        </a:prstGeom>
        <a:ln w="9525">
          <a:noFill/>
        </a:ln>
      </xdr:spPr>
    </xdr:pic>
    <xdr:clientData/>
  </xdr:twoCellAnchor>
  <xdr:twoCellAnchor editAs="oneCell">
    <xdr:from>
      <xdr:col>1</xdr:col>
      <xdr:colOff>0</xdr:colOff>
      <xdr:row>37</xdr:row>
      <xdr:rowOff>0</xdr:rowOff>
    </xdr:from>
    <xdr:to>
      <xdr:col>2</xdr:col>
      <xdr:colOff>858240</xdr:colOff>
      <xdr:row>48</xdr:row>
      <xdr:rowOff>60120</xdr:rowOff>
    </xdr:to>
    <xdr:pic>
      <xdr:nvPicPr>
        <xdr:cNvPr id="6" name="Image 1" descr=""/>
        <xdr:cNvPicPr/>
      </xdr:nvPicPr>
      <xdr:blipFill>
        <a:blip r:embed="rId6"/>
        <a:stretch/>
      </xdr:blipFill>
      <xdr:spPr>
        <a:xfrm>
          <a:off x="156240" y="5991120"/>
          <a:ext cx="2001240" cy="1841400"/>
        </a:xfrm>
        <a:prstGeom prst="rect">
          <a:avLst/>
        </a:prstGeom>
        <a:ln w="9525">
          <a:noFill/>
        </a:ln>
      </xdr:spPr>
    </xdr:pic>
    <xdr:clientData/>
  </xdr:twoCellAnchor>
  <xdr:twoCellAnchor editAs="oneCell">
    <xdr:from>
      <xdr:col>18</xdr:col>
      <xdr:colOff>0</xdr:colOff>
      <xdr:row>3</xdr:row>
      <xdr:rowOff>12600</xdr:rowOff>
    </xdr:from>
    <xdr:to>
      <xdr:col>20</xdr:col>
      <xdr:colOff>555120</xdr:colOff>
      <xdr:row>9</xdr:row>
      <xdr:rowOff>19800</xdr:rowOff>
    </xdr:to>
    <xdr:pic>
      <xdr:nvPicPr>
        <xdr:cNvPr id="7" name="Image 2" descr=""/>
        <xdr:cNvPicPr/>
      </xdr:nvPicPr>
      <xdr:blipFill>
        <a:blip r:embed="rId7"/>
        <a:stretch/>
      </xdr:blipFill>
      <xdr:spPr>
        <a:xfrm>
          <a:off x="9902880" y="498240"/>
          <a:ext cx="2152800" cy="978840"/>
        </a:xfrm>
        <a:prstGeom prst="rect">
          <a:avLst/>
        </a:prstGeom>
        <a:ln w="9525">
          <a:noFill/>
        </a:ln>
      </xdr:spPr>
    </xdr:pic>
    <xdr:clientData/>
  </xdr:twoCellAnchor>
  <mc:AlternateContent xmlns:mc="http://schemas.openxmlformats.org/markup-compatibility/2006">
    <mc:Choice xmlns:a14="http://schemas.microsoft.com/office/drawing/2010/main" Requires="a14">
      <xdr:twoCellAnchor editAs="oneCell">
        <xdr:from>
          <xdr:col>3</xdr:col>
          <xdr:colOff>636840</xdr:colOff>
          <xdr:row>21</xdr:row>
          <xdr:rowOff>10800</xdr:rowOff>
        </xdr:from>
        <xdr:to>
          <xdr:col>4</xdr:col>
          <xdr:colOff>0</xdr:colOff>
          <xdr:row>22</xdr:row>
          <xdr:rowOff>0</xdr:rowOff>
        </xdr:to>
        <xdr:sp>
          <xdr:nvSpPr>
            <xdr:cNvPr id="0" name="Spinner 93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636840</xdr:colOff>
          <xdr:row>10</xdr:row>
          <xdr:rowOff>10800</xdr:rowOff>
        </xdr:from>
        <xdr:to>
          <xdr:col>3</xdr:col>
          <xdr:colOff>0</xdr:colOff>
          <xdr:row>11</xdr:row>
          <xdr:rowOff>0</xdr:rowOff>
        </xdr:to>
        <xdr:sp>
          <xdr:nvSpPr>
            <xdr:cNvPr id="0" name="Spinner 94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636840</xdr:colOff>
          <xdr:row>11</xdr:row>
          <xdr:rowOff>10800</xdr:rowOff>
        </xdr:from>
        <xdr:to>
          <xdr:col>3</xdr:col>
          <xdr:colOff>0</xdr:colOff>
          <xdr:row>12</xdr:row>
          <xdr:rowOff>0</xdr:rowOff>
        </xdr:to>
        <xdr:sp>
          <xdr:nvSpPr>
            <xdr:cNvPr id="0" name="Spinner 94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636840</xdr:colOff>
          <xdr:row>22</xdr:row>
          <xdr:rowOff>10800</xdr:rowOff>
        </xdr:from>
        <xdr:to>
          <xdr:col>4</xdr:col>
          <xdr:colOff>0</xdr:colOff>
          <xdr:row>23</xdr:row>
          <xdr:rowOff>0</xdr:rowOff>
        </xdr:to>
        <xdr:sp>
          <xdr:nvSpPr>
            <xdr:cNvPr id="0" name="Spinner 94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636840</xdr:colOff>
          <xdr:row>26</xdr:row>
          <xdr:rowOff>10800</xdr:rowOff>
        </xdr:from>
        <xdr:to>
          <xdr:col>3</xdr:col>
          <xdr:colOff>0</xdr:colOff>
          <xdr:row>27</xdr:row>
          <xdr:rowOff>0</xdr:rowOff>
        </xdr:to>
        <xdr:sp>
          <xdr:nvSpPr>
            <xdr:cNvPr id="0" name="Spinner 94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636840</xdr:colOff>
          <xdr:row>27</xdr:row>
          <xdr:rowOff>10800</xdr:rowOff>
        </xdr:from>
        <xdr:to>
          <xdr:col>3</xdr:col>
          <xdr:colOff>0</xdr:colOff>
          <xdr:row>28</xdr:row>
          <xdr:rowOff>0</xdr:rowOff>
        </xdr:to>
        <xdr:sp>
          <xdr:nvSpPr>
            <xdr:cNvPr id="0" name="Spinner 95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636840</xdr:colOff>
          <xdr:row>28</xdr:row>
          <xdr:rowOff>10800</xdr:rowOff>
        </xdr:from>
        <xdr:to>
          <xdr:col>3</xdr:col>
          <xdr:colOff>0</xdr:colOff>
          <xdr:row>29</xdr:row>
          <xdr:rowOff>0</xdr:rowOff>
        </xdr:to>
        <xdr:sp>
          <xdr:nvSpPr>
            <xdr:cNvPr id="0" name="Spinner 95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636840</xdr:colOff>
          <xdr:row>29</xdr:row>
          <xdr:rowOff>10800</xdr:rowOff>
        </xdr:from>
        <xdr:to>
          <xdr:col>3</xdr:col>
          <xdr:colOff>0</xdr:colOff>
          <xdr:row>30</xdr:row>
          <xdr:rowOff>0</xdr:rowOff>
        </xdr:to>
        <xdr:sp>
          <xdr:nvSpPr>
            <xdr:cNvPr id="0" name="Spinner 95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636840</xdr:colOff>
          <xdr:row>30</xdr:row>
          <xdr:rowOff>10800</xdr:rowOff>
        </xdr:from>
        <xdr:to>
          <xdr:col>3</xdr:col>
          <xdr:colOff>0</xdr:colOff>
          <xdr:row>31</xdr:row>
          <xdr:rowOff>0</xdr:rowOff>
        </xdr:to>
        <xdr:sp>
          <xdr:nvSpPr>
            <xdr:cNvPr id="0" name="Spinner 95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636840</xdr:colOff>
          <xdr:row>31</xdr:row>
          <xdr:rowOff>10800</xdr:rowOff>
        </xdr:from>
        <xdr:to>
          <xdr:col>3</xdr:col>
          <xdr:colOff>0</xdr:colOff>
          <xdr:row>32</xdr:row>
          <xdr:rowOff>0</xdr:rowOff>
        </xdr:to>
        <xdr:sp>
          <xdr:nvSpPr>
            <xdr:cNvPr id="0" name="Spinner 95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636840</xdr:colOff>
          <xdr:row>12</xdr:row>
          <xdr:rowOff>10800</xdr:rowOff>
        </xdr:from>
        <xdr:to>
          <xdr:col>4</xdr:col>
          <xdr:colOff>0</xdr:colOff>
          <xdr:row>13</xdr:row>
          <xdr:rowOff>0</xdr:rowOff>
        </xdr:to>
        <xdr:sp>
          <xdr:nvSpPr>
            <xdr:cNvPr id="0" name="Spinner 96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19</xdr:col>
          <xdr:colOff>0</xdr:colOff>
          <xdr:row>35</xdr:row>
          <xdr:rowOff>10800</xdr:rowOff>
        </xdr:from>
        <xdr:to>
          <xdr:col>20</xdr:col>
          <xdr:colOff>-798840</xdr:colOff>
          <xdr:row>36</xdr:row>
          <xdr:rowOff>0</xdr:rowOff>
        </xdr:to>
        <xdr:sp>
          <xdr:nvSpPr>
            <xdr:cNvPr id="0" name="Spinner 126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19</xdr:col>
          <xdr:colOff>0</xdr:colOff>
          <xdr:row>35</xdr:row>
          <xdr:rowOff>10800</xdr:rowOff>
        </xdr:from>
        <xdr:to>
          <xdr:col>20</xdr:col>
          <xdr:colOff>-798840</xdr:colOff>
          <xdr:row>36</xdr:row>
          <xdr:rowOff>0</xdr:rowOff>
        </xdr:to>
        <xdr:sp>
          <xdr:nvSpPr>
            <xdr:cNvPr id="0" name="Spinner 1268"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xdr:row>
      <xdr:rowOff>0</xdr:rowOff>
    </xdr:from>
    <xdr:to>
      <xdr:col>8</xdr:col>
      <xdr:colOff>759240</xdr:colOff>
      <xdr:row>19</xdr:row>
      <xdr:rowOff>161640</xdr:rowOff>
    </xdr:to>
    <xdr:graphicFrame>
      <xdr:nvGraphicFramePr>
        <xdr:cNvPr id="8" name="Graphique 1"/>
        <xdr:cNvGraphicFramePr/>
      </xdr:nvGraphicFramePr>
      <xdr:xfrm>
        <a:off x="3092400" y="162000"/>
        <a:ext cx="3319560" cy="3076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0</xdr:rowOff>
    </xdr:from>
    <xdr:to>
      <xdr:col>12</xdr:col>
      <xdr:colOff>758880</xdr:colOff>
      <xdr:row>19</xdr:row>
      <xdr:rowOff>161640</xdr:rowOff>
    </xdr:to>
    <xdr:graphicFrame>
      <xdr:nvGraphicFramePr>
        <xdr:cNvPr id="9" name="Graphique 2"/>
        <xdr:cNvGraphicFramePr/>
      </xdr:nvGraphicFramePr>
      <xdr:xfrm>
        <a:off x="6412320" y="162000"/>
        <a:ext cx="3037320" cy="3076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982080</xdr:colOff>
      <xdr:row>4</xdr:row>
      <xdr:rowOff>151920</xdr:rowOff>
    </xdr:to>
    <xdr:pic>
      <xdr:nvPicPr>
        <xdr:cNvPr id="10" name="Picture 8" descr="logoplasci"/>
        <xdr:cNvPicPr/>
      </xdr:nvPicPr>
      <xdr:blipFill>
        <a:blip r:embed="rId3"/>
        <a:stretch/>
      </xdr:blipFill>
      <xdr:spPr>
        <a:xfrm>
          <a:off x="156240" y="162000"/>
          <a:ext cx="982080" cy="637560"/>
        </a:xfrm>
        <a:prstGeom prst="rect">
          <a:avLst/>
        </a:prstGeom>
        <a:ln w="9525">
          <a:noFill/>
        </a:ln>
      </xdr:spPr>
    </xdr:pic>
    <xdr:clientData/>
  </xdr:twoCellAnchor>
  <xdr:twoCellAnchor editAs="twoCell">
    <xdr:from>
      <xdr:col>2</xdr:col>
      <xdr:colOff>139680</xdr:colOff>
      <xdr:row>38</xdr:row>
      <xdr:rowOff>120600</xdr:rowOff>
    </xdr:from>
    <xdr:to>
      <xdr:col>3</xdr:col>
      <xdr:colOff>691200</xdr:colOff>
      <xdr:row>45</xdr:row>
      <xdr:rowOff>161640</xdr:rowOff>
    </xdr:to>
    <xdr:grpSp>
      <xdr:nvGrpSpPr>
        <xdr:cNvPr id="11" name="Groupe 1"/>
        <xdr:cNvGrpSpPr/>
      </xdr:nvGrpSpPr>
      <xdr:grpSpPr>
        <a:xfrm>
          <a:off x="1438920" y="6283440"/>
          <a:ext cx="1350360" cy="1174320"/>
          <a:chOff x="1438920" y="6283440"/>
          <a:chExt cx="1350360" cy="1174320"/>
        </a:xfrm>
      </xdr:grpSpPr>
      <xdr:sp>
        <xdr:nvSpPr>
          <xdr:cNvPr id="12" name="Line 320"/>
          <xdr:cNvSpPr/>
        </xdr:nvSpPr>
        <xdr:spPr>
          <a:xfrm flipH="1">
            <a:off x="1544040" y="7164360"/>
            <a:ext cx="367920" cy="360"/>
          </a:xfrm>
          <a:prstGeom prst="line">
            <a:avLst/>
          </a:prstGeom>
          <a:ln w="9525">
            <a:solidFill>
              <a:srgbClr val="000000"/>
            </a:solidFill>
            <a:round/>
            <a:headEnd len="med" type="triangle" w="med"/>
            <a:tailEnd len="med" type="triangle" w="med"/>
          </a:ln>
        </xdr:spPr>
        <xdr:style>
          <a:lnRef idx="0"/>
          <a:fillRef idx="0"/>
          <a:effectRef idx="0"/>
          <a:fontRef idx="minor"/>
        </xdr:style>
      </xdr:sp>
      <xdr:sp>
        <xdr:nvSpPr>
          <xdr:cNvPr id="13" name="Rectangle 314"/>
          <xdr:cNvSpPr/>
        </xdr:nvSpPr>
        <xdr:spPr>
          <a:xfrm>
            <a:off x="1933200" y="6283440"/>
            <a:ext cx="504360" cy="1174320"/>
          </a:xfrm>
          <a:prstGeom prst="rect">
            <a:avLst/>
          </a:prstGeom>
          <a:solidFill>
            <a:srgbClr val="f2f2f2"/>
          </a:solidFill>
          <a:ln w="9525">
            <a:solidFill>
              <a:srgbClr val="000000"/>
            </a:solidFill>
            <a:miter/>
          </a:ln>
        </xdr:spPr>
        <xdr:style>
          <a:lnRef idx="0"/>
          <a:fillRef idx="0"/>
          <a:effectRef idx="0"/>
          <a:fontRef idx="minor"/>
        </xdr:style>
      </xdr:sp>
      <xdr:sp>
        <xdr:nvSpPr>
          <xdr:cNvPr id="14" name="Rectangle 315"/>
          <xdr:cNvSpPr/>
        </xdr:nvSpPr>
        <xdr:spPr>
          <a:xfrm rot="16200000">
            <a:off x="1938240" y="6262560"/>
            <a:ext cx="505080" cy="1197000"/>
          </a:xfrm>
          <a:prstGeom prst="rect">
            <a:avLst/>
          </a:prstGeom>
          <a:solidFill>
            <a:srgbClr val="f2f2f2"/>
          </a:solidFill>
          <a:ln w="9525">
            <a:solidFill>
              <a:srgbClr val="000000"/>
            </a:solidFill>
            <a:miter/>
          </a:ln>
        </xdr:spPr>
        <xdr:style>
          <a:lnRef idx="0"/>
          <a:fillRef idx="0"/>
          <a:effectRef idx="0"/>
          <a:fontRef idx="minor"/>
        </xdr:style>
      </xdr:sp>
      <xdr:sp>
        <xdr:nvSpPr>
          <xdr:cNvPr id="15" name="Line 316"/>
          <xdr:cNvSpPr/>
        </xdr:nvSpPr>
        <xdr:spPr>
          <a:xfrm>
            <a:off x="1933200" y="6616080"/>
            <a:ext cx="360" cy="479520"/>
          </a:xfrm>
          <a:prstGeom prst="line">
            <a:avLst/>
          </a:prstGeom>
          <a:ln w="9525">
            <a:solidFill>
              <a:srgbClr val="000000"/>
            </a:solidFill>
            <a:round/>
          </a:ln>
        </xdr:spPr>
        <xdr:style>
          <a:lnRef idx="0"/>
          <a:fillRef idx="0"/>
          <a:effectRef idx="0"/>
          <a:fontRef idx="minor"/>
        </xdr:style>
      </xdr:sp>
      <xdr:sp>
        <xdr:nvSpPr>
          <xdr:cNvPr id="16" name="Line 317"/>
          <xdr:cNvSpPr/>
        </xdr:nvSpPr>
        <xdr:spPr>
          <a:xfrm>
            <a:off x="2434680" y="6616080"/>
            <a:ext cx="360" cy="479520"/>
          </a:xfrm>
          <a:prstGeom prst="line">
            <a:avLst/>
          </a:prstGeom>
          <a:ln w="9525">
            <a:solidFill>
              <a:srgbClr val="000000"/>
            </a:solidFill>
            <a:round/>
          </a:ln>
        </xdr:spPr>
        <xdr:style>
          <a:lnRef idx="0"/>
          <a:fillRef idx="0"/>
          <a:effectRef idx="0"/>
          <a:fontRef idx="minor"/>
        </xdr:style>
      </xdr:sp>
      <xdr:sp>
        <xdr:nvSpPr>
          <xdr:cNvPr id="17" name="Line 319"/>
          <xdr:cNvSpPr/>
        </xdr:nvSpPr>
        <xdr:spPr>
          <a:xfrm>
            <a:off x="1438920" y="6616080"/>
            <a:ext cx="360" cy="479520"/>
          </a:xfrm>
          <a:prstGeom prst="line">
            <a:avLst/>
          </a:prstGeom>
          <a:ln w="9525">
            <a:solidFill>
              <a:srgbClr val="000000"/>
            </a:solidFill>
            <a:round/>
            <a:headEnd len="med" type="triangle" w="med"/>
            <a:tailEnd len="med" type="triangle" w="med"/>
          </a:ln>
        </xdr:spPr>
        <xdr:style>
          <a:lnRef idx="0"/>
          <a:fillRef idx="0"/>
          <a:effectRef idx="0"/>
          <a:fontRef idx="minor"/>
        </xdr:style>
      </xdr:sp>
    </xdr:grpSp>
    <xdr:clientData/>
  </xdr:twoCellAnchor>
  <xdr:twoCellAnchor editAs="twoCell">
    <xdr:from>
      <xdr:col>2</xdr:col>
      <xdr:colOff>260280</xdr:colOff>
      <xdr:row>49</xdr:row>
      <xdr:rowOff>19080</xdr:rowOff>
    </xdr:from>
    <xdr:to>
      <xdr:col>3</xdr:col>
      <xdr:colOff>514080</xdr:colOff>
      <xdr:row>54</xdr:row>
      <xdr:rowOff>120240</xdr:rowOff>
    </xdr:to>
    <xdr:sp>
      <xdr:nvSpPr>
        <xdr:cNvPr id="18" name="Oval 323"/>
        <xdr:cNvSpPr/>
      </xdr:nvSpPr>
      <xdr:spPr>
        <a:xfrm>
          <a:off x="1559520" y="7962840"/>
          <a:ext cx="1052640" cy="910800"/>
        </a:xfrm>
        <a:prstGeom prst="ellipse">
          <a:avLst/>
        </a:prstGeom>
        <a:solidFill>
          <a:srgbClr val="f2f2f2"/>
        </a:solidFill>
        <a:ln w="9525">
          <a:solidFill>
            <a:srgbClr val="000000"/>
          </a:solidFill>
          <a:round/>
        </a:ln>
      </xdr:spPr>
      <xdr:style>
        <a:lnRef idx="0"/>
        <a:fillRef idx="0"/>
        <a:effectRef idx="0"/>
        <a:fontRef idx="minor"/>
      </xdr:style>
    </xdr:sp>
    <xdr:clientData/>
  </xdr:twoCellAnchor>
  <xdr:twoCellAnchor editAs="twoCell">
    <xdr:from>
      <xdr:col>2</xdr:col>
      <xdr:colOff>698400</xdr:colOff>
      <xdr:row>51</xdr:row>
      <xdr:rowOff>57240</xdr:rowOff>
    </xdr:from>
    <xdr:to>
      <xdr:col>3</xdr:col>
      <xdr:colOff>88560</xdr:colOff>
      <xdr:row>52</xdr:row>
      <xdr:rowOff>75960</xdr:rowOff>
    </xdr:to>
    <xdr:sp>
      <xdr:nvSpPr>
        <xdr:cNvPr id="19" name="Oval 323"/>
        <xdr:cNvSpPr/>
      </xdr:nvSpPr>
      <xdr:spPr>
        <a:xfrm>
          <a:off x="1997640" y="8325000"/>
          <a:ext cx="189000" cy="1807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3</xdr:col>
      <xdr:colOff>0</xdr:colOff>
      <xdr:row>49</xdr:row>
      <xdr:rowOff>18720</xdr:rowOff>
    </xdr:from>
    <xdr:to>
      <xdr:col>3</xdr:col>
      <xdr:colOff>0</xdr:colOff>
      <xdr:row>51</xdr:row>
      <xdr:rowOff>145800</xdr:rowOff>
    </xdr:to>
    <xdr:sp>
      <xdr:nvSpPr>
        <xdr:cNvPr id="20" name="Line 324"/>
        <xdr:cNvSpPr/>
      </xdr:nvSpPr>
      <xdr:spPr>
        <a:xfrm>
          <a:off x="2098080" y="7962480"/>
          <a:ext cx="0" cy="451080"/>
        </a:xfrm>
        <a:prstGeom prst="line">
          <a:avLst/>
        </a:prstGeom>
        <a:ln w="9525">
          <a:solidFill>
            <a:srgbClr val="000000"/>
          </a:solidFill>
          <a:round/>
          <a:headEnd len="med" type="triangle" w="med"/>
          <a:tailEnd len="med" type="triangle" w="med"/>
        </a:ln>
      </xdr:spPr>
      <xdr:style>
        <a:lnRef idx="0"/>
        <a:fillRef idx="0"/>
        <a:effectRef idx="0"/>
        <a:fontRef idx="minor"/>
      </xdr:style>
    </xdr:sp>
    <xdr:clientData/>
  </xdr:twoCellAnchor>
  <xdr:twoCellAnchor editAs="twoCell">
    <xdr:from>
      <xdr:col>3</xdr:col>
      <xdr:colOff>0</xdr:colOff>
      <xdr:row>51</xdr:row>
      <xdr:rowOff>145800</xdr:rowOff>
    </xdr:from>
    <xdr:to>
      <xdr:col>3</xdr:col>
      <xdr:colOff>0</xdr:colOff>
      <xdr:row>52</xdr:row>
      <xdr:rowOff>88560</xdr:rowOff>
    </xdr:to>
    <xdr:sp>
      <xdr:nvSpPr>
        <xdr:cNvPr id="21" name="Line 324"/>
        <xdr:cNvSpPr/>
      </xdr:nvSpPr>
      <xdr:spPr>
        <a:xfrm>
          <a:off x="2098080" y="8413560"/>
          <a:ext cx="0" cy="104760"/>
        </a:xfrm>
        <a:prstGeom prst="line">
          <a:avLst/>
        </a:prstGeom>
        <a:ln w="9525">
          <a:solidFill>
            <a:srgbClr val="000000"/>
          </a:solidFill>
          <a:round/>
          <a:headEnd len="sm" type="triangle" w="sm"/>
          <a:tailEnd len="sm" type="triangle" w="sm"/>
        </a:ln>
      </xdr:spPr>
      <xdr:style>
        <a:lnRef idx="0"/>
        <a:fillRef idx="0"/>
        <a:effectRef idx="0"/>
        <a:fontRef idx="minor"/>
      </xdr:style>
    </xdr:sp>
    <xdr:clientData/>
  </xdr:twoCellAnchor>
  <mc:AlternateContent xmlns:mc="http://schemas.openxmlformats.org/markup-compatibility/2006">
    <mc:Choice xmlns:a14="http://schemas.microsoft.com/office/drawing/2010/main" Requires="a14">
      <xdr:twoCellAnchor editAs="oneCell">
        <xdr:from>
          <xdr:col>3</xdr:col>
          <xdr:colOff>448200</xdr:colOff>
          <xdr:row>9</xdr:row>
          <xdr:rowOff>10800</xdr:rowOff>
        </xdr:from>
        <xdr:to>
          <xdr:col>4</xdr:col>
          <xdr:colOff>-203040</xdr:colOff>
          <xdr:row>10</xdr:row>
          <xdr:rowOff>0</xdr:rowOff>
        </xdr:to>
        <xdr:sp>
          <xdr:nvSpPr>
            <xdr:cNvPr id="0" name="Spinner 106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843840</xdr:colOff>
          <xdr:row>42</xdr:row>
          <xdr:rowOff>10800</xdr:rowOff>
        </xdr:from>
        <xdr:to>
          <xdr:col>2</xdr:col>
          <xdr:colOff>0</xdr:colOff>
          <xdr:row>43</xdr:row>
          <xdr:rowOff>0</xdr:rowOff>
        </xdr:to>
        <xdr:sp>
          <xdr:nvSpPr>
            <xdr:cNvPr id="0" name="Spinner 122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843840</xdr:colOff>
          <xdr:row>44</xdr:row>
          <xdr:rowOff>10800</xdr:rowOff>
        </xdr:from>
        <xdr:to>
          <xdr:col>2</xdr:col>
          <xdr:colOff>0</xdr:colOff>
          <xdr:row>45</xdr:row>
          <xdr:rowOff>0</xdr:rowOff>
        </xdr:to>
        <xdr:sp>
          <xdr:nvSpPr>
            <xdr:cNvPr id="0" name="Spinner 123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843840</xdr:colOff>
          <xdr:row>50</xdr:row>
          <xdr:rowOff>10800</xdr:rowOff>
        </xdr:from>
        <xdr:to>
          <xdr:col>2</xdr:col>
          <xdr:colOff>0</xdr:colOff>
          <xdr:row>51</xdr:row>
          <xdr:rowOff>0</xdr:rowOff>
        </xdr:to>
        <xdr:sp>
          <xdr:nvSpPr>
            <xdr:cNvPr id="0" name="Spinner 123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843840</xdr:colOff>
          <xdr:row>52</xdr:row>
          <xdr:rowOff>10800</xdr:rowOff>
        </xdr:from>
        <xdr:to>
          <xdr:col>2</xdr:col>
          <xdr:colOff>0</xdr:colOff>
          <xdr:row>53</xdr:row>
          <xdr:rowOff>0</xdr:rowOff>
        </xdr:to>
        <xdr:sp>
          <xdr:nvSpPr>
            <xdr:cNvPr id="0" name="Spinner 2502"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165240</xdr:colOff>
      <xdr:row>1</xdr:row>
      <xdr:rowOff>0</xdr:rowOff>
    </xdr:from>
    <xdr:to>
      <xdr:col>10</xdr:col>
      <xdr:colOff>622080</xdr:colOff>
      <xdr:row>18</xdr:row>
      <xdr:rowOff>161640</xdr:rowOff>
    </xdr:to>
    <xdr:graphicFrame>
      <xdr:nvGraphicFramePr>
        <xdr:cNvPr id="22" name="Graphique 1"/>
        <xdr:cNvGraphicFramePr/>
      </xdr:nvGraphicFramePr>
      <xdr:xfrm>
        <a:off x="165240" y="162000"/>
        <a:ext cx="7778520" cy="291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165240</xdr:colOff>
      <xdr:row>37</xdr:row>
      <xdr:rowOff>0</xdr:rowOff>
    </xdr:from>
    <xdr:to>
      <xdr:col>10</xdr:col>
      <xdr:colOff>622080</xdr:colOff>
      <xdr:row>54</xdr:row>
      <xdr:rowOff>161640</xdr:rowOff>
    </xdr:to>
    <xdr:graphicFrame>
      <xdr:nvGraphicFramePr>
        <xdr:cNvPr id="23" name="Graphique 2"/>
        <xdr:cNvGraphicFramePr/>
      </xdr:nvGraphicFramePr>
      <xdr:xfrm>
        <a:off x="165240" y="5991120"/>
        <a:ext cx="7778520" cy="29145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165240</xdr:colOff>
      <xdr:row>19</xdr:row>
      <xdr:rowOff>0</xdr:rowOff>
    </xdr:from>
    <xdr:to>
      <xdr:col>10</xdr:col>
      <xdr:colOff>622080</xdr:colOff>
      <xdr:row>36</xdr:row>
      <xdr:rowOff>161280</xdr:rowOff>
    </xdr:to>
    <xdr:graphicFrame>
      <xdr:nvGraphicFramePr>
        <xdr:cNvPr id="24" name="Graphique 3"/>
        <xdr:cNvGraphicFramePr/>
      </xdr:nvGraphicFramePr>
      <xdr:xfrm>
        <a:off x="165240" y="3076560"/>
        <a:ext cx="7778520" cy="2914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165240</xdr:colOff>
      <xdr:row>55</xdr:row>
      <xdr:rowOff>0</xdr:rowOff>
    </xdr:from>
    <xdr:to>
      <xdr:col>10</xdr:col>
      <xdr:colOff>622080</xdr:colOff>
      <xdr:row>72</xdr:row>
      <xdr:rowOff>161640</xdr:rowOff>
    </xdr:to>
    <xdr:graphicFrame>
      <xdr:nvGraphicFramePr>
        <xdr:cNvPr id="25" name="Graphique 4"/>
        <xdr:cNvGraphicFramePr/>
      </xdr:nvGraphicFramePr>
      <xdr:xfrm>
        <a:off x="165240" y="8906040"/>
        <a:ext cx="7778520" cy="2914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12600</xdr:colOff>
      <xdr:row>4</xdr:row>
      <xdr:rowOff>44280</xdr:rowOff>
    </xdr:from>
    <xdr:to>
      <xdr:col>7</xdr:col>
      <xdr:colOff>215280</xdr:colOff>
      <xdr:row>19</xdr:row>
      <xdr:rowOff>132840</xdr:rowOff>
    </xdr:to>
    <xdr:graphicFrame>
      <xdr:nvGraphicFramePr>
        <xdr:cNvPr id="26" name="Graphique 1"/>
        <xdr:cNvGraphicFramePr/>
      </xdr:nvGraphicFramePr>
      <xdr:xfrm>
        <a:off x="12600" y="720720"/>
        <a:ext cx="6193440" cy="251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272880</xdr:colOff>
      <xdr:row>1008</xdr:row>
      <xdr:rowOff>145800</xdr:rowOff>
    </xdr:from>
    <xdr:to>
      <xdr:col>16</xdr:col>
      <xdr:colOff>152280</xdr:colOff>
      <xdr:row>1010</xdr:row>
      <xdr:rowOff>82440</xdr:rowOff>
    </xdr:to>
    <xdr:sp>
      <xdr:nvSpPr>
        <xdr:cNvPr id="27" name="Line 60"/>
        <xdr:cNvSpPr/>
      </xdr:nvSpPr>
      <xdr:spPr>
        <a:xfrm flipH="1">
          <a:off x="5816520" y="163375560"/>
          <a:ext cx="1108800" cy="26064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1011</xdr:row>
      <xdr:rowOff>95040</xdr:rowOff>
    </xdr:from>
    <xdr:to>
      <xdr:col>17</xdr:col>
      <xdr:colOff>349200</xdr:colOff>
      <xdr:row>1013</xdr:row>
      <xdr:rowOff>139680</xdr:rowOff>
    </xdr:to>
    <xdr:sp>
      <xdr:nvSpPr>
        <xdr:cNvPr id="28" name="Line 71"/>
        <xdr:cNvSpPr/>
      </xdr:nvSpPr>
      <xdr:spPr>
        <a:xfrm flipH="1" flipV="1">
          <a:off x="5823000" y="163810800"/>
          <a:ext cx="1910160" cy="36828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1012</xdr:row>
      <xdr:rowOff>139680</xdr:rowOff>
    </xdr:from>
    <xdr:to>
      <xdr:col>17</xdr:col>
      <xdr:colOff>349200</xdr:colOff>
      <xdr:row>1015</xdr:row>
      <xdr:rowOff>25200</xdr:rowOff>
    </xdr:to>
    <xdr:sp>
      <xdr:nvSpPr>
        <xdr:cNvPr id="29" name="Line 71"/>
        <xdr:cNvSpPr/>
      </xdr:nvSpPr>
      <xdr:spPr>
        <a:xfrm flipH="1" flipV="1">
          <a:off x="5823000" y="164017440"/>
          <a:ext cx="1910160" cy="371160"/>
        </a:xfrm>
        <a:prstGeom prst="line">
          <a:avLst/>
        </a:prstGeom>
        <a:ln w="9525">
          <a:solidFill>
            <a:srgbClr val="000000"/>
          </a:solidFill>
          <a:round/>
          <a:tailEnd len="med" type="triangle" w="med"/>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983880</xdr:colOff>
      <xdr:row>4</xdr:row>
      <xdr:rowOff>151920</xdr:rowOff>
    </xdr:to>
    <xdr:pic>
      <xdr:nvPicPr>
        <xdr:cNvPr id="30" name="Picture 8" descr="logoplasci"/>
        <xdr:cNvPicPr/>
      </xdr:nvPicPr>
      <xdr:blipFill>
        <a:blip r:embed="rId1"/>
        <a:stretch/>
      </xdr:blipFill>
      <xdr:spPr>
        <a:xfrm>
          <a:off x="156240" y="162000"/>
          <a:ext cx="983880" cy="637560"/>
        </a:xfrm>
        <a:prstGeom prst="rect">
          <a:avLst/>
        </a:prstGeom>
        <a:ln w="9525">
          <a:noFill/>
        </a:ln>
      </xdr:spPr>
    </xdr:pic>
    <xdr:clientData/>
  </xdr:twoCellAnchor>
  <xdr:twoCellAnchor editAs="oneCell">
    <xdr:from>
      <xdr:col>6</xdr:col>
      <xdr:colOff>450720</xdr:colOff>
      <xdr:row>0</xdr:row>
      <xdr:rowOff>120600</xdr:rowOff>
    </xdr:from>
    <xdr:to>
      <xdr:col>12</xdr:col>
      <xdr:colOff>450360</xdr:colOff>
      <xdr:row>17</xdr:row>
      <xdr:rowOff>24840</xdr:rowOff>
    </xdr:to>
    <xdr:graphicFrame>
      <xdr:nvGraphicFramePr>
        <xdr:cNvPr id="31" name="Graphique 2"/>
        <xdr:cNvGraphicFramePr/>
      </xdr:nvGraphicFramePr>
      <xdr:xfrm>
        <a:off x="4811760" y="120600"/>
        <a:ext cx="4392720" cy="2714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450720</xdr:colOff>
      <xdr:row>17</xdr:row>
      <xdr:rowOff>25560</xdr:rowOff>
    </xdr:from>
    <xdr:to>
      <xdr:col>12</xdr:col>
      <xdr:colOff>450360</xdr:colOff>
      <xdr:row>34</xdr:row>
      <xdr:rowOff>18720</xdr:rowOff>
    </xdr:to>
    <xdr:graphicFrame>
      <xdr:nvGraphicFramePr>
        <xdr:cNvPr id="32" name="Graphique 2"/>
        <xdr:cNvGraphicFramePr/>
      </xdr:nvGraphicFramePr>
      <xdr:xfrm>
        <a:off x="4811760" y="2835360"/>
        <a:ext cx="4392720" cy="27460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12600</xdr:colOff>
      <xdr:row>17</xdr:row>
      <xdr:rowOff>25560</xdr:rowOff>
    </xdr:from>
    <xdr:to>
      <xdr:col>6</xdr:col>
      <xdr:colOff>450360</xdr:colOff>
      <xdr:row>34</xdr:row>
      <xdr:rowOff>18720</xdr:rowOff>
    </xdr:to>
    <xdr:graphicFrame>
      <xdr:nvGraphicFramePr>
        <xdr:cNvPr id="33" name="Graphique 2"/>
        <xdr:cNvGraphicFramePr/>
      </xdr:nvGraphicFramePr>
      <xdr:xfrm>
        <a:off x="168840" y="2835360"/>
        <a:ext cx="4642560" cy="27460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448200</xdr:colOff>
          <xdr:row>9</xdr:row>
          <xdr:rowOff>68040</xdr:rowOff>
        </xdr:from>
        <xdr:to>
          <xdr:col>4</xdr:col>
          <xdr:colOff>-203040</xdr:colOff>
          <xdr:row>10</xdr:row>
          <xdr:rowOff>57240</xdr:rowOff>
        </xdr:to>
        <xdr:sp>
          <xdr:nvSpPr>
            <xdr:cNvPr id="0" name="Spinner 3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448200</xdr:colOff>
          <xdr:row>10</xdr:row>
          <xdr:rowOff>68040</xdr:rowOff>
        </xdr:from>
        <xdr:to>
          <xdr:col>4</xdr:col>
          <xdr:colOff>-203040</xdr:colOff>
          <xdr:row>11</xdr:row>
          <xdr:rowOff>56880</xdr:rowOff>
        </xdr:to>
        <xdr:sp>
          <xdr:nvSpPr>
            <xdr:cNvPr id="0" name="Spinner 170"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69840</xdr:colOff>
      <xdr:row>33</xdr:row>
      <xdr:rowOff>25560</xdr:rowOff>
    </xdr:from>
    <xdr:to>
      <xdr:col>2</xdr:col>
      <xdr:colOff>19800</xdr:colOff>
      <xdr:row>44</xdr:row>
      <xdr:rowOff>18720</xdr:rowOff>
    </xdr:to>
    <xdr:pic>
      <xdr:nvPicPr>
        <xdr:cNvPr id="34" name="Image 1" descr=""/>
        <xdr:cNvPicPr/>
      </xdr:nvPicPr>
      <xdr:blipFill>
        <a:blip r:embed="rId1"/>
        <a:stretch/>
      </xdr:blipFill>
      <xdr:spPr>
        <a:xfrm>
          <a:off x="69840" y="5369040"/>
          <a:ext cx="1249200" cy="1774440"/>
        </a:xfrm>
        <a:prstGeom prst="rect">
          <a:avLst/>
        </a:prstGeom>
        <a:ln w="9525">
          <a:noFill/>
        </a:ln>
      </xdr:spPr>
    </xdr:pic>
    <xdr:clientData/>
  </xdr:twoCellAnchor>
  <xdr:twoCellAnchor editAs="oneCell">
    <xdr:from>
      <xdr:col>1</xdr:col>
      <xdr:colOff>1123920</xdr:colOff>
      <xdr:row>53</xdr:row>
      <xdr:rowOff>44280</xdr:rowOff>
    </xdr:from>
    <xdr:to>
      <xdr:col>10</xdr:col>
      <xdr:colOff>609120</xdr:colOff>
      <xdr:row>81</xdr:row>
      <xdr:rowOff>17280</xdr:rowOff>
    </xdr:to>
    <xdr:pic>
      <xdr:nvPicPr>
        <xdr:cNvPr id="35" name="Image 2" descr=""/>
        <xdr:cNvPicPr/>
      </xdr:nvPicPr>
      <xdr:blipFill>
        <a:blip r:embed="rId2"/>
        <a:stretch/>
      </xdr:blipFill>
      <xdr:spPr>
        <a:xfrm>
          <a:off x="1280160" y="8626320"/>
          <a:ext cx="6947640" cy="4506840"/>
        </a:xfrm>
        <a:prstGeom prst="rect">
          <a:avLst/>
        </a:prstGeom>
        <a:ln w="9525">
          <a:noFill/>
        </a:ln>
      </xdr:spPr>
    </xdr:pic>
    <xdr:clientData/>
  </xdr:twoCellAnchor>
  <xdr:twoCellAnchor editAs="oneCell">
    <xdr:from>
      <xdr:col>1</xdr:col>
      <xdr:colOff>0</xdr:colOff>
      <xdr:row>1</xdr:row>
      <xdr:rowOff>0</xdr:rowOff>
    </xdr:from>
    <xdr:to>
      <xdr:col>1</xdr:col>
      <xdr:colOff>979920</xdr:colOff>
      <xdr:row>4</xdr:row>
      <xdr:rowOff>151920</xdr:rowOff>
    </xdr:to>
    <xdr:pic>
      <xdr:nvPicPr>
        <xdr:cNvPr id="36" name="Picture 8" descr="logoplasci"/>
        <xdr:cNvPicPr/>
      </xdr:nvPicPr>
      <xdr:blipFill>
        <a:blip r:embed="rId3"/>
        <a:stretch/>
      </xdr:blipFill>
      <xdr:spPr>
        <a:xfrm>
          <a:off x="156240" y="162000"/>
          <a:ext cx="979920" cy="637560"/>
        </a:xfrm>
        <a:prstGeom prst="rect">
          <a:avLst/>
        </a:prstGeom>
        <a:ln w="9525">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69840</xdr:colOff>
      <xdr:row>80</xdr:row>
      <xdr:rowOff>12600</xdr:rowOff>
    </xdr:from>
    <xdr:to>
      <xdr:col>7</xdr:col>
      <xdr:colOff>477720</xdr:colOff>
      <xdr:row>102</xdr:row>
      <xdr:rowOff>107640</xdr:rowOff>
    </xdr:to>
    <xdr:grpSp>
      <xdr:nvGrpSpPr>
        <xdr:cNvPr id="37" name="Group 232"/>
        <xdr:cNvGrpSpPr/>
      </xdr:nvGrpSpPr>
      <xdr:grpSpPr>
        <a:xfrm>
          <a:off x="4399920" y="13214160"/>
          <a:ext cx="2287440" cy="3752640"/>
          <a:chOff x="4399920" y="13214160"/>
          <a:chExt cx="2287440" cy="3752640"/>
        </a:xfrm>
      </xdr:grpSpPr>
      <xdr:grpSp>
        <xdr:nvGrpSpPr>
          <xdr:cNvPr id="38" name="Group 233"/>
          <xdr:cNvGrpSpPr/>
        </xdr:nvGrpSpPr>
        <xdr:grpSpPr>
          <a:xfrm>
            <a:off x="5025240" y="13214160"/>
            <a:ext cx="514080" cy="2669040"/>
            <a:chOff x="5025240" y="13214160"/>
            <a:chExt cx="514080" cy="2669040"/>
          </a:xfrm>
        </xdr:grpSpPr>
        <xdr:sp>
          <xdr:nvSpPr>
            <xdr:cNvPr id="39" name="Arc 234"/>
            <xdr:cNvSpPr/>
          </xdr:nvSpPr>
          <xdr:spPr>
            <a:xfrm flipH="1">
              <a:off x="5178600" y="13214160"/>
              <a:ext cx="360360" cy="627840"/>
            </a:xfrm>
            <a:custGeom>
              <a:avLst/>
              <a:gdLst>
                <a:gd name="textAreaLeft" fmla="*/ -360 w 360360"/>
                <a:gd name="textAreaRight" fmla="*/ 360360 w 360360"/>
                <a:gd name="textAreaTop" fmla="*/ 0 h 627840"/>
                <a:gd name="textAreaBottom" fmla="*/ 628200 h 62784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0" name="Group 235"/>
            <xdr:cNvGrpSpPr/>
          </xdr:nvGrpSpPr>
          <xdr:grpSpPr>
            <a:xfrm>
              <a:off x="5025240" y="13818240"/>
              <a:ext cx="285120" cy="2064960"/>
              <a:chOff x="5025240" y="13818240"/>
              <a:chExt cx="285120" cy="2064960"/>
            </a:xfrm>
          </xdr:grpSpPr>
          <xdr:sp>
            <xdr:nvSpPr>
              <xdr:cNvPr id="41" name="Line 236"/>
              <xdr:cNvSpPr/>
            </xdr:nvSpPr>
            <xdr:spPr>
              <a:xfrm>
                <a:off x="5177160" y="13818240"/>
                <a:ext cx="360" cy="609840"/>
              </a:xfrm>
              <a:prstGeom prst="line">
                <a:avLst/>
              </a:prstGeom>
              <a:ln w="9525">
                <a:solidFill>
                  <a:srgbClr val="00b0f0"/>
                </a:solidFill>
                <a:round/>
              </a:ln>
            </xdr:spPr>
            <xdr:style>
              <a:lnRef idx="0"/>
              <a:fillRef idx="0"/>
              <a:effectRef idx="0"/>
              <a:fontRef idx="minor"/>
            </xdr:style>
          </xdr:sp>
          <xdr:sp>
            <xdr:nvSpPr>
              <xdr:cNvPr id="42" name="Line 237"/>
              <xdr:cNvSpPr/>
            </xdr:nvSpPr>
            <xdr:spPr>
              <a:xfrm flipH="1">
                <a:off x="5025240" y="14428080"/>
                <a:ext cx="151920" cy="165600"/>
              </a:xfrm>
              <a:prstGeom prst="line">
                <a:avLst/>
              </a:prstGeom>
              <a:ln w="9525">
                <a:solidFill>
                  <a:srgbClr val="00b0f0"/>
                </a:solidFill>
                <a:round/>
              </a:ln>
            </xdr:spPr>
            <xdr:style>
              <a:lnRef idx="0"/>
              <a:fillRef idx="0"/>
              <a:effectRef idx="0"/>
              <a:fontRef idx="minor"/>
            </xdr:style>
          </xdr:sp>
          <xdr:sp>
            <xdr:nvSpPr>
              <xdr:cNvPr id="43" name="Line 238"/>
              <xdr:cNvSpPr/>
            </xdr:nvSpPr>
            <xdr:spPr>
              <a:xfrm>
                <a:off x="5025240" y="14593680"/>
                <a:ext cx="360" cy="418320"/>
              </a:xfrm>
              <a:prstGeom prst="line">
                <a:avLst/>
              </a:prstGeom>
              <a:ln w="9525">
                <a:solidFill>
                  <a:srgbClr val="00b0f0"/>
                </a:solidFill>
                <a:round/>
              </a:ln>
            </xdr:spPr>
            <xdr:style>
              <a:lnRef idx="0"/>
              <a:fillRef idx="0"/>
              <a:effectRef idx="0"/>
              <a:fontRef idx="minor"/>
            </xdr:style>
          </xdr:sp>
          <xdr:sp>
            <xdr:nvSpPr>
              <xdr:cNvPr id="44" name="Line 239"/>
              <xdr:cNvSpPr/>
            </xdr:nvSpPr>
            <xdr:spPr>
              <a:xfrm>
                <a:off x="5025240" y="15012000"/>
                <a:ext cx="284760" cy="239040"/>
              </a:xfrm>
              <a:prstGeom prst="line">
                <a:avLst/>
              </a:prstGeom>
              <a:ln w="9525">
                <a:solidFill>
                  <a:srgbClr val="00b0f0"/>
                </a:solidFill>
                <a:round/>
              </a:ln>
            </xdr:spPr>
            <xdr:style>
              <a:lnRef idx="0"/>
              <a:fillRef idx="0"/>
              <a:effectRef idx="0"/>
              <a:fontRef idx="minor"/>
            </xdr:style>
          </xdr:sp>
          <xdr:sp>
            <xdr:nvSpPr>
              <xdr:cNvPr id="45" name="Line 240"/>
              <xdr:cNvSpPr/>
            </xdr:nvSpPr>
            <xdr:spPr>
              <a:xfrm>
                <a:off x="5310000" y="15251040"/>
                <a:ext cx="360" cy="632160"/>
              </a:xfrm>
              <a:prstGeom prst="line">
                <a:avLst/>
              </a:prstGeom>
              <a:ln w="9525">
                <a:solidFill>
                  <a:srgbClr val="00b0f0"/>
                </a:solidFill>
                <a:round/>
              </a:ln>
            </xdr:spPr>
            <xdr:style>
              <a:lnRef idx="0"/>
              <a:fillRef idx="0"/>
              <a:effectRef idx="0"/>
              <a:fontRef idx="minor"/>
            </xdr:style>
          </xdr:sp>
        </xdr:grpSp>
      </xdr:grpSp>
      <xdr:grpSp>
        <xdr:nvGrpSpPr>
          <xdr:cNvPr id="46" name="Group 241"/>
          <xdr:cNvGrpSpPr/>
        </xdr:nvGrpSpPr>
        <xdr:grpSpPr>
          <a:xfrm>
            <a:off x="5538240" y="13214160"/>
            <a:ext cx="514800" cy="2669040"/>
            <a:chOff x="5538240" y="13214160"/>
            <a:chExt cx="514800" cy="2669040"/>
          </a:xfrm>
        </xdr:grpSpPr>
        <xdr:sp>
          <xdr:nvSpPr>
            <xdr:cNvPr id="47" name="Arc 242"/>
            <xdr:cNvSpPr/>
          </xdr:nvSpPr>
          <xdr:spPr>
            <a:xfrm>
              <a:off x="5538240" y="13214160"/>
              <a:ext cx="360360" cy="627840"/>
            </a:xfrm>
            <a:custGeom>
              <a:avLst/>
              <a:gdLst>
                <a:gd name="textAreaLeft" fmla="*/ 0 w 360360"/>
                <a:gd name="textAreaRight" fmla="*/ 360720 w 360360"/>
                <a:gd name="textAreaTop" fmla="*/ 0 h 627840"/>
                <a:gd name="textAreaBottom" fmla="*/ 628200 h 62784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8" name="Group 243"/>
            <xdr:cNvGrpSpPr/>
          </xdr:nvGrpSpPr>
          <xdr:grpSpPr>
            <a:xfrm>
              <a:off x="5767920" y="13818240"/>
              <a:ext cx="285120" cy="2064960"/>
              <a:chOff x="5767920" y="13818240"/>
              <a:chExt cx="285120" cy="2064960"/>
            </a:xfrm>
          </xdr:grpSpPr>
          <xdr:sp>
            <xdr:nvSpPr>
              <xdr:cNvPr id="49" name="Line 244"/>
              <xdr:cNvSpPr/>
            </xdr:nvSpPr>
            <xdr:spPr>
              <a:xfrm>
                <a:off x="5900760" y="13818240"/>
                <a:ext cx="360" cy="609840"/>
              </a:xfrm>
              <a:prstGeom prst="line">
                <a:avLst/>
              </a:prstGeom>
              <a:ln w="9525">
                <a:solidFill>
                  <a:srgbClr val="00b0f0"/>
                </a:solidFill>
                <a:round/>
              </a:ln>
            </xdr:spPr>
            <xdr:style>
              <a:lnRef idx="0"/>
              <a:fillRef idx="0"/>
              <a:effectRef idx="0"/>
              <a:fontRef idx="minor"/>
            </xdr:style>
          </xdr:sp>
          <xdr:sp>
            <xdr:nvSpPr>
              <xdr:cNvPr id="50" name="Line 245"/>
              <xdr:cNvSpPr/>
            </xdr:nvSpPr>
            <xdr:spPr>
              <a:xfrm>
                <a:off x="5900760" y="14428080"/>
                <a:ext cx="151920" cy="165600"/>
              </a:xfrm>
              <a:prstGeom prst="line">
                <a:avLst/>
              </a:prstGeom>
              <a:ln w="9525">
                <a:solidFill>
                  <a:srgbClr val="00b0f0"/>
                </a:solidFill>
                <a:round/>
              </a:ln>
            </xdr:spPr>
            <xdr:style>
              <a:lnRef idx="0"/>
              <a:fillRef idx="0"/>
              <a:effectRef idx="0"/>
              <a:fontRef idx="minor"/>
            </xdr:style>
          </xdr:sp>
          <xdr:sp>
            <xdr:nvSpPr>
              <xdr:cNvPr id="51" name="Line 246"/>
              <xdr:cNvSpPr/>
            </xdr:nvSpPr>
            <xdr:spPr>
              <a:xfrm>
                <a:off x="6052680" y="14593680"/>
                <a:ext cx="360" cy="418320"/>
              </a:xfrm>
              <a:prstGeom prst="line">
                <a:avLst/>
              </a:prstGeom>
              <a:ln w="9525">
                <a:solidFill>
                  <a:srgbClr val="00b0f0"/>
                </a:solidFill>
                <a:round/>
              </a:ln>
            </xdr:spPr>
            <xdr:style>
              <a:lnRef idx="0"/>
              <a:fillRef idx="0"/>
              <a:effectRef idx="0"/>
              <a:fontRef idx="minor"/>
            </xdr:style>
          </xdr:sp>
          <xdr:sp>
            <xdr:nvSpPr>
              <xdr:cNvPr id="52" name="Line 247"/>
              <xdr:cNvSpPr/>
            </xdr:nvSpPr>
            <xdr:spPr>
              <a:xfrm flipH="1">
                <a:off x="5767920" y="15012000"/>
                <a:ext cx="284760" cy="239040"/>
              </a:xfrm>
              <a:prstGeom prst="line">
                <a:avLst/>
              </a:prstGeom>
              <a:ln w="9525">
                <a:solidFill>
                  <a:srgbClr val="00b0f0"/>
                </a:solidFill>
                <a:round/>
              </a:ln>
            </xdr:spPr>
            <xdr:style>
              <a:lnRef idx="0"/>
              <a:fillRef idx="0"/>
              <a:effectRef idx="0"/>
              <a:fontRef idx="minor"/>
            </xdr:style>
          </xdr:sp>
          <xdr:sp>
            <xdr:nvSpPr>
              <xdr:cNvPr id="53" name="Line 248"/>
              <xdr:cNvSpPr/>
            </xdr:nvSpPr>
            <xdr:spPr>
              <a:xfrm>
                <a:off x="5767920" y="15251040"/>
                <a:ext cx="360" cy="632160"/>
              </a:xfrm>
              <a:prstGeom prst="line">
                <a:avLst/>
              </a:prstGeom>
              <a:ln w="9525">
                <a:solidFill>
                  <a:srgbClr val="00b0f0"/>
                </a:solidFill>
                <a:round/>
              </a:ln>
            </xdr:spPr>
            <xdr:style>
              <a:lnRef idx="0"/>
              <a:fillRef idx="0"/>
              <a:effectRef idx="0"/>
              <a:fontRef idx="minor"/>
            </xdr:style>
          </xdr:sp>
        </xdr:grpSp>
      </xdr:grpSp>
      <xdr:sp>
        <xdr:nvSpPr>
          <xdr:cNvPr id="54" name="Line 249"/>
          <xdr:cNvSpPr/>
        </xdr:nvSpPr>
        <xdr:spPr>
          <a:xfrm>
            <a:off x="5310000" y="15775560"/>
            <a:ext cx="2160" cy="859680"/>
          </a:xfrm>
          <a:prstGeom prst="line">
            <a:avLst/>
          </a:prstGeom>
          <a:ln w="9525">
            <a:solidFill>
              <a:srgbClr val="00b0f0"/>
            </a:solidFill>
            <a:round/>
          </a:ln>
        </xdr:spPr>
        <xdr:style>
          <a:lnRef idx="0"/>
          <a:fillRef idx="0"/>
          <a:effectRef idx="0"/>
          <a:fontRef idx="minor"/>
        </xdr:style>
      </xdr:sp>
      <xdr:sp>
        <xdr:nvSpPr>
          <xdr:cNvPr id="55" name="Line 250"/>
          <xdr:cNvSpPr/>
        </xdr:nvSpPr>
        <xdr:spPr>
          <a:xfrm>
            <a:off x="5767920" y="15775560"/>
            <a:ext cx="360" cy="859680"/>
          </a:xfrm>
          <a:prstGeom prst="line">
            <a:avLst/>
          </a:prstGeom>
          <a:ln w="9525">
            <a:solidFill>
              <a:srgbClr val="00b0f0"/>
            </a:solidFill>
            <a:round/>
          </a:ln>
        </xdr:spPr>
        <xdr:style>
          <a:lnRef idx="0"/>
          <a:fillRef idx="0"/>
          <a:effectRef idx="0"/>
          <a:fontRef idx="minor"/>
        </xdr:style>
      </xdr:sp>
      <xdr:sp>
        <xdr:nvSpPr>
          <xdr:cNvPr id="56" name="Line 251"/>
          <xdr:cNvSpPr/>
        </xdr:nvSpPr>
        <xdr:spPr>
          <a:xfrm>
            <a:off x="5308200" y="16635240"/>
            <a:ext cx="457560" cy="360"/>
          </a:xfrm>
          <a:prstGeom prst="line">
            <a:avLst/>
          </a:prstGeom>
          <a:ln w="9525">
            <a:solidFill>
              <a:srgbClr val="00b0f0"/>
            </a:solidFill>
            <a:round/>
          </a:ln>
        </xdr:spPr>
        <xdr:style>
          <a:lnRef idx="0"/>
          <a:fillRef idx="0"/>
          <a:effectRef idx="0"/>
          <a:fontRef idx="minor"/>
        </xdr:style>
      </xdr:sp>
      <xdr:sp>
        <xdr:nvSpPr>
          <xdr:cNvPr id="57" name="Line 252"/>
          <xdr:cNvSpPr/>
        </xdr:nvSpPr>
        <xdr:spPr>
          <a:xfrm flipV="1">
            <a:off x="6686280" y="16331400"/>
            <a:ext cx="1080" cy="616680"/>
          </a:xfrm>
          <a:prstGeom prst="line">
            <a:avLst/>
          </a:prstGeom>
          <a:ln w="9525">
            <a:solidFill>
              <a:srgbClr val="00b0f0"/>
            </a:solidFill>
            <a:round/>
          </a:ln>
        </xdr:spPr>
        <xdr:style>
          <a:lnRef idx="0"/>
          <a:fillRef idx="0"/>
          <a:effectRef idx="0"/>
          <a:fontRef idx="minor"/>
        </xdr:style>
      </xdr:sp>
      <xdr:sp>
        <xdr:nvSpPr>
          <xdr:cNvPr id="58" name="Line 253"/>
          <xdr:cNvSpPr/>
        </xdr:nvSpPr>
        <xdr:spPr>
          <a:xfrm>
            <a:off x="5773680" y="16498440"/>
            <a:ext cx="908640" cy="464040"/>
          </a:xfrm>
          <a:prstGeom prst="line">
            <a:avLst/>
          </a:prstGeom>
          <a:ln w="9525">
            <a:solidFill>
              <a:srgbClr val="00b0f0"/>
            </a:solidFill>
            <a:round/>
          </a:ln>
        </xdr:spPr>
        <xdr:style>
          <a:lnRef idx="0"/>
          <a:fillRef idx="0"/>
          <a:effectRef idx="0"/>
          <a:fontRef idx="minor"/>
        </xdr:style>
      </xdr:sp>
      <xdr:sp>
        <xdr:nvSpPr>
          <xdr:cNvPr id="59" name="Line 254"/>
          <xdr:cNvSpPr/>
        </xdr:nvSpPr>
        <xdr:spPr>
          <a:xfrm flipH="1" flipV="1">
            <a:off x="5781960" y="15441480"/>
            <a:ext cx="904320" cy="893880"/>
          </a:xfrm>
          <a:prstGeom prst="line">
            <a:avLst/>
          </a:prstGeom>
          <a:ln w="9525">
            <a:solidFill>
              <a:srgbClr val="00b0f0"/>
            </a:solidFill>
            <a:round/>
          </a:ln>
        </xdr:spPr>
        <xdr:style>
          <a:lnRef idx="0"/>
          <a:fillRef idx="0"/>
          <a:effectRef idx="0"/>
          <a:fontRef idx="minor"/>
        </xdr:style>
      </xdr:sp>
      <xdr:sp>
        <xdr:nvSpPr>
          <xdr:cNvPr id="60" name="Line 255"/>
          <xdr:cNvSpPr/>
        </xdr:nvSpPr>
        <xdr:spPr>
          <a:xfrm flipH="1" flipV="1">
            <a:off x="4399920" y="16341480"/>
            <a:ext cx="720" cy="616320"/>
          </a:xfrm>
          <a:prstGeom prst="line">
            <a:avLst/>
          </a:prstGeom>
          <a:ln w="9525">
            <a:solidFill>
              <a:srgbClr val="00b0f0"/>
            </a:solidFill>
            <a:round/>
          </a:ln>
        </xdr:spPr>
        <xdr:style>
          <a:lnRef idx="0"/>
          <a:fillRef idx="0"/>
          <a:effectRef idx="0"/>
          <a:fontRef idx="minor"/>
        </xdr:style>
      </xdr:sp>
      <xdr:sp>
        <xdr:nvSpPr>
          <xdr:cNvPr id="61" name="Line 256"/>
          <xdr:cNvSpPr/>
        </xdr:nvSpPr>
        <xdr:spPr>
          <a:xfrm flipH="1">
            <a:off x="4399920" y="16503120"/>
            <a:ext cx="908280" cy="463680"/>
          </a:xfrm>
          <a:prstGeom prst="line">
            <a:avLst/>
          </a:prstGeom>
          <a:ln w="9525">
            <a:solidFill>
              <a:srgbClr val="00b0f0"/>
            </a:solidFill>
            <a:round/>
          </a:ln>
        </xdr:spPr>
        <xdr:style>
          <a:lnRef idx="0"/>
          <a:fillRef idx="0"/>
          <a:effectRef idx="0"/>
          <a:fontRef idx="minor"/>
        </xdr:style>
      </xdr:sp>
      <xdr:sp>
        <xdr:nvSpPr>
          <xdr:cNvPr id="62" name="Line 257"/>
          <xdr:cNvSpPr/>
        </xdr:nvSpPr>
        <xdr:spPr>
          <a:xfrm flipV="1">
            <a:off x="4407840" y="15446160"/>
            <a:ext cx="904320" cy="8938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6</xdr:col>
      <xdr:colOff>825480</xdr:colOff>
      <xdr:row>84</xdr:row>
      <xdr:rowOff>101520</xdr:rowOff>
    </xdr:from>
    <xdr:to>
      <xdr:col>6</xdr:col>
      <xdr:colOff>1542960</xdr:colOff>
      <xdr:row>84</xdr:row>
      <xdr:rowOff>101520</xdr:rowOff>
    </xdr:to>
    <xdr:sp>
      <xdr:nvSpPr>
        <xdr:cNvPr id="63" name="Line 268"/>
        <xdr:cNvSpPr/>
      </xdr:nvSpPr>
      <xdr:spPr>
        <a:xfrm>
          <a:off x="5155560" y="13979520"/>
          <a:ext cx="7174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152280</xdr:colOff>
      <xdr:row>80</xdr:row>
      <xdr:rowOff>0</xdr:rowOff>
    </xdr:from>
    <xdr:to>
      <xdr:col>9</xdr:col>
      <xdr:colOff>176400</xdr:colOff>
      <xdr:row>80</xdr:row>
      <xdr:rowOff>0</xdr:rowOff>
    </xdr:to>
    <xdr:sp>
      <xdr:nvSpPr>
        <xdr:cNvPr id="64" name="Line 269"/>
        <xdr:cNvSpPr/>
      </xdr:nvSpPr>
      <xdr:spPr>
        <a:xfrm>
          <a:off x="4482360" y="13201560"/>
          <a:ext cx="285876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228600</xdr:colOff>
      <xdr:row>80</xdr:row>
      <xdr:rowOff>12600</xdr:rowOff>
    </xdr:from>
    <xdr:to>
      <xdr:col>8</xdr:col>
      <xdr:colOff>228600</xdr:colOff>
      <xdr:row>93</xdr:row>
      <xdr:rowOff>82440</xdr:rowOff>
    </xdr:to>
    <xdr:sp>
      <xdr:nvSpPr>
        <xdr:cNvPr id="65" name="Line 270"/>
        <xdr:cNvSpPr/>
      </xdr:nvSpPr>
      <xdr:spPr>
        <a:xfrm>
          <a:off x="6915960" y="13214160"/>
          <a:ext cx="0" cy="22320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139680</xdr:colOff>
      <xdr:row>83</xdr:row>
      <xdr:rowOff>50760</xdr:rowOff>
    </xdr:from>
    <xdr:to>
      <xdr:col>6</xdr:col>
      <xdr:colOff>838080</xdr:colOff>
      <xdr:row>83</xdr:row>
      <xdr:rowOff>50760</xdr:rowOff>
    </xdr:to>
    <xdr:sp>
      <xdr:nvSpPr>
        <xdr:cNvPr id="66" name="Line 271"/>
        <xdr:cNvSpPr/>
      </xdr:nvSpPr>
      <xdr:spPr>
        <a:xfrm>
          <a:off x="4469760" y="13757400"/>
          <a:ext cx="6984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152280</xdr:colOff>
      <xdr:row>80</xdr:row>
      <xdr:rowOff>0</xdr:rowOff>
    </xdr:from>
    <xdr:to>
      <xdr:col>6</xdr:col>
      <xdr:colOff>152280</xdr:colOff>
      <xdr:row>83</xdr:row>
      <xdr:rowOff>50760</xdr:rowOff>
    </xdr:to>
    <xdr:sp>
      <xdr:nvSpPr>
        <xdr:cNvPr id="67" name="Line 272"/>
        <xdr:cNvSpPr/>
      </xdr:nvSpPr>
      <xdr:spPr>
        <a:xfrm>
          <a:off x="4482360" y="13201560"/>
          <a:ext cx="0" cy="555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309600</xdr:colOff>
      <xdr:row>102</xdr:row>
      <xdr:rowOff>95040</xdr:rowOff>
    </xdr:from>
    <xdr:to>
      <xdr:col>9</xdr:col>
      <xdr:colOff>74880</xdr:colOff>
      <xdr:row>102</xdr:row>
      <xdr:rowOff>95040</xdr:rowOff>
    </xdr:to>
    <xdr:sp>
      <xdr:nvSpPr>
        <xdr:cNvPr id="68" name="Line 277"/>
        <xdr:cNvSpPr/>
      </xdr:nvSpPr>
      <xdr:spPr>
        <a:xfrm>
          <a:off x="6996960" y="16954200"/>
          <a:ext cx="2426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12600</xdr:colOff>
      <xdr:row>98</xdr:row>
      <xdr:rowOff>133200</xdr:rowOff>
    </xdr:from>
    <xdr:to>
      <xdr:col>8</xdr:col>
      <xdr:colOff>469800</xdr:colOff>
      <xdr:row>98</xdr:row>
      <xdr:rowOff>133200</xdr:rowOff>
    </xdr:to>
    <xdr:sp>
      <xdr:nvSpPr>
        <xdr:cNvPr id="69" name="Line 278"/>
        <xdr:cNvSpPr/>
      </xdr:nvSpPr>
      <xdr:spPr>
        <a:xfrm>
          <a:off x="6699960" y="16325640"/>
          <a:ext cx="457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9</xdr:col>
      <xdr:colOff>74880</xdr:colOff>
      <xdr:row>93</xdr:row>
      <xdr:rowOff>75960</xdr:rowOff>
    </xdr:to>
    <xdr:sp>
      <xdr:nvSpPr>
        <xdr:cNvPr id="70" name="Line 279"/>
        <xdr:cNvSpPr/>
      </xdr:nvSpPr>
      <xdr:spPr>
        <a:xfrm>
          <a:off x="4806000" y="15439680"/>
          <a:ext cx="24336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99</xdr:row>
      <xdr:rowOff>152280</xdr:rowOff>
    </xdr:from>
    <xdr:to>
      <xdr:col>6</xdr:col>
      <xdr:colOff>1428480</xdr:colOff>
      <xdr:row>99</xdr:row>
      <xdr:rowOff>152280</xdr:rowOff>
    </xdr:to>
    <xdr:sp>
      <xdr:nvSpPr>
        <xdr:cNvPr id="71" name="Line 280"/>
        <xdr:cNvSpPr/>
      </xdr:nvSpPr>
      <xdr:spPr>
        <a:xfrm>
          <a:off x="4806000" y="16506720"/>
          <a:ext cx="95256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6</xdr:col>
      <xdr:colOff>475920</xdr:colOff>
      <xdr:row>99</xdr:row>
      <xdr:rowOff>171360</xdr:rowOff>
    </xdr:to>
    <xdr:sp>
      <xdr:nvSpPr>
        <xdr:cNvPr id="72" name="Line 281"/>
        <xdr:cNvSpPr/>
      </xdr:nvSpPr>
      <xdr:spPr>
        <a:xfrm>
          <a:off x="4806000" y="15439680"/>
          <a:ext cx="0" cy="10861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11520</xdr:colOff>
      <xdr:row>98</xdr:row>
      <xdr:rowOff>133200</xdr:rowOff>
    </xdr:from>
    <xdr:to>
      <xdr:col>9</xdr:col>
      <xdr:colOff>11520</xdr:colOff>
      <xdr:row>102</xdr:row>
      <xdr:rowOff>95040</xdr:rowOff>
    </xdr:to>
    <xdr:sp>
      <xdr:nvSpPr>
        <xdr:cNvPr id="73" name="Line 282"/>
        <xdr:cNvSpPr/>
      </xdr:nvSpPr>
      <xdr:spPr>
        <a:xfrm>
          <a:off x="7176240" y="16325640"/>
          <a:ext cx="0" cy="628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11520</xdr:colOff>
      <xdr:row>93</xdr:row>
      <xdr:rowOff>63360</xdr:rowOff>
    </xdr:from>
    <xdr:to>
      <xdr:col>9</xdr:col>
      <xdr:colOff>11520</xdr:colOff>
      <xdr:row>98</xdr:row>
      <xdr:rowOff>133200</xdr:rowOff>
    </xdr:to>
    <xdr:sp>
      <xdr:nvSpPr>
        <xdr:cNvPr id="74" name="Line 283"/>
        <xdr:cNvSpPr/>
      </xdr:nvSpPr>
      <xdr:spPr>
        <a:xfrm>
          <a:off x="7176240" y="15427080"/>
          <a:ext cx="0" cy="898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0</xdr:colOff>
      <xdr:row>102</xdr:row>
      <xdr:rowOff>95040</xdr:rowOff>
    </xdr:from>
    <xdr:to>
      <xdr:col>8</xdr:col>
      <xdr:colOff>0</xdr:colOff>
      <xdr:row>102</xdr:row>
      <xdr:rowOff>162000</xdr:rowOff>
    </xdr:to>
    <xdr:sp>
      <xdr:nvSpPr>
        <xdr:cNvPr id="75" name="Line 284"/>
        <xdr:cNvSpPr/>
      </xdr:nvSpPr>
      <xdr:spPr>
        <a:xfrm flipV="1">
          <a:off x="6687360" y="16954200"/>
          <a:ext cx="0" cy="6696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1428480</xdr:colOff>
      <xdr:row>99</xdr:row>
      <xdr:rowOff>139680</xdr:rowOff>
    </xdr:from>
    <xdr:to>
      <xdr:col>6</xdr:col>
      <xdr:colOff>1428480</xdr:colOff>
      <xdr:row>102</xdr:row>
      <xdr:rowOff>162000</xdr:rowOff>
    </xdr:to>
    <xdr:sp>
      <xdr:nvSpPr>
        <xdr:cNvPr id="76" name="Line 285"/>
        <xdr:cNvSpPr/>
      </xdr:nvSpPr>
      <xdr:spPr>
        <a:xfrm flipV="1">
          <a:off x="5758560" y="16494120"/>
          <a:ext cx="0" cy="52704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1422360</xdr:colOff>
      <xdr:row>103</xdr:row>
      <xdr:rowOff>0</xdr:rowOff>
    </xdr:from>
    <xdr:to>
      <xdr:col>7</xdr:col>
      <xdr:colOff>477720</xdr:colOff>
      <xdr:row>103</xdr:row>
      <xdr:rowOff>0</xdr:rowOff>
    </xdr:to>
    <xdr:sp>
      <xdr:nvSpPr>
        <xdr:cNvPr id="77" name="Line 286"/>
        <xdr:cNvSpPr/>
      </xdr:nvSpPr>
      <xdr:spPr>
        <a:xfrm>
          <a:off x="5752440" y="17021160"/>
          <a:ext cx="9349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685800</xdr:colOff>
      <xdr:row>89</xdr:row>
      <xdr:rowOff>69840</xdr:rowOff>
    </xdr:from>
    <xdr:to>
      <xdr:col>6</xdr:col>
      <xdr:colOff>1695240</xdr:colOff>
      <xdr:row>89</xdr:row>
      <xdr:rowOff>69840</xdr:rowOff>
    </xdr:to>
    <xdr:sp>
      <xdr:nvSpPr>
        <xdr:cNvPr id="78" name="Line 287"/>
        <xdr:cNvSpPr/>
      </xdr:nvSpPr>
      <xdr:spPr>
        <a:xfrm>
          <a:off x="5015880" y="14776560"/>
          <a:ext cx="1009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990360</xdr:colOff>
      <xdr:row>93</xdr:row>
      <xdr:rowOff>25200</xdr:rowOff>
    </xdr:from>
    <xdr:to>
      <xdr:col>6</xdr:col>
      <xdr:colOff>1396800</xdr:colOff>
      <xdr:row>93</xdr:row>
      <xdr:rowOff>25200</xdr:rowOff>
    </xdr:to>
    <xdr:sp>
      <xdr:nvSpPr>
        <xdr:cNvPr id="79" name="Line 288"/>
        <xdr:cNvSpPr/>
      </xdr:nvSpPr>
      <xdr:spPr>
        <a:xfrm>
          <a:off x="5320440" y="15388920"/>
          <a:ext cx="406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850680</xdr:colOff>
      <xdr:row>87</xdr:row>
      <xdr:rowOff>56880</xdr:rowOff>
    </xdr:from>
    <xdr:to>
      <xdr:col>8</xdr:col>
      <xdr:colOff>44280</xdr:colOff>
      <xdr:row>87</xdr:row>
      <xdr:rowOff>56880</xdr:rowOff>
    </xdr:to>
    <xdr:sp>
      <xdr:nvSpPr>
        <xdr:cNvPr id="80" name="Line 289"/>
        <xdr:cNvSpPr/>
      </xdr:nvSpPr>
      <xdr:spPr>
        <a:xfrm>
          <a:off x="5180760" y="14430240"/>
          <a:ext cx="155088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88</xdr:row>
      <xdr:rowOff>56880</xdr:rowOff>
    </xdr:from>
    <xdr:to>
      <xdr:col>8</xdr:col>
      <xdr:colOff>56880</xdr:colOff>
      <xdr:row>88</xdr:row>
      <xdr:rowOff>56880</xdr:rowOff>
    </xdr:to>
    <xdr:sp>
      <xdr:nvSpPr>
        <xdr:cNvPr id="81" name="Line 290"/>
        <xdr:cNvSpPr/>
      </xdr:nvSpPr>
      <xdr:spPr>
        <a:xfrm>
          <a:off x="5028480" y="14591880"/>
          <a:ext cx="171576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90</xdr:row>
      <xdr:rowOff>139680</xdr:rowOff>
    </xdr:from>
    <xdr:to>
      <xdr:col>8</xdr:col>
      <xdr:colOff>69840</xdr:colOff>
      <xdr:row>90</xdr:row>
      <xdr:rowOff>139680</xdr:rowOff>
    </xdr:to>
    <xdr:sp>
      <xdr:nvSpPr>
        <xdr:cNvPr id="82" name="Line 291"/>
        <xdr:cNvSpPr/>
      </xdr:nvSpPr>
      <xdr:spPr>
        <a:xfrm>
          <a:off x="5028480" y="15017760"/>
          <a:ext cx="172872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977760</xdr:colOff>
      <xdr:row>92</xdr:row>
      <xdr:rowOff>44280</xdr:rowOff>
    </xdr:from>
    <xdr:to>
      <xdr:col>8</xdr:col>
      <xdr:colOff>44280</xdr:colOff>
      <xdr:row>92</xdr:row>
      <xdr:rowOff>44280</xdr:rowOff>
    </xdr:to>
    <xdr:sp>
      <xdr:nvSpPr>
        <xdr:cNvPr id="83" name="Line 292"/>
        <xdr:cNvSpPr/>
      </xdr:nvSpPr>
      <xdr:spPr>
        <a:xfrm>
          <a:off x="5307840" y="15246360"/>
          <a:ext cx="142380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1790640</xdr:colOff>
      <xdr:row>80</xdr:row>
      <xdr:rowOff>0</xdr:rowOff>
    </xdr:from>
    <xdr:to>
      <xdr:col>6</xdr:col>
      <xdr:colOff>1790640</xdr:colOff>
      <xdr:row>87</xdr:row>
      <xdr:rowOff>63360</xdr:rowOff>
    </xdr:to>
    <xdr:sp>
      <xdr:nvSpPr>
        <xdr:cNvPr id="84" name="Line 293"/>
        <xdr:cNvSpPr/>
      </xdr:nvSpPr>
      <xdr:spPr>
        <a:xfrm>
          <a:off x="6120720" y="13201560"/>
          <a:ext cx="0" cy="12351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7</xdr:col>
      <xdr:colOff>190440</xdr:colOff>
      <xdr:row>80</xdr:row>
      <xdr:rowOff>0</xdr:rowOff>
    </xdr:from>
    <xdr:to>
      <xdr:col>7</xdr:col>
      <xdr:colOff>190440</xdr:colOff>
      <xdr:row>90</xdr:row>
      <xdr:rowOff>133200</xdr:rowOff>
    </xdr:to>
    <xdr:sp>
      <xdr:nvSpPr>
        <xdr:cNvPr id="85" name="Line 294"/>
        <xdr:cNvSpPr/>
      </xdr:nvSpPr>
      <xdr:spPr>
        <a:xfrm>
          <a:off x="6400080" y="13201560"/>
          <a:ext cx="0" cy="180972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87</xdr:row>
      <xdr:rowOff>56880</xdr:rowOff>
    </xdr:from>
    <xdr:to>
      <xdr:col>8</xdr:col>
      <xdr:colOff>44280</xdr:colOff>
      <xdr:row>88</xdr:row>
      <xdr:rowOff>56880</xdr:rowOff>
    </xdr:to>
    <xdr:sp>
      <xdr:nvSpPr>
        <xdr:cNvPr id="86" name="Line 295"/>
        <xdr:cNvSpPr/>
      </xdr:nvSpPr>
      <xdr:spPr>
        <a:xfrm>
          <a:off x="6731640" y="14430240"/>
          <a:ext cx="0" cy="16164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90</xdr:row>
      <xdr:rowOff>139680</xdr:rowOff>
    </xdr:from>
    <xdr:to>
      <xdr:col>8</xdr:col>
      <xdr:colOff>44280</xdr:colOff>
      <xdr:row>92</xdr:row>
      <xdr:rowOff>44280</xdr:rowOff>
    </xdr:to>
    <xdr:sp>
      <xdr:nvSpPr>
        <xdr:cNvPr id="87" name="Line 296"/>
        <xdr:cNvSpPr/>
      </xdr:nvSpPr>
      <xdr:spPr>
        <a:xfrm>
          <a:off x="6731640" y="15017760"/>
          <a:ext cx="0" cy="22860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0</xdr:colOff>
      <xdr:row>84</xdr:row>
      <xdr:rowOff>101520</xdr:rowOff>
    </xdr:from>
    <xdr:to>
      <xdr:col>6</xdr:col>
      <xdr:colOff>838080</xdr:colOff>
      <xdr:row>84</xdr:row>
      <xdr:rowOff>101520</xdr:rowOff>
    </xdr:to>
    <xdr:sp>
      <xdr:nvSpPr>
        <xdr:cNvPr id="88" name="Line 297"/>
        <xdr:cNvSpPr/>
      </xdr:nvSpPr>
      <xdr:spPr>
        <a:xfrm>
          <a:off x="4330080" y="139795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89</xdr:row>
      <xdr:rowOff>69840</xdr:rowOff>
    </xdr:from>
    <xdr:to>
      <xdr:col>6</xdr:col>
      <xdr:colOff>685800</xdr:colOff>
      <xdr:row>89</xdr:row>
      <xdr:rowOff>69840</xdr:rowOff>
    </xdr:to>
    <xdr:sp>
      <xdr:nvSpPr>
        <xdr:cNvPr id="89" name="Line 298"/>
        <xdr:cNvSpPr/>
      </xdr:nvSpPr>
      <xdr:spPr>
        <a:xfrm>
          <a:off x="4330080" y="14776560"/>
          <a:ext cx="68580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93</xdr:row>
      <xdr:rowOff>25200</xdr:rowOff>
    </xdr:from>
    <xdr:to>
      <xdr:col>6</xdr:col>
      <xdr:colOff>971280</xdr:colOff>
      <xdr:row>93</xdr:row>
      <xdr:rowOff>25200</xdr:rowOff>
    </xdr:to>
    <xdr:sp>
      <xdr:nvSpPr>
        <xdr:cNvPr id="90" name="Line 299"/>
        <xdr:cNvSpPr/>
      </xdr:nvSpPr>
      <xdr:spPr>
        <a:xfrm>
          <a:off x="4330080" y="15388920"/>
          <a:ext cx="97128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96</xdr:row>
      <xdr:rowOff>75960</xdr:rowOff>
    </xdr:from>
    <xdr:to>
      <xdr:col>6</xdr:col>
      <xdr:colOff>475920</xdr:colOff>
      <xdr:row>96</xdr:row>
      <xdr:rowOff>75960</xdr:rowOff>
    </xdr:to>
    <xdr:sp>
      <xdr:nvSpPr>
        <xdr:cNvPr id="91" name="Line 300"/>
        <xdr:cNvSpPr/>
      </xdr:nvSpPr>
      <xdr:spPr>
        <a:xfrm>
          <a:off x="4330080" y="15935040"/>
          <a:ext cx="475920" cy="0"/>
        </a:xfrm>
        <a:prstGeom prst="line">
          <a:avLst/>
        </a:prstGeom>
        <a:ln w="9525">
          <a:solidFill>
            <a:srgbClr val="000000"/>
          </a:solidFill>
          <a:round/>
        </a:ln>
      </xdr:spPr>
      <xdr:style>
        <a:lnRef idx="0"/>
        <a:fillRef idx="0"/>
        <a:effectRef idx="0"/>
        <a:fontRef idx="minor"/>
      </xdr:style>
    </xdr:sp>
    <xdr:clientData/>
  </xdr:twoCellAnchor>
  <xdr:twoCellAnchor editAs="twoCell">
    <xdr:from>
      <xdr:col>7</xdr:col>
      <xdr:colOff>152280</xdr:colOff>
      <xdr:row>103</xdr:row>
      <xdr:rowOff>0</xdr:rowOff>
    </xdr:from>
    <xdr:to>
      <xdr:col>7</xdr:col>
      <xdr:colOff>152280</xdr:colOff>
      <xdr:row>104</xdr:row>
      <xdr:rowOff>12600</xdr:rowOff>
    </xdr:to>
    <xdr:sp>
      <xdr:nvSpPr>
        <xdr:cNvPr id="92" name="Line 301"/>
        <xdr:cNvSpPr/>
      </xdr:nvSpPr>
      <xdr:spPr>
        <a:xfrm>
          <a:off x="6361920" y="17021160"/>
          <a:ext cx="0" cy="18396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81</xdr:row>
      <xdr:rowOff>75960</xdr:rowOff>
    </xdr:from>
    <xdr:to>
      <xdr:col>6</xdr:col>
      <xdr:colOff>152280</xdr:colOff>
      <xdr:row>81</xdr:row>
      <xdr:rowOff>75960</xdr:rowOff>
    </xdr:to>
    <xdr:sp>
      <xdr:nvSpPr>
        <xdr:cNvPr id="93" name="Line 302"/>
        <xdr:cNvSpPr/>
      </xdr:nvSpPr>
      <xdr:spPr>
        <a:xfrm>
          <a:off x="4330080" y="134492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1777680</xdr:colOff>
      <xdr:row>83</xdr:row>
      <xdr:rowOff>82440</xdr:rowOff>
    </xdr:from>
    <xdr:to>
      <xdr:col>8</xdr:col>
      <xdr:colOff>477360</xdr:colOff>
      <xdr:row>83</xdr:row>
      <xdr:rowOff>82440</xdr:rowOff>
    </xdr:to>
    <xdr:sp>
      <xdr:nvSpPr>
        <xdr:cNvPr id="94" name="Line 303"/>
        <xdr:cNvSpPr/>
      </xdr:nvSpPr>
      <xdr:spPr>
        <a:xfrm>
          <a:off x="6107760" y="13789080"/>
          <a:ext cx="10569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7</xdr:col>
      <xdr:colOff>190440</xdr:colOff>
      <xdr:row>85</xdr:row>
      <xdr:rowOff>75960</xdr:rowOff>
    </xdr:from>
    <xdr:to>
      <xdr:col>8</xdr:col>
      <xdr:colOff>477360</xdr:colOff>
      <xdr:row>85</xdr:row>
      <xdr:rowOff>75960</xdr:rowOff>
    </xdr:to>
    <xdr:sp>
      <xdr:nvSpPr>
        <xdr:cNvPr id="95" name="Line 304"/>
        <xdr:cNvSpPr/>
      </xdr:nvSpPr>
      <xdr:spPr>
        <a:xfrm>
          <a:off x="6400080" y="14125320"/>
          <a:ext cx="76464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87</xdr:row>
      <xdr:rowOff>133200</xdr:rowOff>
    </xdr:from>
    <xdr:to>
      <xdr:col>8</xdr:col>
      <xdr:colOff>477360</xdr:colOff>
      <xdr:row>87</xdr:row>
      <xdr:rowOff>133200</xdr:rowOff>
    </xdr:to>
    <xdr:sp>
      <xdr:nvSpPr>
        <xdr:cNvPr id="96" name="Line 305"/>
        <xdr:cNvSpPr/>
      </xdr:nvSpPr>
      <xdr:spPr>
        <a:xfrm>
          <a:off x="6731640" y="14506560"/>
          <a:ext cx="4330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91</xdr:row>
      <xdr:rowOff>75960</xdr:rowOff>
    </xdr:from>
    <xdr:to>
      <xdr:col>9</xdr:col>
      <xdr:colOff>12600</xdr:colOff>
      <xdr:row>91</xdr:row>
      <xdr:rowOff>75960</xdr:rowOff>
    </xdr:to>
    <xdr:sp>
      <xdr:nvSpPr>
        <xdr:cNvPr id="97" name="Line 308"/>
        <xdr:cNvSpPr/>
      </xdr:nvSpPr>
      <xdr:spPr>
        <a:xfrm flipH="1">
          <a:off x="6731640" y="15116040"/>
          <a:ext cx="445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222120</xdr:colOff>
      <xdr:row>89</xdr:row>
      <xdr:rowOff>88560</xdr:rowOff>
    </xdr:from>
    <xdr:to>
      <xdr:col>8</xdr:col>
      <xdr:colOff>463320</xdr:colOff>
      <xdr:row>89</xdr:row>
      <xdr:rowOff>88560</xdr:rowOff>
    </xdr:to>
    <xdr:sp>
      <xdr:nvSpPr>
        <xdr:cNvPr id="98" name="Line 278"/>
        <xdr:cNvSpPr/>
      </xdr:nvSpPr>
      <xdr:spPr>
        <a:xfrm>
          <a:off x="6909480" y="14795280"/>
          <a:ext cx="241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69840</xdr:colOff>
      <xdr:row>1</xdr:row>
      <xdr:rowOff>12600</xdr:rowOff>
    </xdr:from>
    <xdr:to>
      <xdr:col>18</xdr:col>
      <xdr:colOff>1143000</xdr:colOff>
      <xdr:row>31</xdr:row>
      <xdr:rowOff>101520</xdr:rowOff>
    </xdr:to>
    <xdr:grpSp>
      <xdr:nvGrpSpPr>
        <xdr:cNvPr id="99" name="Group 232"/>
        <xdr:cNvGrpSpPr/>
      </xdr:nvGrpSpPr>
      <xdr:grpSpPr>
        <a:xfrm>
          <a:off x="13796640" y="183960"/>
          <a:ext cx="2216160" cy="5127840"/>
          <a:chOff x="13796640" y="183960"/>
          <a:chExt cx="2216160" cy="5127840"/>
        </a:xfrm>
      </xdr:grpSpPr>
      <xdr:grpSp>
        <xdr:nvGrpSpPr>
          <xdr:cNvPr id="100" name="Group 233"/>
          <xdr:cNvGrpSpPr/>
        </xdr:nvGrpSpPr>
        <xdr:grpSpPr>
          <a:xfrm>
            <a:off x="14402520" y="183960"/>
            <a:ext cx="498600" cy="3647160"/>
            <a:chOff x="14402520" y="183960"/>
            <a:chExt cx="498600" cy="3647160"/>
          </a:xfrm>
        </xdr:grpSpPr>
        <xdr:sp>
          <xdr:nvSpPr>
            <xdr:cNvPr id="101" name="Arc 234"/>
            <xdr:cNvSpPr/>
          </xdr:nvSpPr>
          <xdr:spPr>
            <a:xfrm flipH="1">
              <a:off x="14551920" y="183960"/>
              <a:ext cx="349200" cy="857880"/>
            </a:xfrm>
            <a:custGeom>
              <a:avLst/>
              <a:gdLst>
                <a:gd name="textAreaLeft" fmla="*/ 360 w 349200"/>
                <a:gd name="textAreaRight" fmla="*/ 349920 w 349200"/>
                <a:gd name="textAreaTop" fmla="*/ 0 h 857880"/>
                <a:gd name="textAreaBottom" fmla="*/ 858240 h 8578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02" name="Group 235"/>
            <xdr:cNvGrpSpPr/>
          </xdr:nvGrpSpPr>
          <xdr:grpSpPr>
            <a:xfrm>
              <a:off x="14402520" y="1009440"/>
              <a:ext cx="276480" cy="2821680"/>
              <a:chOff x="14402520" y="1009440"/>
              <a:chExt cx="276480" cy="2821680"/>
            </a:xfrm>
          </xdr:grpSpPr>
          <xdr:sp>
            <xdr:nvSpPr>
              <xdr:cNvPr id="103" name="Line 236"/>
              <xdr:cNvSpPr/>
            </xdr:nvSpPr>
            <xdr:spPr>
              <a:xfrm>
                <a:off x="14549760" y="1009440"/>
                <a:ext cx="360" cy="833400"/>
              </a:xfrm>
              <a:prstGeom prst="line">
                <a:avLst/>
              </a:prstGeom>
              <a:ln w="9525">
                <a:solidFill>
                  <a:srgbClr val="00b0f0"/>
                </a:solidFill>
                <a:round/>
              </a:ln>
            </xdr:spPr>
            <xdr:style>
              <a:lnRef idx="0"/>
              <a:fillRef idx="0"/>
              <a:effectRef idx="0"/>
              <a:fontRef idx="minor"/>
            </xdr:style>
          </xdr:sp>
          <xdr:sp>
            <xdr:nvSpPr>
              <xdr:cNvPr id="104" name="Line 237"/>
              <xdr:cNvSpPr/>
            </xdr:nvSpPr>
            <xdr:spPr>
              <a:xfrm flipH="1">
                <a:off x="14402520" y="1842840"/>
                <a:ext cx="147240" cy="226080"/>
              </a:xfrm>
              <a:prstGeom prst="line">
                <a:avLst/>
              </a:prstGeom>
              <a:ln w="9525">
                <a:solidFill>
                  <a:srgbClr val="00b0f0"/>
                </a:solidFill>
                <a:round/>
              </a:ln>
            </xdr:spPr>
            <xdr:style>
              <a:lnRef idx="0"/>
              <a:fillRef idx="0"/>
              <a:effectRef idx="0"/>
              <a:fontRef idx="minor"/>
            </xdr:style>
          </xdr:sp>
          <xdr:sp>
            <xdr:nvSpPr>
              <xdr:cNvPr id="105" name="Line 238"/>
              <xdr:cNvSpPr/>
            </xdr:nvSpPr>
            <xdr:spPr>
              <a:xfrm>
                <a:off x="14402520" y="2068920"/>
                <a:ext cx="360" cy="571680"/>
              </a:xfrm>
              <a:prstGeom prst="line">
                <a:avLst/>
              </a:prstGeom>
              <a:ln w="9525">
                <a:solidFill>
                  <a:srgbClr val="00b0f0"/>
                </a:solidFill>
                <a:round/>
              </a:ln>
            </xdr:spPr>
            <xdr:style>
              <a:lnRef idx="0"/>
              <a:fillRef idx="0"/>
              <a:effectRef idx="0"/>
              <a:fontRef idx="minor"/>
            </xdr:style>
          </xdr:sp>
          <xdr:sp>
            <xdr:nvSpPr>
              <xdr:cNvPr id="106" name="Line 239"/>
              <xdr:cNvSpPr/>
            </xdr:nvSpPr>
            <xdr:spPr>
              <a:xfrm>
                <a:off x="14402520" y="2640600"/>
                <a:ext cx="276120" cy="326520"/>
              </a:xfrm>
              <a:prstGeom prst="line">
                <a:avLst/>
              </a:prstGeom>
              <a:ln w="9525">
                <a:solidFill>
                  <a:srgbClr val="00b0f0"/>
                </a:solidFill>
                <a:round/>
              </a:ln>
            </xdr:spPr>
            <xdr:style>
              <a:lnRef idx="0"/>
              <a:fillRef idx="0"/>
              <a:effectRef idx="0"/>
              <a:fontRef idx="minor"/>
            </xdr:style>
          </xdr:sp>
          <xdr:sp>
            <xdr:nvSpPr>
              <xdr:cNvPr id="107" name="Line 240"/>
              <xdr:cNvSpPr/>
            </xdr:nvSpPr>
            <xdr:spPr>
              <a:xfrm>
                <a:off x="14678640" y="2967120"/>
                <a:ext cx="360" cy="864000"/>
              </a:xfrm>
              <a:prstGeom prst="line">
                <a:avLst/>
              </a:prstGeom>
              <a:ln w="9525">
                <a:solidFill>
                  <a:srgbClr val="00b0f0"/>
                </a:solidFill>
                <a:round/>
              </a:ln>
            </xdr:spPr>
            <xdr:style>
              <a:lnRef idx="0"/>
              <a:fillRef idx="0"/>
              <a:effectRef idx="0"/>
              <a:fontRef idx="minor"/>
            </xdr:style>
          </xdr:sp>
        </xdr:grpSp>
      </xdr:grpSp>
      <xdr:grpSp>
        <xdr:nvGrpSpPr>
          <xdr:cNvPr id="108" name="Group 241"/>
          <xdr:cNvGrpSpPr/>
        </xdr:nvGrpSpPr>
        <xdr:grpSpPr>
          <a:xfrm>
            <a:off x="14899320" y="183960"/>
            <a:ext cx="498960" cy="3647160"/>
            <a:chOff x="14899320" y="183960"/>
            <a:chExt cx="498960" cy="3647160"/>
          </a:xfrm>
        </xdr:grpSpPr>
        <xdr:sp>
          <xdr:nvSpPr>
            <xdr:cNvPr id="109" name="Arc 242"/>
            <xdr:cNvSpPr/>
          </xdr:nvSpPr>
          <xdr:spPr>
            <a:xfrm>
              <a:off x="14899320" y="183960"/>
              <a:ext cx="349200" cy="857880"/>
            </a:xfrm>
            <a:custGeom>
              <a:avLst/>
              <a:gdLst>
                <a:gd name="textAreaLeft" fmla="*/ 0 w 349200"/>
                <a:gd name="textAreaRight" fmla="*/ 349560 w 349200"/>
                <a:gd name="textAreaTop" fmla="*/ 0 h 857880"/>
                <a:gd name="textAreaBottom" fmla="*/ 858240 h 8578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10" name="Group 243"/>
            <xdr:cNvGrpSpPr/>
          </xdr:nvGrpSpPr>
          <xdr:grpSpPr>
            <a:xfrm>
              <a:off x="15121800" y="1009440"/>
              <a:ext cx="276480" cy="2821680"/>
              <a:chOff x="15121800" y="1009440"/>
              <a:chExt cx="276480" cy="2821680"/>
            </a:xfrm>
          </xdr:grpSpPr>
          <xdr:sp>
            <xdr:nvSpPr>
              <xdr:cNvPr id="111" name="Line 244"/>
              <xdr:cNvSpPr/>
            </xdr:nvSpPr>
            <xdr:spPr>
              <a:xfrm>
                <a:off x="15250680" y="1009440"/>
                <a:ext cx="360" cy="833400"/>
              </a:xfrm>
              <a:prstGeom prst="line">
                <a:avLst/>
              </a:prstGeom>
              <a:ln w="9525">
                <a:solidFill>
                  <a:srgbClr val="00b0f0"/>
                </a:solidFill>
                <a:round/>
              </a:ln>
            </xdr:spPr>
            <xdr:style>
              <a:lnRef idx="0"/>
              <a:fillRef idx="0"/>
              <a:effectRef idx="0"/>
              <a:fontRef idx="minor"/>
            </xdr:style>
          </xdr:sp>
          <xdr:sp>
            <xdr:nvSpPr>
              <xdr:cNvPr id="112" name="Line 245"/>
              <xdr:cNvSpPr/>
            </xdr:nvSpPr>
            <xdr:spPr>
              <a:xfrm>
                <a:off x="15250680" y="1842840"/>
                <a:ext cx="147240" cy="226080"/>
              </a:xfrm>
              <a:prstGeom prst="line">
                <a:avLst/>
              </a:prstGeom>
              <a:ln w="9525">
                <a:solidFill>
                  <a:srgbClr val="00b0f0"/>
                </a:solidFill>
                <a:round/>
              </a:ln>
            </xdr:spPr>
            <xdr:style>
              <a:lnRef idx="0"/>
              <a:fillRef idx="0"/>
              <a:effectRef idx="0"/>
              <a:fontRef idx="minor"/>
            </xdr:style>
          </xdr:sp>
          <xdr:sp>
            <xdr:nvSpPr>
              <xdr:cNvPr id="113" name="Line 246"/>
              <xdr:cNvSpPr/>
            </xdr:nvSpPr>
            <xdr:spPr>
              <a:xfrm>
                <a:off x="15397920" y="2068920"/>
                <a:ext cx="360" cy="571680"/>
              </a:xfrm>
              <a:prstGeom prst="line">
                <a:avLst/>
              </a:prstGeom>
              <a:ln w="9525">
                <a:solidFill>
                  <a:srgbClr val="00b0f0"/>
                </a:solidFill>
                <a:round/>
              </a:ln>
            </xdr:spPr>
            <xdr:style>
              <a:lnRef idx="0"/>
              <a:fillRef idx="0"/>
              <a:effectRef idx="0"/>
              <a:fontRef idx="minor"/>
            </xdr:style>
          </xdr:sp>
          <xdr:sp>
            <xdr:nvSpPr>
              <xdr:cNvPr id="114" name="Line 247"/>
              <xdr:cNvSpPr/>
            </xdr:nvSpPr>
            <xdr:spPr>
              <a:xfrm flipH="1">
                <a:off x="15121800" y="2640600"/>
                <a:ext cx="276120" cy="326520"/>
              </a:xfrm>
              <a:prstGeom prst="line">
                <a:avLst/>
              </a:prstGeom>
              <a:ln w="9525">
                <a:solidFill>
                  <a:srgbClr val="00b0f0"/>
                </a:solidFill>
                <a:round/>
              </a:ln>
            </xdr:spPr>
            <xdr:style>
              <a:lnRef idx="0"/>
              <a:fillRef idx="0"/>
              <a:effectRef idx="0"/>
              <a:fontRef idx="minor"/>
            </xdr:style>
          </xdr:sp>
          <xdr:sp>
            <xdr:nvSpPr>
              <xdr:cNvPr id="115" name="Line 248"/>
              <xdr:cNvSpPr/>
            </xdr:nvSpPr>
            <xdr:spPr>
              <a:xfrm>
                <a:off x="15121800" y="2967120"/>
                <a:ext cx="360" cy="864000"/>
              </a:xfrm>
              <a:prstGeom prst="line">
                <a:avLst/>
              </a:prstGeom>
              <a:ln w="9525">
                <a:solidFill>
                  <a:srgbClr val="00b0f0"/>
                </a:solidFill>
                <a:round/>
              </a:ln>
            </xdr:spPr>
            <xdr:style>
              <a:lnRef idx="0"/>
              <a:fillRef idx="0"/>
              <a:effectRef idx="0"/>
              <a:fontRef idx="minor"/>
            </xdr:style>
          </xdr:sp>
        </xdr:grpSp>
      </xdr:grpSp>
      <xdr:sp>
        <xdr:nvSpPr>
          <xdr:cNvPr id="116" name="Line 249"/>
          <xdr:cNvSpPr/>
        </xdr:nvSpPr>
        <xdr:spPr>
          <a:xfrm>
            <a:off x="14678640" y="3683880"/>
            <a:ext cx="1800" cy="1174680"/>
          </a:xfrm>
          <a:prstGeom prst="line">
            <a:avLst/>
          </a:prstGeom>
          <a:ln w="9525">
            <a:solidFill>
              <a:srgbClr val="00b0f0"/>
            </a:solidFill>
            <a:round/>
          </a:ln>
        </xdr:spPr>
        <xdr:style>
          <a:lnRef idx="0"/>
          <a:fillRef idx="0"/>
          <a:effectRef idx="0"/>
          <a:fontRef idx="minor"/>
        </xdr:style>
      </xdr:sp>
      <xdr:sp>
        <xdr:nvSpPr>
          <xdr:cNvPr id="117" name="Line 250"/>
          <xdr:cNvSpPr/>
        </xdr:nvSpPr>
        <xdr:spPr>
          <a:xfrm>
            <a:off x="15121800" y="3683880"/>
            <a:ext cx="360" cy="1174680"/>
          </a:xfrm>
          <a:prstGeom prst="line">
            <a:avLst/>
          </a:prstGeom>
          <a:ln w="9525">
            <a:solidFill>
              <a:srgbClr val="00b0f0"/>
            </a:solidFill>
            <a:round/>
          </a:ln>
        </xdr:spPr>
        <xdr:style>
          <a:lnRef idx="0"/>
          <a:fillRef idx="0"/>
          <a:effectRef idx="0"/>
          <a:fontRef idx="minor"/>
        </xdr:style>
      </xdr:sp>
      <xdr:sp>
        <xdr:nvSpPr>
          <xdr:cNvPr id="118" name="Line 251"/>
          <xdr:cNvSpPr/>
        </xdr:nvSpPr>
        <xdr:spPr>
          <a:xfrm>
            <a:off x="14676480" y="4858560"/>
            <a:ext cx="443520" cy="360"/>
          </a:xfrm>
          <a:prstGeom prst="line">
            <a:avLst/>
          </a:prstGeom>
          <a:ln w="9525">
            <a:solidFill>
              <a:srgbClr val="00b0f0"/>
            </a:solidFill>
            <a:round/>
          </a:ln>
        </xdr:spPr>
        <xdr:style>
          <a:lnRef idx="0"/>
          <a:fillRef idx="0"/>
          <a:effectRef idx="0"/>
          <a:fontRef idx="minor"/>
        </xdr:style>
      </xdr:sp>
      <xdr:sp>
        <xdr:nvSpPr>
          <xdr:cNvPr id="119" name="Line 252"/>
          <xdr:cNvSpPr/>
        </xdr:nvSpPr>
        <xdr:spPr>
          <a:xfrm flipV="1">
            <a:off x="16011720" y="4443480"/>
            <a:ext cx="1080" cy="842400"/>
          </a:xfrm>
          <a:prstGeom prst="line">
            <a:avLst/>
          </a:prstGeom>
          <a:ln w="9525">
            <a:solidFill>
              <a:srgbClr val="00b0f0"/>
            </a:solidFill>
            <a:round/>
          </a:ln>
        </xdr:spPr>
        <xdr:style>
          <a:lnRef idx="0"/>
          <a:fillRef idx="0"/>
          <a:effectRef idx="0"/>
          <a:fontRef idx="minor"/>
        </xdr:style>
      </xdr:sp>
      <xdr:sp>
        <xdr:nvSpPr>
          <xdr:cNvPr id="120" name="Line 253"/>
          <xdr:cNvSpPr/>
        </xdr:nvSpPr>
        <xdr:spPr>
          <a:xfrm>
            <a:off x="15127560" y="4671360"/>
            <a:ext cx="880200" cy="633960"/>
          </a:xfrm>
          <a:prstGeom prst="line">
            <a:avLst/>
          </a:prstGeom>
          <a:ln w="9525">
            <a:solidFill>
              <a:srgbClr val="00b0f0"/>
            </a:solidFill>
            <a:round/>
          </a:ln>
        </xdr:spPr>
        <xdr:style>
          <a:lnRef idx="0"/>
          <a:fillRef idx="0"/>
          <a:effectRef idx="0"/>
          <a:fontRef idx="minor"/>
        </xdr:style>
      </xdr:sp>
      <xdr:sp>
        <xdr:nvSpPr>
          <xdr:cNvPr id="121" name="Line 254"/>
          <xdr:cNvSpPr/>
        </xdr:nvSpPr>
        <xdr:spPr>
          <a:xfrm flipH="1" flipV="1">
            <a:off x="15135480" y="3227400"/>
            <a:ext cx="876240" cy="1221480"/>
          </a:xfrm>
          <a:prstGeom prst="line">
            <a:avLst/>
          </a:prstGeom>
          <a:ln w="9525">
            <a:solidFill>
              <a:srgbClr val="00b0f0"/>
            </a:solidFill>
            <a:round/>
          </a:ln>
        </xdr:spPr>
        <xdr:style>
          <a:lnRef idx="0"/>
          <a:fillRef idx="0"/>
          <a:effectRef idx="0"/>
          <a:fontRef idx="minor"/>
        </xdr:style>
      </xdr:sp>
      <xdr:sp>
        <xdr:nvSpPr>
          <xdr:cNvPr id="122" name="Line 255"/>
          <xdr:cNvSpPr/>
        </xdr:nvSpPr>
        <xdr:spPr>
          <a:xfrm flipH="1" flipV="1">
            <a:off x="13796640" y="4456800"/>
            <a:ext cx="720" cy="842400"/>
          </a:xfrm>
          <a:prstGeom prst="line">
            <a:avLst/>
          </a:prstGeom>
          <a:ln w="9525">
            <a:solidFill>
              <a:srgbClr val="00b0f0"/>
            </a:solidFill>
            <a:round/>
          </a:ln>
        </xdr:spPr>
        <xdr:style>
          <a:lnRef idx="0"/>
          <a:fillRef idx="0"/>
          <a:effectRef idx="0"/>
          <a:fontRef idx="minor"/>
        </xdr:style>
      </xdr:sp>
      <xdr:sp>
        <xdr:nvSpPr>
          <xdr:cNvPr id="123" name="Line 256"/>
          <xdr:cNvSpPr/>
        </xdr:nvSpPr>
        <xdr:spPr>
          <a:xfrm flipH="1">
            <a:off x="13796640" y="4677840"/>
            <a:ext cx="879840" cy="633960"/>
          </a:xfrm>
          <a:prstGeom prst="line">
            <a:avLst/>
          </a:prstGeom>
          <a:ln w="9525">
            <a:solidFill>
              <a:srgbClr val="00b0f0"/>
            </a:solidFill>
            <a:round/>
          </a:ln>
        </xdr:spPr>
        <xdr:style>
          <a:lnRef idx="0"/>
          <a:fillRef idx="0"/>
          <a:effectRef idx="0"/>
          <a:fontRef idx="minor"/>
        </xdr:style>
      </xdr:sp>
      <xdr:sp>
        <xdr:nvSpPr>
          <xdr:cNvPr id="124" name="Line 257"/>
          <xdr:cNvSpPr/>
        </xdr:nvSpPr>
        <xdr:spPr>
          <a:xfrm flipV="1">
            <a:off x="13804200" y="3233520"/>
            <a:ext cx="876240" cy="12214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17</xdr:col>
      <xdr:colOff>831600</xdr:colOff>
      <xdr:row>11</xdr:row>
      <xdr:rowOff>101520</xdr:rowOff>
    </xdr:from>
    <xdr:to>
      <xdr:col>18</xdr:col>
      <xdr:colOff>368280</xdr:colOff>
      <xdr:row>11</xdr:row>
      <xdr:rowOff>101520</xdr:rowOff>
    </xdr:to>
    <xdr:sp>
      <xdr:nvSpPr>
        <xdr:cNvPr id="125" name="Line 268"/>
        <xdr:cNvSpPr/>
      </xdr:nvSpPr>
      <xdr:spPr>
        <a:xfrm>
          <a:off x="14558400" y="2025720"/>
          <a:ext cx="6796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88560</xdr:colOff>
      <xdr:row>1</xdr:row>
      <xdr:rowOff>12600</xdr:rowOff>
    </xdr:from>
    <xdr:to>
      <xdr:col>19</xdr:col>
      <xdr:colOff>336240</xdr:colOff>
      <xdr:row>1</xdr:row>
      <xdr:rowOff>12600</xdr:rowOff>
    </xdr:to>
    <xdr:sp>
      <xdr:nvSpPr>
        <xdr:cNvPr id="126" name="Line 269"/>
        <xdr:cNvSpPr/>
      </xdr:nvSpPr>
      <xdr:spPr>
        <a:xfrm>
          <a:off x="13815360" y="183960"/>
          <a:ext cx="253368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1054080</xdr:colOff>
      <xdr:row>1</xdr:row>
      <xdr:rowOff>12600</xdr:rowOff>
    </xdr:from>
    <xdr:to>
      <xdr:col>18</xdr:col>
      <xdr:colOff>1054080</xdr:colOff>
      <xdr:row>28</xdr:row>
      <xdr:rowOff>139680</xdr:rowOff>
    </xdr:to>
    <xdr:sp>
      <xdr:nvSpPr>
        <xdr:cNvPr id="127" name="Line 270"/>
        <xdr:cNvSpPr/>
      </xdr:nvSpPr>
      <xdr:spPr>
        <a:xfrm>
          <a:off x="15923880" y="183960"/>
          <a:ext cx="0" cy="4651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120600</xdr:colOff>
      <xdr:row>10</xdr:row>
      <xdr:rowOff>152280</xdr:rowOff>
    </xdr:from>
    <xdr:to>
      <xdr:col>18</xdr:col>
      <xdr:colOff>412560</xdr:colOff>
      <xdr:row>10</xdr:row>
      <xdr:rowOff>152280</xdr:rowOff>
    </xdr:to>
    <xdr:sp>
      <xdr:nvSpPr>
        <xdr:cNvPr id="128" name="Line 271"/>
        <xdr:cNvSpPr/>
      </xdr:nvSpPr>
      <xdr:spPr>
        <a:xfrm>
          <a:off x="13847400" y="1904760"/>
          <a:ext cx="143496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152280</xdr:colOff>
      <xdr:row>0</xdr:row>
      <xdr:rowOff>158400</xdr:rowOff>
    </xdr:from>
    <xdr:to>
      <xdr:col>17</xdr:col>
      <xdr:colOff>152280</xdr:colOff>
      <xdr:row>10</xdr:row>
      <xdr:rowOff>139680</xdr:rowOff>
    </xdr:to>
    <xdr:sp>
      <xdr:nvSpPr>
        <xdr:cNvPr id="129" name="Line 272"/>
        <xdr:cNvSpPr/>
      </xdr:nvSpPr>
      <xdr:spPr>
        <a:xfrm>
          <a:off x="13879080" y="158400"/>
          <a:ext cx="0" cy="17337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234720</xdr:colOff>
      <xdr:row>31</xdr:row>
      <xdr:rowOff>95040</xdr:rowOff>
    </xdr:from>
    <xdr:to>
      <xdr:col>17</xdr:col>
      <xdr:colOff>82440</xdr:colOff>
      <xdr:row>31</xdr:row>
      <xdr:rowOff>95040</xdr:rowOff>
    </xdr:to>
    <xdr:sp>
      <xdr:nvSpPr>
        <xdr:cNvPr id="130" name="Line 277"/>
        <xdr:cNvSpPr/>
      </xdr:nvSpPr>
      <xdr:spPr>
        <a:xfrm>
          <a:off x="13139280" y="5305320"/>
          <a:ext cx="66996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196560</xdr:colOff>
      <xdr:row>29</xdr:row>
      <xdr:rowOff>88560</xdr:rowOff>
    </xdr:from>
    <xdr:to>
      <xdr:col>18</xdr:col>
      <xdr:colOff>1035000</xdr:colOff>
      <xdr:row>29</xdr:row>
      <xdr:rowOff>88560</xdr:rowOff>
    </xdr:to>
    <xdr:sp>
      <xdr:nvSpPr>
        <xdr:cNvPr id="131" name="Line 280"/>
        <xdr:cNvSpPr/>
      </xdr:nvSpPr>
      <xdr:spPr>
        <a:xfrm>
          <a:off x="15066360" y="4955760"/>
          <a:ext cx="838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507960</xdr:colOff>
      <xdr:row>20</xdr:row>
      <xdr:rowOff>0</xdr:rowOff>
    </xdr:from>
    <xdr:to>
      <xdr:col>17</xdr:col>
      <xdr:colOff>507960</xdr:colOff>
      <xdr:row>28</xdr:row>
      <xdr:rowOff>126720</xdr:rowOff>
    </xdr:to>
    <xdr:sp>
      <xdr:nvSpPr>
        <xdr:cNvPr id="132" name="Line 281"/>
        <xdr:cNvSpPr/>
      </xdr:nvSpPr>
      <xdr:spPr>
        <a:xfrm>
          <a:off x="14234760" y="3390840"/>
          <a:ext cx="0" cy="14317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311040</xdr:colOff>
      <xdr:row>27</xdr:row>
      <xdr:rowOff>133200</xdr:rowOff>
    </xdr:from>
    <xdr:to>
      <xdr:col>16</xdr:col>
      <xdr:colOff>323640</xdr:colOff>
      <xdr:row>31</xdr:row>
      <xdr:rowOff>95040</xdr:rowOff>
    </xdr:to>
    <xdr:sp>
      <xdr:nvSpPr>
        <xdr:cNvPr id="133" name="Line 282"/>
        <xdr:cNvSpPr/>
      </xdr:nvSpPr>
      <xdr:spPr>
        <a:xfrm flipH="1">
          <a:off x="13215600" y="4657680"/>
          <a:ext cx="12600" cy="6476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730080</xdr:colOff>
      <xdr:row>20</xdr:row>
      <xdr:rowOff>0</xdr:rowOff>
    </xdr:from>
    <xdr:to>
      <xdr:col>16</xdr:col>
      <xdr:colOff>730080</xdr:colOff>
      <xdr:row>27</xdr:row>
      <xdr:rowOff>133200</xdr:rowOff>
    </xdr:to>
    <xdr:sp>
      <xdr:nvSpPr>
        <xdr:cNvPr id="134" name="Line 283"/>
        <xdr:cNvSpPr/>
      </xdr:nvSpPr>
      <xdr:spPr>
        <a:xfrm>
          <a:off x="13634640" y="3390840"/>
          <a:ext cx="0" cy="1266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69840</xdr:colOff>
      <xdr:row>31</xdr:row>
      <xdr:rowOff>95040</xdr:rowOff>
    </xdr:from>
    <xdr:to>
      <xdr:col>17</xdr:col>
      <xdr:colOff>69840</xdr:colOff>
      <xdr:row>31</xdr:row>
      <xdr:rowOff>171360</xdr:rowOff>
    </xdr:to>
    <xdr:sp>
      <xdr:nvSpPr>
        <xdr:cNvPr id="135" name="Line 284"/>
        <xdr:cNvSpPr/>
      </xdr:nvSpPr>
      <xdr:spPr>
        <a:xfrm flipV="1">
          <a:off x="13796640" y="5305320"/>
          <a:ext cx="0" cy="763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946080</xdr:colOff>
      <xdr:row>29</xdr:row>
      <xdr:rowOff>88560</xdr:rowOff>
    </xdr:from>
    <xdr:to>
      <xdr:col>17</xdr:col>
      <xdr:colOff>946080</xdr:colOff>
      <xdr:row>31</xdr:row>
      <xdr:rowOff>158400</xdr:rowOff>
    </xdr:to>
    <xdr:sp>
      <xdr:nvSpPr>
        <xdr:cNvPr id="136" name="Line 285"/>
        <xdr:cNvSpPr/>
      </xdr:nvSpPr>
      <xdr:spPr>
        <a:xfrm flipV="1">
          <a:off x="14672880" y="4955760"/>
          <a:ext cx="0" cy="4129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88560</xdr:colOff>
      <xdr:row>31</xdr:row>
      <xdr:rowOff>126720</xdr:rowOff>
    </xdr:from>
    <xdr:to>
      <xdr:col>17</xdr:col>
      <xdr:colOff>958680</xdr:colOff>
      <xdr:row>31</xdr:row>
      <xdr:rowOff>126720</xdr:rowOff>
    </xdr:to>
    <xdr:sp>
      <xdr:nvSpPr>
        <xdr:cNvPr id="137" name="Line 286"/>
        <xdr:cNvSpPr/>
      </xdr:nvSpPr>
      <xdr:spPr>
        <a:xfrm>
          <a:off x="13815360" y="5337000"/>
          <a:ext cx="8701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666720</xdr:colOff>
      <xdr:row>16</xdr:row>
      <xdr:rowOff>56880</xdr:rowOff>
    </xdr:from>
    <xdr:to>
      <xdr:col>18</xdr:col>
      <xdr:colOff>514080</xdr:colOff>
      <xdr:row>16</xdr:row>
      <xdr:rowOff>56880</xdr:rowOff>
    </xdr:to>
    <xdr:sp>
      <xdr:nvSpPr>
        <xdr:cNvPr id="138" name="Line 287"/>
        <xdr:cNvSpPr/>
      </xdr:nvSpPr>
      <xdr:spPr>
        <a:xfrm>
          <a:off x="14393520" y="2800080"/>
          <a:ext cx="99036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831600</xdr:colOff>
      <xdr:row>14</xdr:row>
      <xdr:rowOff>126720</xdr:rowOff>
    </xdr:from>
    <xdr:to>
      <xdr:col>19</xdr:col>
      <xdr:colOff>18720</xdr:colOff>
      <xdr:row>14</xdr:row>
      <xdr:rowOff>126720</xdr:rowOff>
    </xdr:to>
    <xdr:sp>
      <xdr:nvSpPr>
        <xdr:cNvPr id="139" name="Line 289"/>
        <xdr:cNvSpPr/>
      </xdr:nvSpPr>
      <xdr:spPr>
        <a:xfrm>
          <a:off x="14558400" y="2545920"/>
          <a:ext cx="14731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679320</xdr:colOff>
      <xdr:row>15</xdr:row>
      <xdr:rowOff>126720</xdr:rowOff>
    </xdr:from>
    <xdr:to>
      <xdr:col>19</xdr:col>
      <xdr:colOff>44280</xdr:colOff>
      <xdr:row>15</xdr:row>
      <xdr:rowOff>126720</xdr:rowOff>
    </xdr:to>
    <xdr:sp>
      <xdr:nvSpPr>
        <xdr:cNvPr id="140" name="Line 290"/>
        <xdr:cNvSpPr/>
      </xdr:nvSpPr>
      <xdr:spPr>
        <a:xfrm>
          <a:off x="14406120" y="2707920"/>
          <a:ext cx="165096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666720</xdr:colOff>
      <xdr:row>18</xdr:row>
      <xdr:rowOff>69840</xdr:rowOff>
    </xdr:from>
    <xdr:to>
      <xdr:col>19</xdr:col>
      <xdr:colOff>44280</xdr:colOff>
      <xdr:row>18</xdr:row>
      <xdr:rowOff>69840</xdr:rowOff>
    </xdr:to>
    <xdr:sp>
      <xdr:nvSpPr>
        <xdr:cNvPr id="141" name="Line 291"/>
        <xdr:cNvSpPr/>
      </xdr:nvSpPr>
      <xdr:spPr>
        <a:xfrm>
          <a:off x="14393520" y="3137040"/>
          <a:ext cx="166356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946080</xdr:colOff>
      <xdr:row>19</xdr:row>
      <xdr:rowOff>139680</xdr:rowOff>
    </xdr:from>
    <xdr:to>
      <xdr:col>19</xdr:col>
      <xdr:colOff>12600</xdr:colOff>
      <xdr:row>19</xdr:row>
      <xdr:rowOff>139680</xdr:rowOff>
    </xdr:to>
    <xdr:sp>
      <xdr:nvSpPr>
        <xdr:cNvPr id="142" name="Line 292"/>
        <xdr:cNvSpPr/>
      </xdr:nvSpPr>
      <xdr:spPr>
        <a:xfrm>
          <a:off x="14672880" y="3368520"/>
          <a:ext cx="13525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1136520</xdr:colOff>
      <xdr:row>1</xdr:row>
      <xdr:rowOff>0</xdr:rowOff>
    </xdr:from>
    <xdr:to>
      <xdr:col>17</xdr:col>
      <xdr:colOff>1143000</xdr:colOff>
      <xdr:row>14</xdr:row>
      <xdr:rowOff>126720</xdr:rowOff>
    </xdr:to>
    <xdr:sp>
      <xdr:nvSpPr>
        <xdr:cNvPr id="143" name="Line 293"/>
        <xdr:cNvSpPr/>
      </xdr:nvSpPr>
      <xdr:spPr>
        <a:xfrm flipH="1">
          <a:off x="14863320" y="171360"/>
          <a:ext cx="6480" cy="2374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18</xdr:col>
      <xdr:colOff>190440</xdr:colOff>
      <xdr:row>1</xdr:row>
      <xdr:rowOff>0</xdr:rowOff>
    </xdr:from>
    <xdr:to>
      <xdr:col>18</xdr:col>
      <xdr:colOff>190440</xdr:colOff>
      <xdr:row>18</xdr:row>
      <xdr:rowOff>69840</xdr:rowOff>
    </xdr:to>
    <xdr:sp>
      <xdr:nvSpPr>
        <xdr:cNvPr id="144" name="Line 294"/>
        <xdr:cNvSpPr/>
      </xdr:nvSpPr>
      <xdr:spPr>
        <a:xfrm>
          <a:off x="15060240" y="171360"/>
          <a:ext cx="0" cy="29656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18720</xdr:colOff>
      <xdr:row>14</xdr:row>
      <xdr:rowOff>126720</xdr:rowOff>
    </xdr:from>
    <xdr:to>
      <xdr:col>19</xdr:col>
      <xdr:colOff>18720</xdr:colOff>
      <xdr:row>15</xdr:row>
      <xdr:rowOff>126720</xdr:rowOff>
    </xdr:to>
    <xdr:sp>
      <xdr:nvSpPr>
        <xdr:cNvPr id="145" name="Line 295"/>
        <xdr:cNvSpPr/>
      </xdr:nvSpPr>
      <xdr:spPr>
        <a:xfrm>
          <a:off x="16031520" y="2545920"/>
          <a:ext cx="0" cy="16200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12600</xdr:colOff>
      <xdr:row>18</xdr:row>
      <xdr:rowOff>69840</xdr:rowOff>
    </xdr:from>
    <xdr:to>
      <xdr:col>19</xdr:col>
      <xdr:colOff>12600</xdr:colOff>
      <xdr:row>19</xdr:row>
      <xdr:rowOff>139680</xdr:rowOff>
    </xdr:to>
    <xdr:sp>
      <xdr:nvSpPr>
        <xdr:cNvPr id="146" name="Line 296"/>
        <xdr:cNvSpPr/>
      </xdr:nvSpPr>
      <xdr:spPr>
        <a:xfrm>
          <a:off x="16025400" y="3137040"/>
          <a:ext cx="0" cy="2314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0</xdr:colOff>
      <xdr:row>11</xdr:row>
      <xdr:rowOff>101520</xdr:rowOff>
    </xdr:from>
    <xdr:to>
      <xdr:col>17</xdr:col>
      <xdr:colOff>838080</xdr:colOff>
      <xdr:row>11</xdr:row>
      <xdr:rowOff>101520</xdr:rowOff>
    </xdr:to>
    <xdr:sp>
      <xdr:nvSpPr>
        <xdr:cNvPr id="147" name="Line 297"/>
        <xdr:cNvSpPr/>
      </xdr:nvSpPr>
      <xdr:spPr>
        <a:xfrm>
          <a:off x="13726800" y="20257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16</xdr:row>
      <xdr:rowOff>69840</xdr:rowOff>
    </xdr:from>
    <xdr:to>
      <xdr:col>17</xdr:col>
      <xdr:colOff>679320</xdr:colOff>
      <xdr:row>16</xdr:row>
      <xdr:rowOff>69840</xdr:rowOff>
    </xdr:to>
    <xdr:sp>
      <xdr:nvSpPr>
        <xdr:cNvPr id="148" name="Line 298"/>
        <xdr:cNvSpPr/>
      </xdr:nvSpPr>
      <xdr:spPr>
        <a:xfrm>
          <a:off x="13726800" y="2813040"/>
          <a:ext cx="679320" cy="0"/>
        </a:xfrm>
        <a:prstGeom prst="line">
          <a:avLst/>
        </a:prstGeom>
        <a:ln w="9525">
          <a:solidFill>
            <a:srgbClr val="92d050"/>
          </a:solidFill>
          <a:round/>
        </a:ln>
      </xdr:spPr>
      <xdr:style>
        <a:lnRef idx="0"/>
        <a:fillRef idx="0"/>
        <a:effectRef idx="0"/>
        <a:fontRef idx="minor"/>
      </xdr:style>
    </xdr:sp>
    <xdr:clientData/>
  </xdr:twoCellAnchor>
  <xdr:twoCellAnchor editAs="twoCell">
    <xdr:from>
      <xdr:col>17</xdr:col>
      <xdr:colOff>514080</xdr:colOff>
      <xdr:row>31</xdr:row>
      <xdr:rowOff>126720</xdr:rowOff>
    </xdr:from>
    <xdr:to>
      <xdr:col>17</xdr:col>
      <xdr:colOff>514080</xdr:colOff>
      <xdr:row>33</xdr:row>
      <xdr:rowOff>95040</xdr:rowOff>
    </xdr:to>
    <xdr:sp>
      <xdr:nvSpPr>
        <xdr:cNvPr id="149" name="Line 301"/>
        <xdr:cNvSpPr/>
      </xdr:nvSpPr>
      <xdr:spPr>
        <a:xfrm>
          <a:off x="14240880" y="5337000"/>
          <a:ext cx="0" cy="31104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2</xdr:row>
      <xdr:rowOff>75960</xdr:rowOff>
    </xdr:from>
    <xdr:to>
      <xdr:col>17</xdr:col>
      <xdr:colOff>152280</xdr:colOff>
      <xdr:row>2</xdr:row>
      <xdr:rowOff>75960</xdr:rowOff>
    </xdr:to>
    <xdr:sp>
      <xdr:nvSpPr>
        <xdr:cNvPr id="150" name="Line 302"/>
        <xdr:cNvSpPr/>
      </xdr:nvSpPr>
      <xdr:spPr>
        <a:xfrm>
          <a:off x="13726800" y="4190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628560</xdr:colOff>
      <xdr:row>10</xdr:row>
      <xdr:rowOff>88560</xdr:rowOff>
    </xdr:from>
    <xdr:to>
      <xdr:col>19</xdr:col>
      <xdr:colOff>822240</xdr:colOff>
      <xdr:row>10</xdr:row>
      <xdr:rowOff>88560</xdr:rowOff>
    </xdr:to>
    <xdr:sp>
      <xdr:nvSpPr>
        <xdr:cNvPr id="151" name="Line 303"/>
        <xdr:cNvSpPr/>
      </xdr:nvSpPr>
      <xdr:spPr>
        <a:xfrm>
          <a:off x="15498360" y="1841040"/>
          <a:ext cx="1336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18</xdr:col>
      <xdr:colOff>190440</xdr:colOff>
      <xdr:row>12</xdr:row>
      <xdr:rowOff>75960</xdr:rowOff>
    </xdr:from>
    <xdr:to>
      <xdr:col>19</xdr:col>
      <xdr:colOff>822240</xdr:colOff>
      <xdr:row>12</xdr:row>
      <xdr:rowOff>75960</xdr:rowOff>
    </xdr:to>
    <xdr:sp>
      <xdr:nvSpPr>
        <xdr:cNvPr id="152" name="Line 304"/>
        <xdr:cNvSpPr/>
      </xdr:nvSpPr>
      <xdr:spPr>
        <a:xfrm>
          <a:off x="15060240" y="2171520"/>
          <a:ext cx="17748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15</xdr:row>
      <xdr:rowOff>44280</xdr:rowOff>
    </xdr:from>
    <xdr:to>
      <xdr:col>19</xdr:col>
      <xdr:colOff>787320</xdr:colOff>
      <xdr:row>15</xdr:row>
      <xdr:rowOff>44280</xdr:rowOff>
    </xdr:to>
    <xdr:sp>
      <xdr:nvSpPr>
        <xdr:cNvPr id="153" name="Line 305"/>
        <xdr:cNvSpPr/>
      </xdr:nvSpPr>
      <xdr:spPr>
        <a:xfrm>
          <a:off x="16031520" y="2625480"/>
          <a:ext cx="7686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19</xdr:row>
      <xdr:rowOff>25200</xdr:rowOff>
    </xdr:from>
    <xdr:to>
      <xdr:col>19</xdr:col>
      <xdr:colOff>806400</xdr:colOff>
      <xdr:row>19</xdr:row>
      <xdr:rowOff>25200</xdr:rowOff>
    </xdr:to>
    <xdr:sp>
      <xdr:nvSpPr>
        <xdr:cNvPr id="154" name="Line 308"/>
        <xdr:cNvSpPr/>
      </xdr:nvSpPr>
      <xdr:spPr>
        <a:xfrm flipH="1">
          <a:off x="16031520" y="3254040"/>
          <a:ext cx="787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15</xdr:col>
      <xdr:colOff>812520</xdr:colOff>
      <xdr:row>28</xdr:row>
      <xdr:rowOff>88560</xdr:rowOff>
    </xdr:from>
    <xdr:to>
      <xdr:col>16</xdr:col>
      <xdr:colOff>323640</xdr:colOff>
      <xdr:row>28</xdr:row>
      <xdr:rowOff>88560</xdr:rowOff>
    </xdr:to>
    <xdr:sp>
      <xdr:nvSpPr>
        <xdr:cNvPr id="155" name="Line 310"/>
        <xdr:cNvSpPr/>
      </xdr:nvSpPr>
      <xdr:spPr>
        <a:xfrm>
          <a:off x="12894840" y="4784400"/>
          <a:ext cx="3333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16</xdr:col>
      <xdr:colOff>234720</xdr:colOff>
      <xdr:row>27</xdr:row>
      <xdr:rowOff>126720</xdr:rowOff>
    </xdr:from>
    <xdr:to>
      <xdr:col>17</xdr:col>
      <xdr:colOff>69840</xdr:colOff>
      <xdr:row>27</xdr:row>
      <xdr:rowOff>126720</xdr:rowOff>
    </xdr:to>
    <xdr:sp>
      <xdr:nvSpPr>
        <xdr:cNvPr id="156" name="Line 277"/>
        <xdr:cNvSpPr/>
      </xdr:nvSpPr>
      <xdr:spPr>
        <a:xfrm>
          <a:off x="13139280" y="4651200"/>
          <a:ext cx="65736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412560</xdr:colOff>
      <xdr:row>28</xdr:row>
      <xdr:rowOff>126720</xdr:rowOff>
    </xdr:from>
    <xdr:to>
      <xdr:col>19</xdr:col>
      <xdr:colOff>82440</xdr:colOff>
      <xdr:row>28</xdr:row>
      <xdr:rowOff>126720</xdr:rowOff>
    </xdr:to>
    <xdr:sp>
      <xdr:nvSpPr>
        <xdr:cNvPr id="157" name="Line 280"/>
        <xdr:cNvSpPr/>
      </xdr:nvSpPr>
      <xdr:spPr>
        <a:xfrm>
          <a:off x="14139360" y="4822560"/>
          <a:ext cx="195588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164880</xdr:colOff>
      <xdr:row>30</xdr:row>
      <xdr:rowOff>44280</xdr:rowOff>
    </xdr:from>
    <xdr:to>
      <xdr:col>18</xdr:col>
      <xdr:colOff>927000</xdr:colOff>
      <xdr:row>30</xdr:row>
      <xdr:rowOff>44280</xdr:rowOff>
    </xdr:to>
    <xdr:sp>
      <xdr:nvSpPr>
        <xdr:cNvPr id="158" name="Line 280"/>
        <xdr:cNvSpPr/>
      </xdr:nvSpPr>
      <xdr:spPr>
        <a:xfrm>
          <a:off x="15034680" y="5082840"/>
          <a:ext cx="7621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1047600</xdr:colOff>
      <xdr:row>20</xdr:row>
      <xdr:rowOff>0</xdr:rowOff>
    </xdr:from>
    <xdr:to>
      <xdr:col>18</xdr:col>
      <xdr:colOff>158400</xdr:colOff>
      <xdr:row>30</xdr:row>
      <xdr:rowOff>43920</xdr:rowOff>
    </xdr:to>
    <xdr:sp>
      <xdr:nvSpPr>
        <xdr:cNvPr id="159" name="Rectangle 139"/>
        <xdr:cNvSpPr/>
      </xdr:nvSpPr>
      <xdr:spPr>
        <a:xfrm>
          <a:off x="14774400" y="3390840"/>
          <a:ext cx="253800" cy="1691640"/>
        </a:xfrm>
        <a:prstGeom prst="rect">
          <a:avLst/>
        </a:prstGeom>
        <a:noFill/>
        <a:ln w="9525">
          <a:solidFill>
            <a:srgbClr val="00b0f0"/>
          </a:solidFill>
          <a:prstDash val="sysDash"/>
          <a:round/>
        </a:ln>
      </xdr:spPr>
      <xdr:style>
        <a:lnRef idx="0"/>
        <a:fillRef idx="0"/>
        <a:effectRef idx="0"/>
        <a:fontRef idx="minor"/>
      </xdr:style>
    </xdr:sp>
    <xdr:clientData/>
  </xdr:twoCellAnchor>
  <xdr:twoCellAnchor editAs="twoCell">
    <xdr:from>
      <xdr:col>18</xdr:col>
      <xdr:colOff>927000</xdr:colOff>
      <xdr:row>1</xdr:row>
      <xdr:rowOff>12600</xdr:rowOff>
    </xdr:from>
    <xdr:to>
      <xdr:col>18</xdr:col>
      <xdr:colOff>927000</xdr:colOff>
      <xdr:row>29</xdr:row>
      <xdr:rowOff>69840</xdr:rowOff>
    </xdr:to>
    <xdr:sp>
      <xdr:nvSpPr>
        <xdr:cNvPr id="160" name="Line 270"/>
        <xdr:cNvSpPr/>
      </xdr:nvSpPr>
      <xdr:spPr>
        <a:xfrm>
          <a:off x="15796800" y="183960"/>
          <a:ext cx="0" cy="47530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12600</xdr:colOff>
      <xdr:row>33</xdr:row>
      <xdr:rowOff>95040</xdr:rowOff>
    </xdr:from>
    <xdr:to>
      <xdr:col>17</xdr:col>
      <xdr:colOff>520560</xdr:colOff>
      <xdr:row>33</xdr:row>
      <xdr:rowOff>95040</xdr:rowOff>
    </xdr:to>
    <xdr:sp>
      <xdr:nvSpPr>
        <xdr:cNvPr id="161" name="Line 301"/>
        <xdr:cNvSpPr/>
      </xdr:nvSpPr>
      <xdr:spPr>
        <a:xfrm>
          <a:off x="13739400" y="5648040"/>
          <a:ext cx="5079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787320</xdr:colOff>
      <xdr:row>1</xdr:row>
      <xdr:rowOff>18720</xdr:rowOff>
    </xdr:from>
    <xdr:to>
      <xdr:col>18</xdr:col>
      <xdr:colOff>787320</xdr:colOff>
      <xdr:row>30</xdr:row>
      <xdr:rowOff>37800</xdr:rowOff>
    </xdr:to>
    <xdr:sp>
      <xdr:nvSpPr>
        <xdr:cNvPr id="162" name="Line 270"/>
        <xdr:cNvSpPr/>
      </xdr:nvSpPr>
      <xdr:spPr>
        <a:xfrm>
          <a:off x="15657120" y="190080"/>
          <a:ext cx="0" cy="48862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n.wikipedia.org/wiki/Template:Numerical_integrators" TargetMode="External"/><Relationship Id="rId2" Type="http://schemas.openxmlformats.org/officeDocument/2006/relationships/hyperlink" Target="http://www.planete-sciences.org/espace/basedoc/" TargetMode="External"/><Relationship Id="rId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planete-sciences.org/espace/basedoc/" TargetMode="External"/><Relationship Id="rId3" Type="http://schemas.openxmlformats.org/officeDocument/2006/relationships/hyperlink" Target="mailto:espace@planete-sciences.org" TargetMode="External"/><Relationship Id="rId4" Type="http://schemas.openxmlformats.org/officeDocument/2006/relationships/hyperlink" Target="http://creativecommons.org/licenses/by-sa/3.0/" TargetMode="External"/><Relationship Id="rId5" Type="http://schemas.openxmlformats.org/officeDocument/2006/relationships/drawing" Target="../drawings/drawing7.xml"/><Relationship Id="rId6"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W36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ColWidth="11.3359375" defaultRowHeight="12.75" zeroHeight="false" outlineLevelRow="0" outlineLevelCol="0"/>
  <cols>
    <col collapsed="false" customWidth="true" hidden="false" outlineLevel="0" max="1" min="1" style="1" width="2.22"/>
    <col collapsed="false" customWidth="true" hidden="false" outlineLevel="0" max="2" min="2" style="1" width="16.22"/>
    <col collapsed="false" customWidth="true" hidden="false" outlineLevel="0" max="3" min="3" style="2" width="12.77"/>
    <col collapsed="false" customWidth="true" hidden="false" outlineLevel="0" max="4" min="4" style="1" width="12.77"/>
    <col collapsed="false" customWidth="true" hidden="false" outlineLevel="0" max="5" min="5" style="3" width="4.22"/>
    <col collapsed="false" customWidth="true" hidden="false" outlineLevel="0" max="6" min="6" style="4" width="10.21"/>
    <col collapsed="false" customWidth="true" hidden="false" outlineLevel="0" max="7" min="7" style="4" width="10"/>
    <col collapsed="false" customWidth="true" hidden="false" outlineLevel="0" max="9" min="8" style="4" width="8.67"/>
    <col collapsed="false" customWidth="true" hidden="false" outlineLevel="0" max="10" min="10" style="1" width="5.33"/>
    <col collapsed="false" customWidth="true" hidden="false" outlineLevel="0" max="11" min="11" style="1" width="2.22"/>
    <col collapsed="false" customWidth="true" hidden="false" outlineLevel="0" max="12" min="12" style="1" width="17"/>
    <col collapsed="false" customWidth="true" hidden="false" outlineLevel="0" max="13" min="13" style="1" width="8.67"/>
    <col collapsed="false" customWidth="true" hidden="false" outlineLevel="0" max="15" min="14" style="1" width="4.22"/>
    <col collapsed="false" customWidth="true" hidden="false" outlineLevel="0" max="16" min="16" style="1" width="8.67"/>
    <col collapsed="false" customWidth="true" hidden="false" outlineLevel="0" max="18" min="17" style="1" width="2.22"/>
    <col collapsed="false" customWidth="false" hidden="false" outlineLevel="0" max="16384" min="19" style="1" width="11.33"/>
  </cols>
  <sheetData>
    <row r="1" customFormat="false" ht="12.75" hidden="false" customHeight="true" outlineLevel="0" collapsed="false">
      <c r="A1" s="5"/>
      <c r="B1" s="6"/>
      <c r="C1" s="7"/>
      <c r="D1" s="6"/>
      <c r="E1" s="8"/>
      <c r="F1" s="9"/>
      <c r="G1" s="9"/>
      <c r="H1" s="9"/>
      <c r="I1" s="9"/>
      <c r="J1" s="6"/>
      <c r="K1" s="6"/>
      <c r="L1" s="6"/>
      <c r="M1" s="6"/>
      <c r="N1" s="6"/>
      <c r="O1" s="6"/>
      <c r="P1" s="6"/>
      <c r="Q1" s="10"/>
    </row>
    <row r="2" customFormat="false" ht="12.75" hidden="false" customHeight="true" outlineLevel="0" collapsed="false">
      <c r="A2" s="11"/>
      <c r="C2" s="12" t="s">
        <v>0</v>
      </c>
      <c r="D2" s="12"/>
      <c r="L2" s="13" t="str">
        <f aca="false">"Language/Langue"</f>
        <v>Language/Langue</v>
      </c>
      <c r="M2" s="14" t="s">
        <v>1</v>
      </c>
      <c r="N2" s="14"/>
      <c r="O2" s="14"/>
      <c r="P2" s="14"/>
      <c r="Q2" s="15"/>
    </row>
    <row r="3" customFormat="false" ht="12.75" hidden="false" customHeight="true" outlineLevel="0" collapsed="false">
      <c r="A3" s="11"/>
      <c r="C3" s="12"/>
      <c r="D3" s="12"/>
      <c r="L3" s="16"/>
      <c r="M3" s="16"/>
      <c r="N3" s="17"/>
      <c r="Q3" s="15"/>
    </row>
    <row r="4" customFormat="false" ht="12.75" hidden="false" customHeight="true" outlineLevel="0" collapsed="false">
      <c r="A4" s="11"/>
      <c r="C4" s="18" t="str">
        <f aca="false">IF(Lang="Français","Stabilité de fusée à ailerons",IF(Lang="English","Stability for rocket with fins",""))</f>
        <v>Stabilité de fusée à ailerons</v>
      </c>
      <c r="D4" s="18"/>
      <c r="L4" s="19"/>
      <c r="M4" s="14" t="s">
        <v>2</v>
      </c>
      <c r="N4" s="14"/>
      <c r="O4" s="14"/>
      <c r="P4" s="14"/>
      <c r="Q4" s="15"/>
    </row>
    <row r="5" customFormat="false" ht="12.75" hidden="false" customHeight="true" outlineLevel="0" collapsed="false">
      <c r="A5" s="11"/>
      <c r="B5" s="20"/>
      <c r="C5" s="21"/>
      <c r="D5" s="21"/>
      <c r="L5" s="19"/>
      <c r="M5" s="22" t="s">
        <v>3</v>
      </c>
      <c r="N5" s="22"/>
      <c r="O5" s="22" t="s">
        <v>4</v>
      </c>
      <c r="P5" s="22"/>
      <c r="Q5" s="23"/>
    </row>
    <row r="6" customFormat="false" ht="12.75" hidden="false" customHeight="true" outlineLevel="0" collapsed="false">
      <c r="A6" s="11"/>
      <c r="B6" s="17"/>
      <c r="C6" s="24" t="str">
        <f aca="false">IF(Lang="Français","Remplir les cases jaunes",IF(Lang="English","Fill-in yellow cells only",""))</f>
        <v>Remplir les cases jaunes</v>
      </c>
      <c r="D6" s="24"/>
      <c r="L6" s="25" t="str">
        <f aca="false">IF(Lang="Français","Longueur      'L'",IF(Lang="English","Length      'L'",""))</f>
        <v>Longueur      'L'</v>
      </c>
      <c r="M6" s="26" t="n">
        <v>188</v>
      </c>
      <c r="N6" s="26"/>
      <c r="O6" s="26" t="n">
        <v>50</v>
      </c>
      <c r="P6" s="26"/>
      <c r="Q6" s="23"/>
    </row>
    <row r="7" customFormat="false" ht="12.75" hidden="false" customHeight="true" outlineLevel="0" collapsed="false">
      <c r="A7" s="11"/>
      <c r="B7" s="2"/>
      <c r="C7" s="27" t="str">
        <f aca="false">IF(Lang="Français","Fusée",IF(Lang="English","Rocket",""))</f>
        <v>Fusée</v>
      </c>
      <c r="D7" s="27"/>
      <c r="L7" s="25" t="str">
        <f aca="false">IF(Lang="Français","Diamètre     'D1'",IF(Lang="English","Diameter 'D1'",""))</f>
        <v>Diamètre     'D1'</v>
      </c>
      <c r="M7" s="26" t="n">
        <v>90</v>
      </c>
      <c r="N7" s="26"/>
      <c r="O7" s="26" t="n">
        <f aca="false">D2j</f>
        <v>100</v>
      </c>
      <c r="P7" s="26"/>
      <c r="Q7" s="23"/>
    </row>
    <row r="8" customFormat="false" ht="12.75" hidden="false" customHeight="true" outlineLevel="0" collapsed="false">
      <c r="A8" s="11"/>
      <c r="B8" s="28" t="str">
        <f aca="false">IF(Lang="Français","Nom",IF(Lang="English","Name",""))</f>
        <v>Nom</v>
      </c>
      <c r="C8" s="29" t="s">
        <v>5</v>
      </c>
      <c r="D8" s="29"/>
      <c r="E8" s="30"/>
      <c r="K8" s="19"/>
      <c r="L8" s="25" t="str">
        <f aca="false">IF(Lang="Français","Diamètre     'D2'",IF(Lang="English","Diameter 'D2'",""))</f>
        <v>Diamètre     'D2'</v>
      </c>
      <c r="M8" s="26" t="n">
        <v>100</v>
      </c>
      <c r="N8" s="26"/>
      <c r="O8" s="26" t="n">
        <v>100</v>
      </c>
      <c r="P8" s="26"/>
      <c r="Q8" s="23"/>
    </row>
    <row r="9" customFormat="false" ht="12.75" hidden="false" customHeight="true" outlineLevel="0" collapsed="false">
      <c r="A9" s="11"/>
      <c r="B9" s="28" t="s">
        <v>6</v>
      </c>
      <c r="C9" s="31" t="s">
        <v>7</v>
      </c>
      <c r="D9" s="31"/>
      <c r="E9" s="30"/>
      <c r="K9" s="19"/>
      <c r="L9" s="25" t="str">
        <f aca="false">IF(Lang="Français","Implantation 'x'",IF(Lang="English","Basement 'x'",""))</f>
        <v>Implantation 'x'</v>
      </c>
      <c r="M9" s="26" t="n">
        <v>40</v>
      </c>
      <c r="N9" s="26"/>
      <c r="O9" s="26" t="n">
        <v>500</v>
      </c>
      <c r="P9" s="26"/>
      <c r="Q9" s="23"/>
    </row>
    <row r="10" customFormat="false" ht="12.75" hidden="false" customHeight="true" outlineLevel="0" collapsed="false">
      <c r="A10" s="11"/>
      <c r="B10" s="22" t="s">
        <v>8</v>
      </c>
      <c r="C10" s="14" t="s">
        <v>9</v>
      </c>
      <c r="D10" s="14"/>
      <c r="E10" s="30"/>
      <c r="K10" s="19"/>
      <c r="Q10" s="23"/>
    </row>
    <row r="11" customFormat="false" ht="12.75" hidden="false" customHeight="true" outlineLevel="0" collapsed="false">
      <c r="A11" s="11"/>
      <c r="B11" s="22" t="str">
        <f aca="false">IF(Lang="Français","Masse",IF(Lang="English","Weight",""))</f>
        <v>Masse</v>
      </c>
      <c r="C11" s="32" t="n">
        <v>7800</v>
      </c>
      <c r="D11" s="33" t="s">
        <v>10</v>
      </c>
      <c r="E11" s="30"/>
      <c r="K11" s="19"/>
      <c r="L11" s="34"/>
      <c r="M11" s="35" t="str">
        <f aca="false">IF(Lang="Français","Propu plein",IF(Lang="English","Loaded Motor",""))</f>
        <v>Propu plein</v>
      </c>
      <c r="N11" s="35" t="str">
        <f aca="false">IF(Lang="Français","Propu vide",IF(Lang="English","Empty Motor",""))</f>
        <v>Propu vide</v>
      </c>
      <c r="O11" s="35"/>
      <c r="P11" s="35" t="str">
        <f aca="false">IF(Lang="Français","Sans propu",IF(Lang="English","Without M",""))</f>
        <v>Sans propu</v>
      </c>
      <c r="Q11" s="23"/>
      <c r="S11" s="36"/>
      <c r="T11" s="37" t="str">
        <f aca="false">IF(Lang="Français","Propulseur",IF(Lang="English","Motor",""))</f>
        <v>Propulseur</v>
      </c>
    </row>
    <row r="12" customFormat="false" ht="12.75" hidden="false" customHeight="true" outlineLevel="0" collapsed="false">
      <c r="A12" s="11"/>
      <c r="B12" s="22" t="str">
        <f aca="false">IF(Lang="Français","Centre de Masse",IF(Lang="English","Center of Mass",""))</f>
        <v>Centre de Masse</v>
      </c>
      <c r="C12" s="26" t="n">
        <v>1180</v>
      </c>
      <c r="D12" s="33" t="s">
        <v>10</v>
      </c>
      <c r="L12" s="38" t="str">
        <f aca="false">IF(Lang="Français","Masse propu",IF(Lang="English","Motor Mass",""))</f>
        <v>Masse propu</v>
      </c>
      <c r="M12" s="39" t="n">
        <f aca="false">MpropuPlein</f>
        <v>1.632</v>
      </c>
      <c r="N12" s="39" t="n">
        <f aca="false">MpropuVide</f>
        <v>0.65</v>
      </c>
      <c r="O12" s="39"/>
      <c r="P12" s="40" t="s">
        <v>11</v>
      </c>
      <c r="Q12" s="23"/>
      <c r="S12" s="37" t="str">
        <f aca="false">IF(Lang="Français","Haut",IF(Lang="English","Top",""))</f>
        <v>Haut</v>
      </c>
      <c r="T12" s="41" t="n">
        <f aca="false">XpropuRef-Long_propu</f>
        <v>1716</v>
      </c>
    </row>
    <row r="13" customFormat="false" ht="12.75" hidden="false" customHeight="true" outlineLevel="0" collapsed="false">
      <c r="A13" s="11"/>
      <c r="B13" s="22" t="str">
        <f aca="false">IF(Lang="Français","Longueur totale",IF(Lang="English","Total length",""))</f>
        <v>Longueur totale</v>
      </c>
      <c r="C13" s="26" t="n">
        <v>2195</v>
      </c>
      <c r="D13" s="26"/>
      <c r="L13" s="38" t="str">
        <f aca="false">IF(Lang="Français","CdM propu",IF(Lang="English","Motor CoM",""))</f>
        <v>CdM propu</v>
      </c>
      <c r="M13" s="41" t="n">
        <f aca="false">XpropuPlein</f>
        <v>250</v>
      </c>
      <c r="N13" s="41" t="n">
        <f aca="false">XpropuVide</f>
        <v>240</v>
      </c>
      <c r="O13" s="41"/>
      <c r="P13" s="40" t="s">
        <v>11</v>
      </c>
      <c r="Q13" s="23"/>
      <c r="S13" s="37" t="str">
        <f aca="false">IF(Lang="Français","Longueur",IF(Lang="English","Length",""))</f>
        <v>Longueur</v>
      </c>
      <c r="T13" s="41" t="n">
        <f aca="false">Long_propu</f>
        <v>488</v>
      </c>
    </row>
    <row r="14" customFormat="false" ht="12.75" hidden="false" customHeight="true" outlineLevel="0" collapsed="false">
      <c r="A14" s="11"/>
      <c r="B14" s="25" t="str">
        <f aca="false">IF(Lang="Français","Diamètre Réf.",IF(Lang="English","Ref. Diameter",""))</f>
        <v>Diamètre Réf.</v>
      </c>
      <c r="C14" s="26" t="n">
        <v>100</v>
      </c>
      <c r="D14" s="26"/>
      <c r="L14" s="38" t="str">
        <f aca="false">IF(Lang="Français","Masse fusée",IF(Lang="English","Rocket Mass",""))</f>
        <v>Masse fusée</v>
      </c>
      <c r="M14" s="42" t="n">
        <f aca="false">MasseSans+MpropuPlein</f>
        <v>9.432</v>
      </c>
      <c r="N14" s="42" t="n">
        <f aca="false">MasseSans+MpropuVide</f>
        <v>8.45</v>
      </c>
      <c r="O14" s="42"/>
      <c r="P14" s="39" t="n">
        <f aca="false">IF(OR(D11="sans propu",D11="without motor"),C11/1000,IF(OR(D11="avec propu vide",D11="with empty motor"),C11/1000-MpropuVide,IF(OR(D11="avec propu plein",D11="with loaded motor"),C11/1000-MpropuPlein,"Erreur")))</f>
        <v>7.8</v>
      </c>
      <c r="Q14" s="23"/>
      <c r="S14" s="37" t="str">
        <f aca="false">IF(Lang="Français","Bas",IF(Lang="English","Base",""))</f>
        <v>Bas</v>
      </c>
      <c r="T14" s="41" t="n">
        <f aca="false">XpropuRef</f>
        <v>2204</v>
      </c>
    </row>
    <row r="15" customFormat="false" ht="12.75" hidden="false" customHeight="true" outlineLevel="0" collapsed="false">
      <c r="A15" s="11"/>
      <c r="D15" s="2"/>
      <c r="L15" s="43" t="str">
        <f aca="false">IF(Lang="Français","CdM fusée",IF(Lang="English","Rocket CoM",""))</f>
        <v>CdM fusée</v>
      </c>
      <c r="M15" s="44" t="n">
        <f aca="false">(XcgSans*MasseSans+(XpropuRef-Long_propu+XpropuPlein)*MpropuPlein)/MassePlein</f>
        <v>1316</v>
      </c>
      <c r="N15" s="44" t="n">
        <f aca="false">(XcgSans*MasseSans+(XpropuRef-Long_propu+XpropuVide)*MpropuVide)/MasseVide</f>
        <v>1239.69230769231</v>
      </c>
      <c r="O15" s="44"/>
      <c r="P15" s="45" t="n">
        <f aca="false">IF(OR(D12="sans propu",D12="without motor"),C12,IF(OR(D12="avec propu vide",D12="with empty motor"),(C12*MasseVide-(XpropuRef-Long_propu+XpropuVide)*MpropuVide)/MasseSans,IF(OR(D12="avec propu plein",D12="with loaded motor"),(C12*MassePlein-(XpropuRef-Long_propu+XpropuPlein)*MpropuPlein)/MasseSans,"Erreur")))</f>
        <v>1180</v>
      </c>
      <c r="Q15" s="23"/>
    </row>
    <row r="16" customFormat="false" ht="12.75" hidden="false" customHeight="true" outlineLevel="0" collapsed="false">
      <c r="A16" s="11"/>
      <c r="C16" s="46" t="str">
        <f aca="false">IF(Lang="Français","Propulseur",IF(Lang="English","Motor",""))</f>
        <v>Propulseur</v>
      </c>
      <c r="D16" s="46"/>
      <c r="L16" s="36"/>
      <c r="M16" s="36"/>
      <c r="N16" s="36"/>
      <c r="O16" s="36"/>
      <c r="P16" s="36"/>
      <c r="Q16" s="23"/>
      <c r="S16" s="36"/>
      <c r="T16" s="37" t="str">
        <f aca="false">IF(RIGHT(Type_masquage,1)=",",IF(Lang="Français","Ailerons","Fins"),IF(Lang="Français","Ailerons bas","Lower Fins"))</f>
        <v>Ailerons bas</v>
      </c>
    </row>
    <row r="17" customFormat="false" ht="12.75" hidden="false" customHeight="true" outlineLevel="0" collapsed="false">
      <c r="A17" s="11"/>
      <c r="B17" s="22" t="s">
        <v>8</v>
      </c>
      <c r="C17" s="47" t="s">
        <v>12</v>
      </c>
      <c r="D17" s="47"/>
      <c r="L17" s="48"/>
      <c r="M17" s="49" t="s">
        <v>13</v>
      </c>
      <c r="N17" s="49"/>
      <c r="O17" s="49" t="s">
        <v>14</v>
      </c>
      <c r="P17" s="49"/>
      <c r="Q17" s="23"/>
      <c r="S17" s="37" t="str">
        <f aca="false">IF(Lang="Français","Haut","Top")</f>
        <v>Haut</v>
      </c>
      <c r="T17" s="41" t="n">
        <f aca="false">X_ail-m_ail</f>
        <v>1905</v>
      </c>
    </row>
    <row r="18" customFormat="false" ht="12.75" hidden="false" customHeight="true" outlineLevel="0" collapsed="false">
      <c r="A18" s="11"/>
      <c r="B18" s="22" t="str">
        <f aca="false">IF(Lang="Français","Position du bas",IF(Lang="English","Basement",""))</f>
        <v>Position du bas</v>
      </c>
      <c r="C18" s="26" t="n">
        <v>2204</v>
      </c>
      <c r="D18" s="26"/>
      <c r="K18" s="50"/>
      <c r="L18" s="38" t="str">
        <f aca="false">IF(Lang="Français","Coiffe",IF(Lang="English","Nose Cone",""))</f>
        <v>Coiffe</v>
      </c>
      <c r="M18" s="51" t="n">
        <f aca="false">IF(LEFT(Forme_ogive,5)="Parab",1/2*Long_ogive,IF(LEFT(Forme_ogive,4)="Ogiv",7/15*Long_ogive,IF(LEFT(Forme_ogive,3)="Con",2/3*Long_ogive)))</f>
        <v>18.6666666666667</v>
      </c>
      <c r="N18" s="51"/>
      <c r="O18" s="52" t="n">
        <f aca="false">2*POWER(D_og/D_ref, 2)</f>
        <v>1.62</v>
      </c>
      <c r="P18" s="52"/>
      <c r="Q18" s="23"/>
      <c r="S18" s="37" t="str">
        <f aca="false">IF(Lang="Français","Emplanture","Root edge")</f>
        <v>Emplanture</v>
      </c>
      <c r="T18" s="41" t="n">
        <f aca="false">m_ail</f>
        <v>290</v>
      </c>
    </row>
    <row r="19" customFormat="false" ht="12.75" hidden="false" customHeight="true" outlineLevel="0" collapsed="false">
      <c r="A19" s="11"/>
      <c r="B19" s="53" t="str">
        <f aca="false">IF(Propu="Cariacou","Cariacou :"," ")</f>
        <v> </v>
      </c>
      <c r="C19" s="54" t="str">
        <f aca="false">IF(Propu="Pandora (Pro24-6G)",IF(Lang="Français","C'Space Seulement",IF(Lang="English","C'Space only","")),"")</f>
        <v/>
      </c>
      <c r="D19" s="54"/>
      <c r="L19" s="38" t="str">
        <f aca="false">IF(Lang="Français","Ailerons",IF(Lang="English","Fins",""))</f>
        <v>Ailerons</v>
      </c>
      <c r="M19" s="51" t="n">
        <f aca="false">(XCpa*Cnail-0.5*XCpi*Cni)/Cnai</f>
        <v>1995.49585337077</v>
      </c>
      <c r="N19" s="51"/>
      <c r="O19" s="52" t="n">
        <f aca="false">Cnail-Cni/2</f>
        <v>13.5681980027085</v>
      </c>
      <c r="P19" s="52"/>
      <c r="Q19" s="23"/>
      <c r="S19" s="37" t="str">
        <f aca="false">IF(Lang="Français","Bas","Base")</f>
        <v>Bas</v>
      </c>
      <c r="T19" s="41" t="n">
        <f aca="false">X_ail</f>
        <v>2195</v>
      </c>
    </row>
    <row r="20" customFormat="false" ht="12.75" hidden="false" customHeight="true" outlineLevel="0" collapsed="false">
      <c r="A20" s="11"/>
      <c r="B20" s="55"/>
      <c r="C20" s="56" t="str">
        <f aca="false">IF(Lang="Français","Coiffe",IF(Lang="English","Nose Cone",""))</f>
        <v>Coiffe</v>
      </c>
      <c r="D20" s="56"/>
      <c r="L20" s="38" t="str">
        <f aca="false">IF(Lang="Français","Ail bas entier",IF(Lang="English","Total Lower Fins",""))</f>
        <v>Ail bas entier</v>
      </c>
      <c r="M20" s="51" t="n">
        <f aca="false">X_ail-m_ail+p_ail*(m_ail+2*n_ail)/(3*(m_ail+n_ail))+(m_ail+n_ail-m_ail*n_ail/(m_ail+n_ail))/6</f>
        <v>1994.48484848485</v>
      </c>
      <c r="N20" s="51"/>
      <c r="O20" s="52" t="n">
        <f aca="false">4*Q_ail*POWER((E_ail/D_ref),2)*(1+D_ail/(2*E_ail+D_ail))/(1+SQRT(1+POWER(2*f_ail/(m_ail+n_ail),2)))</f>
        <v>14.9486048120479</v>
      </c>
      <c r="P20" s="52"/>
      <c r="Q20" s="23"/>
    </row>
    <row r="21" customFormat="false" ht="12.75" hidden="false" customHeight="true" outlineLevel="0" collapsed="false">
      <c r="A21" s="11"/>
      <c r="B21" s="22" t="str">
        <f aca="false">IF(Lang="Français","Forme",IF(Lang="English","Shape",""))</f>
        <v>Forme</v>
      </c>
      <c r="C21" s="57" t="s">
        <v>15</v>
      </c>
      <c r="D21" s="57"/>
      <c r="L21" s="38" t="str">
        <f aca="false">IF(Lang="Français","Ailerons haut",IF(Lang="English","Upper Fins",""))</f>
        <v>Ailerons haut</v>
      </c>
      <c r="M21" s="51" t="n">
        <f aca="false">IF(LEFT(Type_masquage,1)="M",0, X_can-m_can+p_can*(m_can+2*n_can)/(3*(m_can+n_can))+(m_can+n_can-m_can*n_can/(m_can+n_can))/6)</f>
        <v>487.5</v>
      </c>
      <c r="N21" s="51"/>
      <c r="O21" s="52" t="n">
        <f aca="false">IF(LEFT(Type_masquage,1)="M",0, 4*Q_can*POWER((E_can/D_ref),2)*(1+D_can/(2*E_can+D_can))/(1+SQRT(1+POWER(2*f_can/(m_can+n_can),2))))</f>
        <v>2.71577836694762</v>
      </c>
      <c r="P21" s="52"/>
      <c r="Q21" s="23"/>
    </row>
    <row r="22" customFormat="false" ht="12.75" hidden="false" customHeight="true" outlineLevel="0" collapsed="false">
      <c r="A22" s="11"/>
      <c r="B22" s="22" t="str">
        <f aca="false">IF(Lang="Français","Hauteur",IF(Lang="English","Heigth",""))</f>
        <v>Hauteur</v>
      </c>
      <c r="C22" s="26" t="n">
        <v>40</v>
      </c>
      <c r="D22" s="26"/>
      <c r="L22" s="38" t="str">
        <f aca="false">IF(Lang="Français","Partie masquée",IF(Lang="English","Interation zone",""))</f>
        <v>Partie masquée</v>
      </c>
      <c r="M22" s="51" t="n">
        <f aca="false">IF(LEFT(Type_masquage,1)="B", X_int-m_int+p_int*(m_int+2*n_int)/(3*(m_int+n_int))+(m_int+n_int-m_int*n_int/(m_int+n_int))/6, 0 )</f>
        <v>1984.5475500152</v>
      </c>
      <c r="N22" s="51"/>
      <c r="O22" s="52" t="n">
        <f aca="false">IF(LEFT(Type_masquage,1)="B", 4*Q_int*POWER((E_int/D_ref),2)*(1+D_int/(2*E_int+D_int))/(1+SQRT(1+POWER(2*f_int/(m_int+n_int),2))), 0 )</f>
        <v>2.76081361867885</v>
      </c>
      <c r="P22" s="52"/>
      <c r="Q22" s="23"/>
    </row>
    <row r="23" customFormat="false" ht="12.75" hidden="false" customHeight="true" outlineLevel="0" collapsed="false">
      <c r="A23" s="11"/>
      <c r="B23" s="22" t="str">
        <f aca="false">IF(Lang="Français","Diamètre",IF(Lang="English","Diameter",""))</f>
        <v>Diamètre</v>
      </c>
      <c r="C23" s="26" t="n">
        <v>90</v>
      </c>
      <c r="D23" s="26"/>
      <c r="L23" s="58" t="s">
        <v>3</v>
      </c>
      <c r="M23" s="51" t="n">
        <f aca="false">IF(OR(RIGHT(Nb_diam,1)=",",D2j=0),0, X_j+l_j/3*(1+1/(1+D1j/D2j)) )</f>
        <v>135.649122807018</v>
      </c>
      <c r="N23" s="51"/>
      <c r="O23" s="52" t="n">
        <f aca="false">IF(OR(RIGHT(Nb_diam,1)=",",D2j=0),0,2*(POWER(D2j/D_ref,2)-POWER(D1j/D_ref,2)))</f>
        <v>0.38</v>
      </c>
      <c r="P23" s="52"/>
      <c r="Q23" s="23"/>
    </row>
    <row r="24" customFormat="false" ht="12.75" hidden="false" customHeight="true" outlineLevel="0" collapsed="false">
      <c r="A24" s="11"/>
      <c r="L24" s="58" t="s">
        <v>4</v>
      </c>
      <c r="M24" s="51" t="n">
        <f aca="false">IF( OR(RIGHT(Nb_diam,1)=",",D2r=0), 0, X_r+l_r/3*(1+1/(1+D1r/D2r)) )</f>
        <v>525</v>
      </c>
      <c r="N24" s="51"/>
      <c r="O24" s="52" t="n">
        <f aca="false">IF( OR(RIGHT(Nb_diam,1)=",",D2r=0), 0, 2*(POWER(D2r/D_ref,2)-POWER(D1r/D_ref,2)) )</f>
        <v>0</v>
      </c>
      <c r="P24" s="52"/>
      <c r="Q24" s="23"/>
    </row>
    <row r="25" customFormat="false" ht="12.75" hidden="false" customHeight="true" outlineLevel="0" collapsed="false">
      <c r="A25" s="11"/>
      <c r="B25" s="55"/>
      <c r="C25" s="59" t="str">
        <f aca="false">IF(LEFT(Type_masquage,1)="M",IF(Lang="Français","Ailerons","Fins"),IF(Lang="Français","Ailerons bas","Lower Fins"))</f>
        <v>Ailerons bas</v>
      </c>
      <c r="D25" s="60" t="str">
        <f aca="false">IF(Lang="Français","Ailerons haut",IF(Lang="English","Upper Fins",""))</f>
        <v>Ailerons haut</v>
      </c>
      <c r="E25" s="61" t="s">
        <v>16</v>
      </c>
      <c r="L25" s="62"/>
      <c r="M25" s="62"/>
      <c r="N25" s="62"/>
      <c r="Q25" s="23"/>
      <c r="R25" s="62"/>
      <c r="S25" s="63" t="str">
        <f aca="false">IF(AND(Portee_balistique&gt;200,LEFT(Type_propu,3)="Min"),IF(Lang="Français","Fusée trop lègère !","Rocket too light"),"")</f>
        <v/>
      </c>
    </row>
    <row r="26" customFormat="false" ht="12.75" hidden="false" customHeight="true" outlineLevel="0" collapsed="false">
      <c r="A26" s="11"/>
      <c r="B26" s="55"/>
      <c r="C26" s="64" t="s">
        <v>17</v>
      </c>
      <c r="D26" s="64"/>
      <c r="F26" s="65" t="n">
        <f aca="true">TODAY()</f>
        <v>45304</v>
      </c>
      <c r="G26" s="66" t="s">
        <v>18</v>
      </c>
      <c r="H26" s="67" t="str">
        <f aca="false">IF(Lang="Français","Résultats",IF(Lang="English","Results",""))</f>
        <v>Résultats</v>
      </c>
      <c r="I26" s="67"/>
      <c r="J26" s="66" t="s">
        <v>19</v>
      </c>
      <c r="K26" s="63"/>
      <c r="L26" s="62"/>
      <c r="M26" s="62"/>
      <c r="N26" s="62"/>
      <c r="Q26" s="23"/>
      <c r="R26" s="62"/>
      <c r="S26" s="63" t="str">
        <f aca="false">IF(AND(Vsortie_de_rampe&lt;18, OR(LEFT(Type_fusee,1)=",",LEFT(Type_fusee,4)="Mini",LEFT(Type_fusee,1)="R")),IF(Lang="Français","Fusée trop lourde ou rampe trop courte !","Rocket too heavy or launch pad too small!"),"")</f>
        <v/>
      </c>
    </row>
    <row r="27" customFormat="false" ht="12.75" hidden="false" customHeight="true" outlineLevel="0" collapsed="false">
      <c r="A27" s="11"/>
      <c r="B27" s="68" t="str">
        <f aca="false">IF(Lang="Français"," Emplanture  'm'",IF(Lang="English"," Root edge  'm'",""))</f>
        <v> Emplanture  'm'</v>
      </c>
      <c r="C27" s="69" t="n">
        <v>290</v>
      </c>
      <c r="D27" s="69" t="n">
        <v>150</v>
      </c>
      <c r="E27" s="70" t="n">
        <f aca="false">m_ail</f>
        <v>290</v>
      </c>
      <c r="F27" s="71" t="s">
        <v>20</v>
      </c>
      <c r="G27" s="72" t="n">
        <f aca="false">IF(RIGHT(Type_fusee,1)=".",10, IF(OR(LEFT(Type_fusee,1)="R",LEFT(Type_fusee,1)=",",LEFT(Type_fusee,4)="Mini"),10, IF(LEFT(Type_fusee,5)="Micro",10, IF(RIGHT(Type_fusee,1)=" ",1))))</f>
        <v>10</v>
      </c>
      <c r="H27" s="73" t="n">
        <f aca="false">Long_tot/D_ref</f>
        <v>21.95</v>
      </c>
      <c r="I27" s="73"/>
      <c r="J27" s="72" t="n">
        <f aca="false">IF(RIGHT(Type_fusee,1)=".",35, IF(OR(LEFT(Type_fusee,1)="R",LEFT(Type_fusee,1)=",",LEFT(Type_fusee,4)="Mini"),20, IF(LEFT(Type_fusee,5)="Micro",30, IF(RIGHT(Type_fusee,1)=" ",100))))</f>
        <v>35</v>
      </c>
      <c r="K27" s="63"/>
      <c r="L27" s="62"/>
      <c r="M27" s="62"/>
      <c r="N27" s="62"/>
      <c r="Q27" s="23"/>
      <c r="R27" s="62"/>
      <c r="S27" s="63" t="str">
        <f aca="false">IF(Finesse&lt;CritFinessemin, IF(Lang="Français","Fusée trop courte !","Rocket too short!"), "" ) &amp; IF(Finesse&gt;CritFinessemax, IF(Lang="Français","Fusée trop longue !","Rocket too long!"), "" )</f>
        <v/>
      </c>
    </row>
    <row r="28" customFormat="false" ht="12.75" hidden="false" customHeight="true" outlineLevel="0" collapsed="false">
      <c r="A28" s="11"/>
      <c r="B28" s="68" t="str">
        <f aca="false">IF(Lang="Français"," Saumon       'n'",IF(Lang="English"," Tip edge    'n'",""))</f>
        <v> Saumon       'n'</v>
      </c>
      <c r="C28" s="26" t="n">
        <v>150</v>
      </c>
      <c r="D28" s="26" t="n">
        <v>150</v>
      </c>
      <c r="E28" s="70" t="n">
        <f aca="false">n_ail+(m_ail-n_ail)*(1-E_int/E_ail)</f>
        <v>236.24</v>
      </c>
      <c r="F28" s="71" t="str">
        <f aca="false">IF(Lang="Français","Portance","Lift")</f>
        <v>Portance</v>
      </c>
      <c r="G28" s="72" t="n">
        <f aca="false">IF(RIGHT(Type_fusee,1)=".",15,IF(OR(LEFT(Type_fusee,1)="R",LEFT(Type_fusee,1)=",",LEFT(Type_fusee,4)="Mini"),15, IF(LEFT(Type_fusee,5)="Micro",15, IF(RIGHT(Type_fusee,1)=" ",15))))</f>
        <v>15</v>
      </c>
      <c r="H28" s="74" t="n">
        <f aca="false">Cnai+Cnc+Cno+Cnj+Cnr</f>
        <v>18.2839763696561</v>
      </c>
      <c r="I28" s="74" t="n">
        <f aca="false">Cnail+Cnc+Cno+Cnj+Cnr</f>
        <v>19.6643831789955</v>
      </c>
      <c r="J28" s="72" t="n">
        <f aca="false">IF(RIGHT(Type_fusee,1)=".",40, IF(OR(LEFT(Type_fusee,1)="R",LEFT(Type_fusee,1)=",",LEFT(Type_fusee,4)="Mini"),30, IF(LEFT(Type_fusee,5)="Micro",30, IF(RIGHT(Type_fusee,1)=" ",30))))</f>
        <v>40</v>
      </c>
      <c r="K28" s="63"/>
      <c r="L28" s="62"/>
      <c r="M28" s="62"/>
      <c r="N28" s="62"/>
      <c r="Q28" s="23"/>
      <c r="R28" s="62"/>
      <c r="S28" s="63" t="str">
        <f aca="false">IF(Cn&lt;CritCnmin, IF(Lang="Français","Ailerons trop petits !","Fins too small!"), "" ) &amp; IF(Cn&gt;CritCnmax, IF(Lang="Français","Ailerons trop grands !","Fins too big!"), "" )</f>
        <v/>
      </c>
    </row>
    <row r="29" customFormat="false" ht="12.75" hidden="false" customHeight="true" outlineLevel="0" collapsed="false">
      <c r="A29" s="11"/>
      <c r="B29" s="68" t="str">
        <f aca="false">IF(Lang="Français"," Flèche          'p'"," Offset         'p'")</f>
        <v> Flèche          'p'</v>
      </c>
      <c r="C29" s="26" t="n">
        <v>73</v>
      </c>
      <c r="D29" s="26" t="n">
        <v>0</v>
      </c>
      <c r="E29" s="70" t="n">
        <f aca="false">p_ail*E_int/E_ail</f>
        <v>28.032</v>
      </c>
      <c r="F29" s="75" t="str">
        <f aca="false">IF(Lang="Français","MargeStat.","StatMargin")</f>
        <v>MargeStat.</v>
      </c>
      <c r="G29" s="76" t="n">
        <f aca="false">IF(RIGHT(Type_fusee,1)=".",2, IF(OR(LEFT(Type_fusee,1)="R",LEFT(Type_fusee,1)=",",LEFT(Type_fusee,4)="Mini"),1.5, IF(LEFT(Type_fusee,5)="Micro",1, IF(RIGHT(Type_fusee,1)=" ",1))))</f>
        <v>2</v>
      </c>
      <c r="H29" s="77" t="n">
        <f aca="false">(XCp-XcgPlein)/D_ref</f>
        <v>2.417033625978</v>
      </c>
      <c r="I29" s="78" t="n">
        <f aca="false">(XCp0-XcgVide)/D_ref</f>
        <v>3.47974802940432</v>
      </c>
      <c r="J29" s="76" t="n">
        <f aca="false">IF(RIGHT(Type_fusee,1)=".",6, IF(OR(LEFT(Type_fusee,1)="R",LEFT(Type_fusee,1)=",",LEFT(Type_fusee,4)="Mini"),6, IF(LEFT(Type_fusee,5)="Micro",3, IF(RIGHT(Type_fusee,1)=" ",3))))</f>
        <v>6</v>
      </c>
      <c r="K29" s="63"/>
      <c r="Q29" s="23"/>
      <c r="R29" s="62"/>
      <c r="S29" s="63" t="str">
        <f aca="false">IF(MS_min&lt;CritMsmin, IF(Lang="Français","Abaisser les ailerons ou rehausser le CdM !","Lower the fins or move up the center of mass!"), "" ) &amp; IF(MS_max&gt;CritMsmax, IF(Lang="Français","Rehausser les ailerons ou abaisser le CdM !","Move up the fins or lower the center of mass!"), "" )</f>
        <v/>
      </c>
    </row>
    <row r="30" customFormat="false" ht="12.75" hidden="false" customHeight="true" outlineLevel="0" collapsed="false">
      <c r="A30" s="11"/>
      <c r="B30" s="68" t="str">
        <f aca="false">IF(Lang="Français"," Envergure     'E'",IF(Lang="English"," Span          'E'",""))</f>
        <v> Envergure     'E'</v>
      </c>
      <c r="C30" s="26" t="n">
        <v>125</v>
      </c>
      <c r="D30" s="26" t="n">
        <v>48</v>
      </c>
      <c r="E30" s="70" t="n">
        <f aca="false">IF(D_can/2+E_can&lt;=D_ail/2,0, IF(D_can/2+E_can&gt;=D_ail/2+E_ail,E_ail,  D_can/2+E_can - D_ail/2  ) )</f>
        <v>48</v>
      </c>
      <c r="F30" s="79" t="str">
        <f aca="false">IF(Lang="Français","Couple","Torque")</f>
        <v>Couple</v>
      </c>
      <c r="G30" s="80" t="n">
        <f aca="false">IF(RIGHT(Type_fusee,1)=".",40, IF(OR(LEFT(Type_fusee,1)="R",LEFT(Type_fusee,1)=",",LEFT(Type_fusee,4)="Mini"),30, IF(LEFT(Type_fusee,5)="Micro",15, IF(RIGHT(Type_fusee,1)=" ",15))))</f>
        <v>40</v>
      </c>
      <c r="H30" s="73" t="n">
        <f aca="false">MS_min*Cn</f>
        <v>44.1929857020459</v>
      </c>
      <c r="I30" s="81" t="n">
        <f aca="false">MS_max*Cn0</f>
        <v>68.427098616561</v>
      </c>
      <c r="J30" s="80" t="n">
        <f aca="false">IF(RIGHT(Type_fusee,1)=".",100, IF(OR(LEFT(Type_fusee,1)="R",LEFT(Type_fusee,1)=",",LEFT(Type_fusee,4)="Mini"),100, IF(LEFT(Type_fusee,5)="Micro",100, IF(RIGHT(Type_fusee,1)=" ",90))))</f>
        <v>100</v>
      </c>
      <c r="K30" s="63"/>
      <c r="Q30" s="23"/>
      <c r="R30" s="62"/>
      <c r="S30" s="63" t="str">
        <f aca="false">IF(MS_Cn_min&lt;CritMsCnmin, IF(Lang="Français","Ailerons trop petits ou trop haut /CdM !","Fins too small or too high /CoM!"), "" ) &amp; IF(MS_Cn_max&gt;CritMsCnmax, IF(Lang="Français","Ailerons trop grands ou trop bas  /CdM !","Fins too big or too low / CoM!"), "" )</f>
        <v/>
      </c>
    </row>
    <row r="31" customFormat="false" ht="12.75" hidden="false" customHeight="true" outlineLevel="0" collapsed="false">
      <c r="A31" s="11"/>
      <c r="B31" s="82" t="str">
        <f aca="false">IF(Lang="Français"," Epaisseur     'ep'",IF(Lang="English"," Thickness  'ep'",""))</f>
        <v> Epaisseur     'ep'</v>
      </c>
      <c r="C31" s="26" t="n">
        <v>2</v>
      </c>
      <c r="D31" s="26" t="n">
        <v>45</v>
      </c>
      <c r="E31" s="70" t="n">
        <f aca="false">ep_ail</f>
        <v>2</v>
      </c>
      <c r="F31" s="83" t="s">
        <v>13</v>
      </c>
      <c r="G31" s="72"/>
      <c r="H31" s="84" t="n">
        <f aca="false">(Cnai*XCpai+Cnc*XCpc+Cnj*XCpj+Cnr*XCpr+Cno*XCpo)/(Cnai+Cnc+Cnr+Cnj+Cno)</f>
        <v>1557.7033625978</v>
      </c>
      <c r="I31" s="84" t="n">
        <f aca="false">(Cnail*XCpa+Cnc*XCpc+Cnj*XCpj+Cnr*XCpr+Cno*XCpo)/(Cnail+Cnc+Cnr+Cnj+Cno)</f>
        <v>1587.66711063274</v>
      </c>
      <c r="J31" s="85"/>
      <c r="K31" s="63"/>
      <c r="Q31" s="23"/>
      <c r="R31" s="62"/>
      <c r="S31" s="63"/>
    </row>
    <row r="32" customFormat="false" ht="12.75" hidden="false" customHeight="true" outlineLevel="0" collapsed="false">
      <c r="A32" s="11"/>
      <c r="B32" s="68" t="str">
        <f aca="false">IF(Lang="Français"," Nombre            ",IF(Lang="English"," Number of fins",""))</f>
        <v> Nombre            </v>
      </c>
      <c r="C32" s="86" t="n">
        <v>4</v>
      </c>
      <c r="D32" s="86" t="n">
        <v>4</v>
      </c>
      <c r="E32" s="70" t="n">
        <f aca="false">IF(Q_ail=Q_can,Q_ail,FALSE())</f>
        <v>4</v>
      </c>
      <c r="F32" s="83" t="s">
        <v>21</v>
      </c>
      <c r="G32" s="72"/>
      <c r="H32" s="87" t="n">
        <f aca="false">(XCp-XcgPlein)/Long_tot*100</f>
        <v>11.0115427151617</v>
      </c>
      <c r="I32" s="88" t="n">
        <f aca="false">(XCp-XcgVide)/Long_tot*100</f>
        <v>14.4879751665372</v>
      </c>
      <c r="J32" s="85"/>
      <c r="K32" s="63"/>
      <c r="Q32" s="23"/>
      <c r="R32" s="62"/>
    </row>
    <row r="33" customFormat="false" ht="12.75" hidden="false" customHeight="true" outlineLevel="0" collapsed="false">
      <c r="A33" s="11"/>
      <c r="B33" s="68" t="str">
        <f aca="false">IF(Lang="Français"," Position du bas",IF(Lang="English"," Basement",""))</f>
        <v> Position du bas</v>
      </c>
      <c r="C33" s="26" t="n">
        <f aca="false">Long_tot</f>
        <v>2195</v>
      </c>
      <c r="D33" s="26" t="n">
        <v>600</v>
      </c>
      <c r="E33" s="70" t="n">
        <f aca="false">X_ail</f>
        <v>2195</v>
      </c>
      <c r="G33" s="1"/>
      <c r="H33" s="89" t="str">
        <f aca="false">IF(AND(CritCnmin&lt;Cn,Cn0&lt;CritCnmax,CritMsmin&lt;MS_min,MS_max&lt;CritMsmax,CritMsCnmin&lt;MS_Cn_min,MS_Cn_max&lt;CritMsCnmax),"STABLE",IF(OR(Cn&lt;CritCnmin,MS_min&lt;CritMsmin,MS_Cn_min&lt;CritMsCnmin),"INSTABLE",IF(Lang="Français","SURSTABLE","OVERSTABLE")))</f>
        <v>STABLE</v>
      </c>
      <c r="I33" s="89"/>
      <c r="J33" s="2"/>
      <c r="K33" s="63"/>
      <c r="Q33" s="23"/>
      <c r="R33" s="62"/>
    </row>
    <row r="34" customFormat="false" ht="12.75" hidden="false" customHeight="true" outlineLevel="0" collapsed="false">
      <c r="A34" s="11"/>
      <c r="B34" s="68" t="str">
        <f aca="false">IF(Lang="Français"," Diamètre         ",IF(Lang="English"," Diameter at Fins",""))</f>
        <v> Diamètre         </v>
      </c>
      <c r="C34" s="26" t="n">
        <v>100</v>
      </c>
      <c r="D34" s="26" t="n">
        <v>100</v>
      </c>
      <c r="E34" s="70" t="n">
        <f aca="false">D_ail</f>
        <v>100</v>
      </c>
      <c r="G34" s="1"/>
      <c r="H34" s="89"/>
      <c r="I34" s="89"/>
      <c r="K34" s="63"/>
      <c r="Q34" s="23"/>
      <c r="R34" s="62"/>
    </row>
    <row r="35" customFormat="false" ht="12.75" hidden="false" customHeight="true" outlineLevel="0" collapsed="false">
      <c r="A35" s="11"/>
      <c r="B35" s="68" t="str">
        <f aca="false">IF(Lang="Français"," Ligne mi-corde f",IF(Lang="English"," Mid-chord line f",""))</f>
        <v> Ligne mi-corde f</v>
      </c>
      <c r="C35" s="90" t="n">
        <f aca="false">SQRT(POWER(p_ail+n_ail/2-m_ail/2,2)+POWER(E_ail,2))</f>
        <v>125.035994817492</v>
      </c>
      <c r="D35" s="90" t="n">
        <f aca="false">SQRT(POWER(p_can+n_can/2-m_can/2,2)+POWER(E_can,2))</f>
        <v>48</v>
      </c>
      <c r="E35" s="70" t="n">
        <f aca="false">SQRT(POWER(p_int+n_int/2-m_int/2,2)+POWER(E_int,2))</f>
        <v>48.0138220099171</v>
      </c>
      <c r="K35" s="63"/>
      <c r="Q35" s="23"/>
      <c r="R35" s="62"/>
      <c r="W35" s="1" t="str">
        <f aca="false">RIGHT(Type_fusee,1="R")</f>
        <v/>
      </c>
    </row>
    <row r="36" customFormat="false" ht="12.75" hidden="false" customHeight="true" outlineLevel="0" collapsed="false">
      <c r="A36" s="91"/>
      <c r="B36" s="92" t="str">
        <f aca="false">IF(Lang="Français","Commentaire libre :",IF(Lang="English","Free comment:",""))</f>
        <v>Commentaire libre :</v>
      </c>
      <c r="C36" s="93"/>
      <c r="D36" s="94"/>
      <c r="E36" s="95"/>
      <c r="F36" s="96"/>
      <c r="G36" s="96"/>
      <c r="H36" s="96"/>
      <c r="I36" s="96"/>
      <c r="J36" s="94"/>
      <c r="K36" s="94"/>
      <c r="L36" s="97" t="s">
        <v>22</v>
      </c>
      <c r="M36" s="98" t="str">
        <f aca="false">IF(ROUND(SUM(Propu!5:1228),0)=437704,"propu OK","propu NOK")</f>
        <v>propu OK</v>
      </c>
      <c r="N36" s="99" t="str">
        <f aca="false">IF(Lang="Français","fichier initial","Initial file")</f>
        <v>fichier initial</v>
      </c>
      <c r="O36" s="98"/>
      <c r="P36" s="100"/>
      <c r="Q36" s="101" t="s">
        <v>23</v>
      </c>
      <c r="R36" s="62"/>
    </row>
    <row r="37" customFormat="false" ht="12.75" hidden="false" customHeight="true" outlineLevel="0" collapsed="false">
      <c r="R37" s="102"/>
    </row>
    <row r="38" customFormat="false" ht="12.75" hidden="false" customHeight="false" outlineLevel="0" collapsed="false">
      <c r="L38" s="103" t="str">
        <f aca="false">IF(Lang="Français","Maintenant que votre fusée est stable, vérifiez sa trajectoire via la feuille","Now your rocket is stable, check its trajectory on sheet")</f>
        <v>Maintenant que votre fusée est stable, vérifiez sa trajectoire via la feuille</v>
      </c>
      <c r="M38" s="104" t="s">
        <v>24</v>
      </c>
    </row>
    <row r="39" customFormat="false" ht="12.75" hidden="false" customHeight="false" outlineLevel="0" collapsed="false">
      <c r="H39" s="17"/>
      <c r="O39" s="4"/>
      <c r="P39" s="4"/>
    </row>
    <row r="40" customFormat="false" ht="12.75" hidden="false" customHeight="false" outlineLevel="0" collapsed="false">
      <c r="F40" s="1"/>
      <c r="H40" s="102"/>
      <c r="I40" s="105"/>
      <c r="J40" s="102"/>
      <c r="N40" s="102"/>
      <c r="Q40" s="102"/>
      <c r="S40" s="106"/>
    </row>
    <row r="41" customFormat="false" ht="12.75" hidden="false" customHeight="false" outlineLevel="0" collapsed="false">
      <c r="F41" s="1"/>
      <c r="G41" s="107"/>
      <c r="H41" s="108"/>
      <c r="I41" s="105"/>
      <c r="J41" s="102"/>
      <c r="N41" s="102"/>
      <c r="Q41" s="102"/>
      <c r="R41" s="102"/>
    </row>
    <row r="42" customFormat="false" ht="12.75" hidden="false" customHeight="false" outlineLevel="0" collapsed="false">
      <c r="F42" s="1"/>
      <c r="H42" s="102"/>
      <c r="I42" s="105"/>
      <c r="J42" s="102"/>
      <c r="N42" s="102"/>
      <c r="Q42" s="102"/>
      <c r="R42" s="102"/>
    </row>
    <row r="43" customFormat="false" ht="12.75" hidden="false" customHeight="false" outlineLevel="0" collapsed="false">
      <c r="F43" s="1"/>
      <c r="H43" s="102"/>
      <c r="I43" s="105"/>
      <c r="J43" s="102"/>
      <c r="N43" s="102"/>
      <c r="Q43" s="102"/>
      <c r="R43" s="102"/>
    </row>
    <row r="44" customFormat="false" ht="12.75" hidden="false" customHeight="false" outlineLevel="0" collapsed="false">
      <c r="F44" s="1"/>
      <c r="H44" s="102"/>
      <c r="I44" s="105"/>
      <c r="J44" s="102"/>
      <c r="N44" s="102"/>
      <c r="Q44" s="102"/>
      <c r="R44" s="102"/>
    </row>
    <row r="45" customFormat="false" ht="12.75" hidden="false" customHeight="false" outlineLevel="0" collapsed="false">
      <c r="F45" s="1"/>
      <c r="H45" s="102"/>
      <c r="I45" s="105"/>
      <c r="J45" s="102"/>
      <c r="N45" s="102"/>
      <c r="Q45" s="102"/>
      <c r="R45" s="102"/>
    </row>
    <row r="46" customFormat="false" ht="12.75" hidden="false" customHeight="false" outlineLevel="0" collapsed="false">
      <c r="F46" s="1"/>
      <c r="H46" s="102"/>
      <c r="I46" s="105"/>
      <c r="J46" s="102"/>
      <c r="L46" s="102"/>
      <c r="M46" s="102"/>
      <c r="N46" s="102"/>
      <c r="Q46" s="102"/>
      <c r="R46" s="102"/>
    </row>
    <row r="47" customFormat="false" ht="12.75" hidden="false" customHeight="false" outlineLevel="0" collapsed="false">
      <c r="F47" s="1"/>
      <c r="H47" s="102"/>
      <c r="I47" s="105"/>
      <c r="J47" s="102"/>
      <c r="L47" s="102"/>
      <c r="M47" s="102"/>
      <c r="N47" s="102"/>
      <c r="Q47" s="102"/>
      <c r="R47" s="102"/>
    </row>
    <row r="48" customFormat="false" ht="12.75" hidden="false" customHeight="false" outlineLevel="0" collapsed="false">
      <c r="F48" s="1"/>
      <c r="H48" s="102"/>
      <c r="I48" s="105"/>
      <c r="J48" s="102"/>
      <c r="L48" s="102"/>
      <c r="M48" s="102"/>
      <c r="N48" s="102"/>
      <c r="Q48" s="102"/>
      <c r="R48" s="102"/>
    </row>
    <row r="49" customFormat="false" ht="12.75" hidden="false" customHeight="false" outlineLevel="0" collapsed="false">
      <c r="F49" s="1"/>
      <c r="H49" s="102"/>
      <c r="I49" s="105"/>
      <c r="J49" s="102"/>
      <c r="L49" s="102"/>
      <c r="M49" s="102"/>
      <c r="N49" s="102"/>
      <c r="Q49" s="102"/>
      <c r="R49" s="102"/>
    </row>
    <row r="50" customFormat="false" ht="12.75" hidden="false" customHeight="false" outlineLevel="0" collapsed="false">
      <c r="F50" s="1"/>
      <c r="H50" s="102"/>
      <c r="I50" s="105"/>
      <c r="J50" s="102"/>
      <c r="L50" s="102"/>
      <c r="M50" s="102"/>
      <c r="N50" s="102"/>
      <c r="Q50" s="102"/>
      <c r="R50" s="102"/>
    </row>
    <row r="51" customFormat="false" ht="12.75" hidden="false" customHeight="false" outlineLevel="0" collapsed="false">
      <c r="F51" s="1"/>
      <c r="H51" s="102"/>
      <c r="I51" s="105"/>
      <c r="J51" s="102"/>
      <c r="L51" s="102"/>
      <c r="M51" s="102"/>
      <c r="N51" s="102"/>
      <c r="Q51" s="102"/>
      <c r="R51" s="102"/>
    </row>
    <row r="52" customFormat="false" ht="12.75" hidden="false" customHeight="false" outlineLevel="0" collapsed="false">
      <c r="H52" s="102"/>
      <c r="I52" s="105"/>
      <c r="J52" s="102"/>
      <c r="L52" s="102"/>
      <c r="M52" s="102"/>
      <c r="N52" s="102"/>
      <c r="Q52" s="102"/>
      <c r="R52" s="102"/>
    </row>
    <row r="53" customFormat="false" ht="12.75" hidden="false" customHeight="false" outlineLevel="0" collapsed="false">
      <c r="H53" s="102"/>
      <c r="I53" s="105"/>
      <c r="J53" s="102"/>
      <c r="L53" s="102"/>
      <c r="M53" s="102"/>
      <c r="N53" s="102"/>
      <c r="Q53" s="102"/>
      <c r="R53" s="102"/>
    </row>
    <row r="54" customFormat="false" ht="12.75" hidden="false" customHeight="false" outlineLevel="0" collapsed="false">
      <c r="H54" s="102"/>
      <c r="I54" s="105"/>
      <c r="J54" s="102"/>
      <c r="L54" s="102"/>
      <c r="M54" s="102"/>
      <c r="N54" s="102"/>
      <c r="Q54" s="102"/>
      <c r="R54" s="102"/>
    </row>
    <row r="55" customFormat="false" ht="12.75" hidden="false" customHeight="false" outlineLevel="0" collapsed="false">
      <c r="H55" s="102"/>
      <c r="I55" s="105"/>
      <c r="J55" s="102"/>
      <c r="L55" s="102"/>
      <c r="M55" s="102"/>
      <c r="N55" s="102"/>
      <c r="Q55" s="102"/>
      <c r="R55" s="102"/>
    </row>
    <row r="56" customFormat="false" ht="12.75" hidden="false" customHeight="false" outlineLevel="0" collapsed="false">
      <c r="C56" s="1"/>
      <c r="H56" s="102"/>
      <c r="I56" s="105"/>
      <c r="J56" s="102"/>
      <c r="L56" s="102"/>
      <c r="M56" s="102"/>
      <c r="N56" s="102"/>
      <c r="Q56" s="102"/>
      <c r="R56" s="102"/>
    </row>
    <row r="57" customFormat="false" ht="12.75" hidden="false" customHeight="false" outlineLevel="0" collapsed="false">
      <c r="H57" s="102"/>
      <c r="I57" s="105"/>
      <c r="J57" s="102"/>
      <c r="L57" s="102"/>
      <c r="M57" s="102"/>
      <c r="N57" s="102"/>
      <c r="Q57" s="102"/>
      <c r="R57" s="102"/>
    </row>
    <row r="58" customFormat="false" ht="12.75" hidden="false" customHeight="false" outlineLevel="0" collapsed="false">
      <c r="B58" s="2"/>
      <c r="H58" s="102"/>
      <c r="I58" s="105"/>
      <c r="J58" s="102"/>
      <c r="L58" s="102"/>
      <c r="M58" s="102"/>
      <c r="N58" s="102"/>
      <c r="Q58" s="102"/>
      <c r="R58" s="102"/>
    </row>
    <row r="59" customFormat="false" ht="12.75" hidden="false" customHeight="false" outlineLevel="0" collapsed="false">
      <c r="B59" s="2"/>
      <c r="H59" s="102"/>
      <c r="I59" s="105"/>
      <c r="J59" s="102"/>
      <c r="L59" s="102"/>
      <c r="M59" s="102"/>
      <c r="N59" s="102"/>
      <c r="Q59" s="102"/>
      <c r="R59" s="102"/>
    </row>
    <row r="60" customFormat="false" ht="12.75" hidden="false" customHeight="false" outlineLevel="0" collapsed="false">
      <c r="B60" s="2"/>
      <c r="H60" s="102"/>
      <c r="I60" s="105"/>
      <c r="J60" s="102"/>
      <c r="L60" s="102"/>
      <c r="M60" s="102"/>
      <c r="N60" s="102"/>
      <c r="Q60" s="102"/>
      <c r="R60" s="102"/>
    </row>
    <row r="61" customFormat="false" ht="12.75" hidden="false" customHeight="false" outlineLevel="0" collapsed="false">
      <c r="B61" s="2"/>
      <c r="H61" s="102"/>
      <c r="I61" s="105"/>
      <c r="J61" s="102"/>
      <c r="L61" s="102"/>
      <c r="M61" s="102"/>
      <c r="N61" s="102"/>
      <c r="Q61" s="102"/>
      <c r="R61" s="102"/>
    </row>
    <row r="62" customFormat="false" ht="12.75" hidden="false" customHeight="false" outlineLevel="0" collapsed="false">
      <c r="B62" s="2"/>
      <c r="H62" s="102"/>
      <c r="I62" s="105"/>
      <c r="J62" s="102"/>
      <c r="L62" s="102"/>
      <c r="M62" s="102"/>
      <c r="N62" s="102"/>
      <c r="Q62" s="102"/>
      <c r="R62" s="102"/>
    </row>
    <row r="63" customFormat="false" ht="12.75" hidden="false" customHeight="false" outlineLevel="0" collapsed="false">
      <c r="B63" s="2"/>
      <c r="H63" s="102"/>
      <c r="I63" s="105"/>
      <c r="J63" s="102"/>
      <c r="L63" s="102"/>
      <c r="M63" s="102"/>
      <c r="N63" s="102"/>
      <c r="Q63" s="102"/>
      <c r="R63" s="102"/>
    </row>
    <row r="64" customFormat="false" ht="12.75" hidden="false" customHeight="false" outlineLevel="0" collapsed="false">
      <c r="B64" s="2"/>
      <c r="H64" s="102"/>
      <c r="I64" s="105"/>
      <c r="J64" s="102"/>
      <c r="L64" s="102"/>
      <c r="M64" s="102"/>
      <c r="N64" s="102"/>
      <c r="Q64" s="102"/>
      <c r="R64" s="102"/>
    </row>
    <row r="65" customFormat="false" ht="12.75" hidden="false" customHeight="false" outlineLevel="0" collapsed="false">
      <c r="B65" s="2"/>
      <c r="H65" s="102"/>
      <c r="I65" s="105"/>
      <c r="J65" s="102"/>
      <c r="L65" s="102"/>
      <c r="M65" s="102"/>
      <c r="N65" s="102"/>
      <c r="Q65" s="102"/>
      <c r="R65" s="102"/>
    </row>
    <row r="66" customFormat="false" ht="12.75" hidden="false" customHeight="false" outlineLevel="0" collapsed="false">
      <c r="B66" s="2"/>
      <c r="H66" s="102"/>
      <c r="I66" s="105"/>
      <c r="J66" s="102"/>
      <c r="L66" s="102"/>
      <c r="M66" s="102"/>
      <c r="N66" s="102"/>
      <c r="Q66" s="102"/>
      <c r="R66" s="102"/>
    </row>
    <row r="67" customFormat="false" ht="12.75" hidden="false" customHeight="false" outlineLevel="0" collapsed="false">
      <c r="C67" s="1"/>
      <c r="H67" s="102"/>
      <c r="I67" s="105"/>
      <c r="J67" s="102"/>
      <c r="L67" s="102"/>
      <c r="M67" s="102"/>
      <c r="N67" s="102"/>
      <c r="Q67" s="102"/>
      <c r="R67" s="102"/>
    </row>
    <row r="68" customFormat="false" ht="12.75" hidden="false" customHeight="false" outlineLevel="0" collapsed="false">
      <c r="C68" s="1"/>
      <c r="H68" s="102"/>
      <c r="I68" s="105"/>
      <c r="J68" s="102"/>
      <c r="L68" s="102"/>
      <c r="M68" s="102"/>
      <c r="N68" s="102"/>
      <c r="Q68" s="102"/>
      <c r="R68" s="102"/>
    </row>
    <row r="69" customFormat="false" ht="12.75" hidden="false" customHeight="false" outlineLevel="0" collapsed="false">
      <c r="C69" s="1"/>
      <c r="H69" s="102"/>
      <c r="I69" s="105"/>
      <c r="J69" s="102"/>
      <c r="L69" s="102"/>
      <c r="M69" s="102"/>
      <c r="N69" s="102"/>
      <c r="Q69" s="102"/>
      <c r="R69" s="102"/>
    </row>
    <row r="70" customFormat="false" ht="12.75" hidden="false" customHeight="false" outlineLevel="0" collapsed="false">
      <c r="C70" s="1"/>
      <c r="H70" s="102"/>
      <c r="I70" s="105"/>
      <c r="J70" s="102"/>
      <c r="L70" s="102"/>
      <c r="M70" s="102"/>
      <c r="N70" s="102"/>
      <c r="Q70" s="102"/>
      <c r="R70" s="102"/>
    </row>
    <row r="71" customFormat="false" ht="12.75" hidden="false" customHeight="false" outlineLevel="0" collapsed="false">
      <c r="C71" s="1"/>
      <c r="H71" s="102"/>
      <c r="I71" s="105"/>
      <c r="J71" s="102"/>
      <c r="L71" s="102"/>
      <c r="M71" s="102"/>
      <c r="N71" s="102"/>
      <c r="Q71" s="102"/>
      <c r="R71" s="102"/>
    </row>
    <row r="72" customFormat="false" ht="12.75" hidden="false" customHeight="false" outlineLevel="0" collapsed="false">
      <c r="C72" s="1"/>
      <c r="H72" s="102"/>
      <c r="I72" s="105"/>
      <c r="J72" s="102"/>
      <c r="L72" s="102"/>
      <c r="M72" s="102"/>
      <c r="N72" s="102"/>
      <c r="Q72" s="102"/>
      <c r="R72" s="102"/>
    </row>
    <row r="73" customFormat="false" ht="12.75" hidden="false" customHeight="false" outlineLevel="0" collapsed="false">
      <c r="C73" s="1"/>
      <c r="H73" s="102"/>
      <c r="I73" s="105"/>
      <c r="J73" s="102"/>
      <c r="L73" s="102"/>
      <c r="M73" s="102"/>
      <c r="N73" s="102"/>
      <c r="Q73" s="102"/>
      <c r="R73" s="102"/>
    </row>
    <row r="74" customFormat="false" ht="12.75" hidden="false" customHeight="false" outlineLevel="0" collapsed="false">
      <c r="C74" s="1"/>
      <c r="H74" s="102"/>
      <c r="I74" s="105"/>
      <c r="J74" s="102"/>
      <c r="L74" s="102"/>
      <c r="M74" s="102"/>
      <c r="N74" s="102"/>
      <c r="Q74" s="102"/>
      <c r="R74" s="102"/>
    </row>
    <row r="75" customFormat="false" ht="12.75" hidden="false" customHeight="false" outlineLevel="0" collapsed="false">
      <c r="C75" s="1"/>
      <c r="H75" s="102"/>
      <c r="I75" s="105"/>
      <c r="J75" s="102"/>
      <c r="L75" s="102"/>
      <c r="M75" s="102"/>
      <c r="N75" s="102"/>
      <c r="Q75" s="102"/>
      <c r="R75" s="102"/>
    </row>
    <row r="76" customFormat="false" ht="12.75" hidden="false" customHeight="false" outlineLevel="0" collapsed="false">
      <c r="C76" s="1"/>
      <c r="H76" s="102"/>
      <c r="I76" s="105"/>
      <c r="J76" s="102"/>
      <c r="L76" s="102"/>
      <c r="M76" s="102"/>
      <c r="N76" s="102"/>
      <c r="Q76" s="102"/>
      <c r="R76" s="102"/>
    </row>
    <row r="77" customFormat="false" ht="12.75" hidden="false" customHeight="false" outlineLevel="0" collapsed="false">
      <c r="C77" s="1"/>
      <c r="H77" s="102"/>
      <c r="I77" s="105"/>
      <c r="J77" s="102"/>
      <c r="L77" s="102"/>
      <c r="M77" s="102"/>
      <c r="N77" s="102"/>
      <c r="Q77" s="102"/>
      <c r="R77" s="102"/>
    </row>
    <row r="78" customFormat="false" ht="12.75" hidden="false" customHeight="false" outlineLevel="0" collapsed="false">
      <c r="C78" s="1"/>
      <c r="H78" s="102"/>
      <c r="I78" s="105"/>
      <c r="J78" s="102"/>
      <c r="L78" s="102"/>
      <c r="M78" s="102"/>
      <c r="N78" s="102"/>
      <c r="Q78" s="102"/>
      <c r="R78" s="102"/>
    </row>
    <row r="79" customFormat="false" ht="12.75" hidden="false" customHeight="false" outlineLevel="0" collapsed="false">
      <c r="C79" s="1"/>
      <c r="H79" s="102"/>
      <c r="I79" s="105"/>
      <c r="J79" s="102"/>
      <c r="L79" s="102"/>
      <c r="M79" s="102"/>
      <c r="N79" s="102"/>
      <c r="Q79" s="102"/>
      <c r="R79" s="102"/>
    </row>
    <row r="80" customFormat="false" ht="12.75" hidden="false" customHeight="false" outlineLevel="0" collapsed="false">
      <c r="C80" s="1"/>
      <c r="H80" s="102"/>
      <c r="I80" s="105"/>
      <c r="J80" s="102"/>
      <c r="L80" s="102"/>
      <c r="M80" s="102"/>
      <c r="N80" s="102"/>
      <c r="Q80" s="102"/>
      <c r="R80" s="102"/>
    </row>
    <row r="81" customFormat="false" ht="12.75" hidden="false" customHeight="false" outlineLevel="0" collapsed="false">
      <c r="C81" s="1"/>
      <c r="H81" s="102"/>
      <c r="I81" s="105"/>
      <c r="J81" s="102"/>
      <c r="L81" s="102"/>
      <c r="M81" s="102"/>
      <c r="N81" s="102"/>
      <c r="Q81" s="102"/>
      <c r="R81" s="102"/>
    </row>
    <row r="82" customFormat="false" ht="12.75" hidden="false" customHeight="false" outlineLevel="0" collapsed="false">
      <c r="C82" s="1"/>
      <c r="H82" s="102"/>
      <c r="I82" s="105"/>
      <c r="J82" s="102"/>
      <c r="L82" s="102"/>
      <c r="M82" s="102"/>
      <c r="N82" s="102"/>
      <c r="Q82" s="102"/>
      <c r="R82" s="102"/>
    </row>
    <row r="83" customFormat="false" ht="12.75" hidden="false" customHeight="false" outlineLevel="0" collapsed="false">
      <c r="C83" s="1"/>
      <c r="H83" s="102"/>
      <c r="I83" s="105"/>
      <c r="J83" s="102"/>
      <c r="L83" s="102"/>
      <c r="M83" s="102"/>
      <c r="N83" s="102"/>
      <c r="Q83" s="102"/>
      <c r="R83" s="102"/>
    </row>
    <row r="84" customFormat="false" ht="12.75" hidden="false" customHeight="false" outlineLevel="0" collapsed="false">
      <c r="C84" s="1"/>
      <c r="H84" s="102"/>
      <c r="I84" s="105"/>
      <c r="J84" s="102"/>
      <c r="L84" s="102"/>
      <c r="M84" s="102"/>
      <c r="N84" s="102"/>
      <c r="Q84" s="102"/>
      <c r="R84" s="102"/>
    </row>
    <row r="85" customFormat="false" ht="12.75" hidden="false" customHeight="false" outlineLevel="0" collapsed="false">
      <c r="C85" s="1"/>
      <c r="H85" s="102"/>
      <c r="I85" s="105"/>
      <c r="J85" s="102"/>
      <c r="L85" s="102"/>
      <c r="M85" s="102"/>
      <c r="N85" s="102"/>
      <c r="Q85" s="102"/>
      <c r="R85" s="102"/>
    </row>
    <row r="86" customFormat="false" ht="12.75" hidden="false" customHeight="false" outlineLevel="0" collapsed="false">
      <c r="C86" s="1"/>
      <c r="H86" s="102"/>
      <c r="I86" s="105"/>
      <c r="J86" s="102"/>
      <c r="L86" s="102"/>
      <c r="M86" s="102"/>
      <c r="N86" s="102"/>
      <c r="Q86" s="102"/>
      <c r="R86" s="102"/>
    </row>
    <row r="87" customFormat="false" ht="12.75" hidden="false" customHeight="false" outlineLevel="0" collapsed="false">
      <c r="C87" s="1"/>
      <c r="H87" s="102"/>
      <c r="I87" s="105"/>
      <c r="J87" s="102"/>
      <c r="L87" s="102"/>
      <c r="M87" s="102"/>
      <c r="N87" s="102"/>
      <c r="Q87" s="102"/>
      <c r="R87" s="102"/>
    </row>
    <row r="88" customFormat="false" ht="12.75" hidden="false" customHeight="false" outlineLevel="0" collapsed="false">
      <c r="C88" s="1"/>
      <c r="H88" s="102"/>
      <c r="I88" s="105"/>
      <c r="J88" s="102"/>
      <c r="L88" s="102"/>
      <c r="M88" s="102"/>
      <c r="N88" s="102"/>
      <c r="Q88" s="102"/>
      <c r="R88" s="102"/>
    </row>
    <row r="89" customFormat="false" ht="12.75" hidden="false" customHeight="false" outlineLevel="0" collapsed="false">
      <c r="C89" s="1"/>
      <c r="H89" s="102"/>
      <c r="I89" s="105"/>
      <c r="J89" s="102"/>
      <c r="L89" s="102"/>
      <c r="M89" s="102"/>
      <c r="N89" s="102"/>
      <c r="Q89" s="102"/>
      <c r="R89" s="102"/>
    </row>
    <row r="90" customFormat="false" ht="12.75" hidden="false" customHeight="false" outlineLevel="0" collapsed="false">
      <c r="C90" s="1"/>
      <c r="H90" s="102"/>
      <c r="I90" s="105"/>
      <c r="J90" s="102"/>
      <c r="L90" s="102"/>
      <c r="M90" s="102"/>
      <c r="N90" s="102"/>
      <c r="Q90" s="102"/>
      <c r="R90" s="102"/>
    </row>
    <row r="91" customFormat="false" ht="12.75" hidden="false" customHeight="false" outlineLevel="0" collapsed="false">
      <c r="B91" s="1" t="str">
        <f aca="false">IF(Lang="Français","Textes pour les listes déroulantes et graphiques :",IF(Lang="English","Texts for drop-down lists &amp; graphics :",""))</f>
        <v>Textes pour les listes déroulantes et graphiques :</v>
      </c>
      <c r="H91" s="102"/>
      <c r="I91" s="105"/>
      <c r="J91" s="102"/>
      <c r="L91" s="102"/>
      <c r="M91" s="102"/>
      <c r="N91" s="102"/>
      <c r="Q91" s="102"/>
      <c r="R91" s="102"/>
    </row>
    <row r="92" customFormat="false" ht="12.75" hidden="false" customHeight="false" outlineLevel="0" collapsed="false">
      <c r="H92" s="102"/>
      <c r="I92" s="105"/>
      <c r="J92" s="102"/>
      <c r="L92" s="102"/>
      <c r="M92" s="102"/>
      <c r="N92" s="102"/>
      <c r="Q92" s="102"/>
      <c r="R92" s="102"/>
    </row>
    <row r="93" customFormat="false" ht="12.75" hidden="false" customHeight="false" outlineLevel="0" collapsed="false">
      <c r="B93" s="4" t="s">
        <v>1</v>
      </c>
      <c r="H93" s="102"/>
      <c r="I93" s="105"/>
      <c r="J93" s="102"/>
      <c r="L93" s="102"/>
      <c r="M93" s="102"/>
      <c r="N93" s="102"/>
      <c r="Q93" s="102"/>
      <c r="R93" s="102"/>
    </row>
    <row r="94" customFormat="false" ht="12.75" hidden="false" customHeight="false" outlineLevel="0" collapsed="false">
      <c r="B94" s="4" t="s">
        <v>25</v>
      </c>
      <c r="H94" s="102"/>
      <c r="I94" s="105"/>
      <c r="J94" s="102"/>
      <c r="L94" s="102"/>
      <c r="M94" s="102"/>
      <c r="N94" s="102"/>
      <c r="Q94" s="102"/>
      <c r="R94" s="102"/>
    </row>
    <row r="95" customFormat="false" ht="12.75" hidden="false" customHeight="false" outlineLevel="0" collapsed="false">
      <c r="B95" s="4"/>
      <c r="H95" s="102"/>
      <c r="I95" s="105"/>
      <c r="J95" s="102"/>
      <c r="L95" s="102"/>
      <c r="M95" s="102"/>
      <c r="N95" s="102"/>
      <c r="Q95" s="102"/>
      <c r="R95" s="102"/>
    </row>
    <row r="96" customFormat="false" ht="12.75" hidden="false" customHeight="false" outlineLevel="0" collapsed="false">
      <c r="B96" s="4" t="str">
        <f aca="false">IF(Lang="Français","Fusée à eau  ",IF(Lang="English","Water-rocket  ",""))</f>
        <v>Fusée à eau  </v>
      </c>
      <c r="H96" s="102"/>
      <c r="I96" s="105"/>
      <c r="J96" s="102"/>
      <c r="L96" s="102"/>
      <c r="M96" s="102"/>
      <c r="N96" s="102"/>
      <c r="Q96" s="102"/>
      <c r="R96" s="102"/>
    </row>
    <row r="97" customFormat="false" ht="12.75" hidden="false" customHeight="false" outlineLevel="0" collapsed="false">
      <c r="B97" s="4" t="str">
        <f aca="false">IF(Lang="Français","Microfusée",IF(Lang="English","Micro-rocket",""))</f>
        <v>Microfusée</v>
      </c>
      <c r="H97" s="102"/>
      <c r="I97" s="105"/>
      <c r="J97" s="102"/>
      <c r="L97" s="102"/>
      <c r="M97" s="102"/>
      <c r="N97" s="102"/>
      <c r="Q97" s="102"/>
      <c r="R97" s="102"/>
    </row>
    <row r="98" customFormat="false" ht="12.75" hidden="false" customHeight="false" outlineLevel="0" collapsed="false">
      <c r="B98" s="4" t="str">
        <f aca="false">IF(Lang="Français","Minifusée",IF(Lang="English","Mini-rocket",""))</f>
        <v>Minifusée</v>
      </c>
      <c r="H98" s="102"/>
      <c r="I98" s="105"/>
      <c r="J98" s="102"/>
      <c r="L98" s="102"/>
      <c r="M98" s="102"/>
      <c r="N98" s="102"/>
      <c r="Q98" s="102"/>
      <c r="R98" s="102"/>
    </row>
    <row r="99" customFormat="false" ht="12.75" hidden="false" customHeight="false" outlineLevel="0" collapsed="false">
      <c r="B99" s="4" t="s">
        <v>26</v>
      </c>
      <c r="H99" s="102"/>
      <c r="I99" s="105"/>
      <c r="J99" s="102"/>
      <c r="L99" s="102"/>
      <c r="M99" s="102"/>
      <c r="N99" s="102"/>
      <c r="Q99" s="102"/>
      <c r="R99" s="102"/>
    </row>
    <row r="100" customFormat="false" ht="12.75" hidden="false" customHeight="false" outlineLevel="0" collapsed="false">
      <c r="B100" s="4" t="str">
        <f aca="false">IF(Lang="Français","Fusée expérimentale.",IF(Lang="English","Experimental Rocket.",""))</f>
        <v>Fusée expérimentale.</v>
      </c>
      <c r="H100" s="102"/>
      <c r="I100" s="105"/>
      <c r="J100" s="102"/>
      <c r="L100" s="102"/>
      <c r="M100" s="102"/>
      <c r="N100" s="102"/>
      <c r="Q100" s="102"/>
      <c r="R100" s="102"/>
    </row>
    <row r="101" customFormat="false" ht="12.75" hidden="false" customHeight="false" outlineLevel="0" collapsed="false">
      <c r="B101" s="4" t="s">
        <v>27</v>
      </c>
      <c r="H101" s="102"/>
      <c r="I101" s="105"/>
      <c r="J101" s="102"/>
      <c r="L101" s="102"/>
      <c r="M101" s="102"/>
      <c r="N101" s="102"/>
      <c r="Q101" s="102"/>
      <c r="R101" s="102"/>
    </row>
    <row r="102" customFormat="false" ht="12.75" hidden="false" customHeight="false" outlineLevel="0" collapsed="false">
      <c r="B102" s="4"/>
      <c r="H102" s="102"/>
      <c r="I102" s="105"/>
      <c r="J102" s="102"/>
      <c r="L102" s="102"/>
      <c r="M102" s="102"/>
      <c r="N102" s="102"/>
      <c r="Q102" s="102"/>
      <c r="R102" s="102"/>
    </row>
    <row r="103" customFormat="false" ht="12.75" hidden="false" customHeight="false" outlineLevel="0" collapsed="false">
      <c r="B103" s="4" t="str">
        <f aca="false">IF(Lang="Français","sans propu",IF(Lang="English","without motor",""))</f>
        <v>sans propu</v>
      </c>
      <c r="H103" s="102"/>
      <c r="I103" s="105"/>
      <c r="J103" s="102"/>
      <c r="L103" s="102"/>
      <c r="M103" s="102"/>
      <c r="N103" s="102"/>
      <c r="Q103" s="102"/>
      <c r="R103" s="102"/>
    </row>
    <row r="104" customFormat="false" ht="12.75" hidden="false" customHeight="false" outlineLevel="0" collapsed="false">
      <c r="B104" s="4" t="str">
        <f aca="false">IF(Lang="Français","avec propu vide",IF(Lang="English","with empty motor",""))</f>
        <v>avec propu vide</v>
      </c>
      <c r="H104" s="102"/>
      <c r="I104" s="105"/>
      <c r="J104" s="102"/>
      <c r="L104" s="102"/>
      <c r="M104" s="102"/>
      <c r="N104" s="102"/>
      <c r="Q104" s="102"/>
      <c r="R104" s="102"/>
    </row>
    <row r="105" customFormat="false" ht="12.75" hidden="false" customHeight="false" outlineLevel="0" collapsed="false">
      <c r="B105" s="4" t="str">
        <f aca="false">IF(Lang="Français","avec propu plein",IF(Lang="English","with loaded motor",""))</f>
        <v>avec propu plein</v>
      </c>
      <c r="H105" s="102"/>
      <c r="I105" s="105"/>
      <c r="J105" s="102"/>
      <c r="L105" s="102"/>
      <c r="M105" s="102"/>
      <c r="N105" s="102"/>
      <c r="Q105" s="102"/>
      <c r="R105" s="102"/>
    </row>
    <row r="106" customFormat="false" ht="12.75" hidden="false" customHeight="false" outlineLevel="0" collapsed="false">
      <c r="B106" s="4"/>
      <c r="H106" s="102"/>
      <c r="I106" s="105"/>
      <c r="J106" s="102"/>
      <c r="L106" s="102"/>
      <c r="M106" s="102"/>
      <c r="N106" s="102"/>
      <c r="Q106" s="102"/>
      <c r="R106" s="102"/>
    </row>
    <row r="107" customFormat="false" ht="12.75" hidden="false" customHeight="false" outlineLevel="0" collapsed="false">
      <c r="B107" s="4" t="str">
        <f aca="false">IF(Lang="Français","Parabolique (arrondie)",IF(Lang="English","Parabola (rounded)",""))</f>
        <v>Parabolique (arrondie)</v>
      </c>
      <c r="H107" s="102"/>
      <c r="I107" s="105"/>
      <c r="J107" s="102"/>
      <c r="L107" s="102"/>
      <c r="M107" s="102"/>
      <c r="N107" s="102"/>
      <c r="Q107" s="102"/>
      <c r="R107" s="102"/>
    </row>
    <row r="108" customFormat="false" ht="12.75" hidden="false" customHeight="false" outlineLevel="0" collapsed="false">
      <c r="B108" s="4" t="str">
        <f aca="false">IF(Lang="Français","Ogivale (pointue)",IF(Lang="English","Ogive (sharp)",""))</f>
        <v>Ogivale (pointue)</v>
      </c>
      <c r="H108" s="102"/>
      <c r="I108" s="105"/>
      <c r="J108" s="102"/>
      <c r="L108" s="102"/>
      <c r="M108" s="102"/>
      <c r="N108" s="102"/>
      <c r="Q108" s="102"/>
      <c r="R108" s="102"/>
    </row>
    <row r="109" customFormat="false" ht="12.75" hidden="false" customHeight="false" outlineLevel="0" collapsed="false">
      <c r="B109" s="4" t="str">
        <f aca="false">IF(Lang="Français","Conique (droite)",IF(Lang="English","Cone (straight)",""))</f>
        <v>Conique (droite)</v>
      </c>
      <c r="H109" s="102"/>
      <c r="I109" s="105"/>
      <c r="J109" s="102"/>
      <c r="L109" s="102"/>
      <c r="M109" s="102"/>
      <c r="N109" s="102"/>
      <c r="Q109" s="102"/>
      <c r="R109" s="102"/>
    </row>
    <row r="110" customFormat="false" ht="12.75" hidden="false" customHeight="false" outlineLevel="0" collapsed="false">
      <c r="B110" s="62"/>
      <c r="H110" s="102"/>
      <c r="I110" s="105"/>
      <c r="J110" s="102"/>
      <c r="L110" s="102"/>
      <c r="M110" s="102"/>
      <c r="N110" s="102"/>
      <c r="Q110" s="102"/>
      <c r="R110" s="102"/>
    </row>
    <row r="111" customFormat="false" ht="12.75" hidden="false" customHeight="false" outlineLevel="0" collapsed="false">
      <c r="B111" s="62" t="s">
        <v>28</v>
      </c>
      <c r="H111" s="102"/>
      <c r="I111" s="105"/>
      <c r="J111" s="102"/>
      <c r="L111" s="102"/>
      <c r="M111" s="102"/>
      <c r="N111" s="102"/>
      <c r="Q111" s="102"/>
      <c r="R111" s="102"/>
    </row>
    <row r="112" customFormat="false" ht="12.75" hidden="false" customHeight="false" outlineLevel="0" collapsed="false">
      <c r="B112" s="62" t="s">
        <v>17</v>
      </c>
      <c r="H112" s="102"/>
      <c r="I112" s="105"/>
      <c r="J112" s="102"/>
      <c r="L112" s="102"/>
      <c r="M112" s="102"/>
      <c r="N112" s="102"/>
      <c r="Q112" s="102"/>
      <c r="R112" s="102"/>
    </row>
    <row r="113" customFormat="false" ht="12.75" hidden="false" customHeight="false" outlineLevel="0" collapsed="false">
      <c r="B113" s="62"/>
      <c r="H113" s="102"/>
      <c r="I113" s="105"/>
      <c r="J113" s="102"/>
      <c r="L113" s="102"/>
      <c r="M113" s="102"/>
      <c r="N113" s="102"/>
      <c r="Q113" s="102"/>
      <c r="R113" s="102"/>
    </row>
    <row r="114" customFormat="false" ht="12.75" hidden="false" customHeight="false" outlineLevel="0" collapsed="false">
      <c r="B114" s="62" t="str">
        <f aca="false">IF(Lang="Français","Fusée mono-diamètre,",IF(Lang="English","Mono-diameter rocket,",""))</f>
        <v>Fusée mono-diamètre,</v>
      </c>
      <c r="H114" s="102"/>
      <c r="I114" s="105"/>
      <c r="J114" s="102"/>
      <c r="L114" s="102"/>
      <c r="M114" s="102"/>
      <c r="N114" s="102"/>
      <c r="Q114" s="102"/>
      <c r="R114" s="102"/>
    </row>
    <row r="115" customFormat="false" ht="12.75" hidden="false" customHeight="false" outlineLevel="0" collapsed="false">
      <c r="B115" s="62" t="str">
        <f aca="false">IF(Lang="Français","Plusieurs diamètres.",IF(Lang="English","Many diameters rocket.",""))</f>
        <v>Plusieurs diamètres.</v>
      </c>
      <c r="H115" s="102"/>
      <c r="I115" s="105"/>
      <c r="J115" s="102"/>
      <c r="L115" s="102"/>
      <c r="M115" s="102"/>
      <c r="N115" s="102"/>
      <c r="Q115" s="102"/>
      <c r="R115" s="102"/>
    </row>
    <row r="116" customFormat="false" ht="12.75" hidden="false" customHeight="false" outlineLevel="0" collapsed="false">
      <c r="B116" s="62"/>
      <c r="H116" s="102"/>
      <c r="I116" s="105"/>
      <c r="J116" s="102"/>
      <c r="L116" s="102"/>
      <c r="M116" s="102"/>
      <c r="N116" s="102"/>
      <c r="Q116" s="102"/>
      <c r="R116" s="102"/>
    </row>
    <row r="117" customFormat="false" ht="12.75" hidden="false" customHeight="false" outlineLevel="0" collapsed="false">
      <c r="B117" s="62" t="str">
        <f aca="false">IF(Lang="Français","Diagramme des critères de stabilité","Stability criterions diagram")</f>
        <v>Diagramme des critères de stabilité</v>
      </c>
      <c r="H117" s="102"/>
      <c r="I117" s="105"/>
      <c r="J117" s="102"/>
      <c r="L117" s="102"/>
      <c r="M117" s="102"/>
      <c r="N117" s="102"/>
      <c r="Q117" s="102"/>
      <c r="R117" s="102"/>
    </row>
    <row r="118" customFormat="false" ht="12.75" hidden="false" customHeight="false" outlineLevel="0" collapsed="false">
      <c r="B118" s="62" t="str">
        <f aca="false">IF(Lang="Français","Marge Statique (MS)","Static Margin")</f>
        <v>Marge Statique (MS)</v>
      </c>
      <c r="H118" s="102"/>
      <c r="I118" s="105"/>
      <c r="J118" s="102"/>
      <c r="L118" s="102"/>
      <c r="M118" s="102"/>
      <c r="N118" s="102"/>
      <c r="Q118" s="102"/>
      <c r="R118" s="102"/>
    </row>
    <row r="119" customFormat="false" ht="12.75" hidden="false" customHeight="false" outlineLevel="0" collapsed="false">
      <c r="B119" s="62" t="str">
        <f aca="false">IF(Lang="Français","Portance Cnα","Lift Cnα")</f>
        <v>Portance Cnα</v>
      </c>
      <c r="H119" s="102"/>
      <c r="I119" s="105"/>
      <c r="J119" s="102"/>
      <c r="L119" s="102"/>
      <c r="M119" s="102"/>
      <c r="N119" s="102"/>
      <c r="Q119" s="102"/>
      <c r="R119" s="102"/>
    </row>
    <row r="120" customFormat="false" ht="12.75" hidden="false" customHeight="false" outlineLevel="0" collapsed="false">
      <c r="B120" s="62"/>
      <c r="H120" s="102"/>
      <c r="I120" s="105"/>
      <c r="J120" s="102"/>
      <c r="L120" s="102"/>
      <c r="M120" s="102"/>
      <c r="N120" s="102"/>
      <c r="Q120" s="102"/>
      <c r="R120" s="102"/>
    </row>
    <row r="121" customFormat="false" ht="12.75" hidden="false" customHeight="false" outlineLevel="0" collapsed="false">
      <c r="B121" s="1" t="str">
        <f aca="false">IF(Lang="Français","Données pour les graphiques :",IF(Lang="English","Data for plots:",""))</f>
        <v>Données pour les graphiques :</v>
      </c>
      <c r="H121" s="102"/>
      <c r="I121" s="105"/>
      <c r="J121" s="102"/>
      <c r="L121" s="102"/>
      <c r="M121" s="102"/>
      <c r="N121" s="102"/>
      <c r="Q121" s="102"/>
      <c r="R121" s="102"/>
    </row>
    <row r="122" customFormat="false" ht="12.75" hidden="false" customHeight="false" outlineLevel="0" collapsed="false">
      <c r="H122" s="102"/>
      <c r="I122" s="105"/>
      <c r="J122" s="102"/>
      <c r="L122" s="102"/>
      <c r="M122" s="102"/>
      <c r="N122" s="102"/>
      <c r="Q122" s="102"/>
      <c r="R122" s="102"/>
    </row>
    <row r="123" customFormat="false" ht="12.75" hidden="false" customHeight="false" outlineLevel="0" collapsed="false">
      <c r="B123" s="17"/>
      <c r="C123" s="17" t="s">
        <v>29</v>
      </c>
      <c r="D123" s="17" t="s">
        <v>30</v>
      </c>
      <c r="E123" s="109" t="s">
        <v>31</v>
      </c>
      <c r="K123" s="17"/>
      <c r="R123" s="102"/>
    </row>
    <row r="124" customFormat="false" ht="12.75" hidden="false" customHeight="false" outlineLevel="0" collapsed="false">
      <c r="B124" s="17" t="s">
        <v>32</v>
      </c>
      <c r="C124" s="110" t="n">
        <f aca="false">-Long_ogive</f>
        <v>-40</v>
      </c>
      <c r="D124" s="110" t="n">
        <v>0</v>
      </c>
      <c r="E124" s="111" t="n">
        <f aca="false">-D124</f>
        <v>-0</v>
      </c>
      <c r="K124" s="110"/>
    </row>
    <row r="125" customFormat="false" ht="12.75" hidden="false" customHeight="false" outlineLevel="0" collapsed="false">
      <c r="B125" s="17" t="s">
        <v>32</v>
      </c>
      <c r="C125" s="110" t="n">
        <f aca="false">-Long_ogive</f>
        <v>-40</v>
      </c>
      <c r="D125" s="110" t="n">
        <f aca="false">D_og/2</f>
        <v>45</v>
      </c>
      <c r="E125" s="111" t="n">
        <f aca="false">-D125</f>
        <v>-45</v>
      </c>
      <c r="K125" s="110"/>
    </row>
    <row r="126" customFormat="false" ht="12.75" hidden="false" customHeight="false" outlineLevel="0" collapsed="false">
      <c r="B126" s="17" t="s">
        <v>33</v>
      </c>
      <c r="C126" s="110" t="n">
        <f aca="false">IF(AND(RIGHT(Nb_diam,1)=".",X_j), -X_j, C125 )</f>
        <v>-40</v>
      </c>
      <c r="D126" s="110" t="n">
        <f aca="false">IF(AND(RIGHT(Nb_diam,1)=".",X_j), D1j/2, D125 )</f>
        <v>45</v>
      </c>
      <c r="E126" s="111" t="n">
        <f aca="false">-D126</f>
        <v>-45</v>
      </c>
      <c r="K126" s="110"/>
    </row>
    <row r="127" customFormat="false" ht="12.75" hidden="false" customHeight="false" outlineLevel="0" collapsed="false">
      <c r="B127" s="17" t="s">
        <v>34</v>
      </c>
      <c r="C127" s="110" t="n">
        <f aca="false">IF(AND(RIGHT(Nb_diam,1)=".",X_j), -X_j-l_j, C126 )</f>
        <v>-228</v>
      </c>
      <c r="D127" s="110" t="n">
        <f aca="false">IF(AND(RIGHT(Nb_diam,1)=".",X_j), D2j/2, D126 )</f>
        <v>50</v>
      </c>
      <c r="E127" s="111" t="n">
        <f aca="false">-D127</f>
        <v>-50</v>
      </c>
      <c r="K127" s="110"/>
    </row>
    <row r="128" customFormat="false" ht="12.75" hidden="false" customHeight="false" outlineLevel="0" collapsed="false">
      <c r="B128" s="17" t="s">
        <v>35</v>
      </c>
      <c r="C128" s="110" t="n">
        <f aca="false">IF(AND(RIGHT(Nb_diam,1)=".",X_r), -X_r, C127 )</f>
        <v>-500</v>
      </c>
      <c r="D128" s="110" t="n">
        <f aca="false">IF(AND(RIGHT(Nb_diam,1)=".",X_r), D1r/2, D127 )</f>
        <v>50</v>
      </c>
      <c r="E128" s="111" t="n">
        <f aca="false">-D128</f>
        <v>-50</v>
      </c>
      <c r="K128" s="110"/>
    </row>
    <row r="129" customFormat="false" ht="12.75" hidden="false" customHeight="false" outlineLevel="0" collapsed="false">
      <c r="B129" s="17" t="s">
        <v>36</v>
      </c>
      <c r="C129" s="110" t="n">
        <f aca="false">IF(AND(RIGHT(Nb_diam,1)=".",X_r), -X_r-l_r, C128 )</f>
        <v>-550</v>
      </c>
      <c r="D129" s="110" t="n">
        <f aca="false">IF(AND(RIGHT(Nb_diam,1)=".",X_r), D2r/2, D128 )</f>
        <v>50</v>
      </c>
      <c r="E129" s="111" t="n">
        <f aca="false">-D129</f>
        <v>-50</v>
      </c>
      <c r="K129" s="110"/>
    </row>
    <row r="130" customFormat="false" ht="12.75" hidden="false" customHeight="false" outlineLevel="0" collapsed="false">
      <c r="B130" s="17" t="s">
        <v>37</v>
      </c>
      <c r="C130" s="110" t="n">
        <f aca="false">-Long_tot</f>
        <v>-2195</v>
      </c>
      <c r="D130" s="110" t="n">
        <f aca="false">D129</f>
        <v>50</v>
      </c>
      <c r="E130" s="111" t="n">
        <f aca="false">-D130</f>
        <v>-50</v>
      </c>
      <c r="K130" s="110"/>
    </row>
    <row r="131" customFormat="false" ht="12.75" hidden="false" customHeight="false" outlineLevel="0" collapsed="false">
      <c r="B131" s="17" t="s">
        <v>37</v>
      </c>
      <c r="C131" s="110" t="n">
        <f aca="false">-Long_tot</f>
        <v>-2195</v>
      </c>
      <c r="D131" s="110" t="n">
        <v>0</v>
      </c>
      <c r="E131" s="111" t="n">
        <f aca="false">-D131</f>
        <v>-0</v>
      </c>
      <c r="K131" s="110"/>
    </row>
    <row r="132" customFormat="false" ht="12.75" hidden="false" customHeight="false" outlineLevel="0" collapsed="false">
      <c r="B132" s="112" t="s">
        <v>38</v>
      </c>
      <c r="C132" s="113" t="n">
        <f aca="false">-X_ail+m_ail</f>
        <v>-1905</v>
      </c>
      <c r="D132" s="113" t="n">
        <f aca="false">D_ail/2</f>
        <v>50</v>
      </c>
      <c r="E132" s="114" t="n">
        <f aca="false">-D132</f>
        <v>-50</v>
      </c>
      <c r="K132" s="110"/>
    </row>
    <row r="133" customFormat="false" ht="12.75" hidden="false" customHeight="false" outlineLevel="0" collapsed="false">
      <c r="B133" s="115" t="s">
        <v>39</v>
      </c>
      <c r="C133" s="110" t="n">
        <f aca="false">-X_ail+m_ail-p_ail</f>
        <v>-1978</v>
      </c>
      <c r="D133" s="110" t="n">
        <f aca="false">D_ail/2+E_ail</f>
        <v>175</v>
      </c>
      <c r="E133" s="116" t="n">
        <f aca="false">-D133</f>
        <v>-175</v>
      </c>
      <c r="K133" s="110"/>
    </row>
    <row r="134" customFormat="false" ht="12.75" hidden="false" customHeight="false" outlineLevel="0" collapsed="false">
      <c r="B134" s="115" t="s">
        <v>40</v>
      </c>
      <c r="C134" s="110" t="n">
        <f aca="false">-X_ail+m_ail-p_ail-n_ail</f>
        <v>-2128</v>
      </c>
      <c r="D134" s="110" t="n">
        <f aca="false">D_ail/2+E_ail</f>
        <v>175</v>
      </c>
      <c r="E134" s="116" t="n">
        <f aca="false">-D134</f>
        <v>-175</v>
      </c>
      <c r="K134" s="110"/>
    </row>
    <row r="135" customFormat="false" ht="12.75" hidden="false" customHeight="false" outlineLevel="0" collapsed="false">
      <c r="B135" s="115" t="s">
        <v>41</v>
      </c>
      <c r="C135" s="110" t="n">
        <f aca="false">-X_ail</f>
        <v>-2195</v>
      </c>
      <c r="D135" s="110" t="n">
        <f aca="false">D_ail/2</f>
        <v>50</v>
      </c>
      <c r="E135" s="116" t="n">
        <f aca="false">-D135</f>
        <v>-50</v>
      </c>
      <c r="K135" s="110"/>
    </row>
    <row r="136" customFormat="false" ht="12.75" hidden="false" customHeight="false" outlineLevel="0" collapsed="false">
      <c r="B136" s="117" t="s">
        <v>38</v>
      </c>
      <c r="C136" s="118" t="n">
        <f aca="false">-X_ail+m_ail</f>
        <v>-1905</v>
      </c>
      <c r="D136" s="118" t="n">
        <f aca="false">D_ail/2</f>
        <v>50</v>
      </c>
      <c r="E136" s="119" t="n">
        <f aca="false">-D136</f>
        <v>-50</v>
      </c>
      <c r="K136" s="110"/>
    </row>
    <row r="137" customFormat="false" ht="12.75" hidden="false" customHeight="false" outlineLevel="0" collapsed="false">
      <c r="B137" s="112" t="str">
        <f aca="false">IF(E_ail&gt;0,IF(Lang="Français","Envergure","Span"),"")</f>
        <v>Envergure</v>
      </c>
      <c r="C137" s="113" t="n">
        <f aca="false">MIN(-X_ail,-X_ail+m_ail-p_ail-n_ail)-Long_tot/30</f>
        <v>-2268.16666666667</v>
      </c>
      <c r="D137" s="120" t="n">
        <f aca="false">-D_ail/2-E_ail</f>
        <v>-175</v>
      </c>
      <c r="E137" s="111"/>
      <c r="K137" s="110"/>
    </row>
    <row r="138" customFormat="false" ht="12.75" hidden="false" customHeight="false" outlineLevel="0" collapsed="false">
      <c r="B138" s="115" t="s">
        <v>42</v>
      </c>
      <c r="C138" s="110" t="n">
        <f aca="false">MIN(-X_ail,-X_ail+m_ail-p_ail-n_ail)-Long_tot/30</f>
        <v>-2268.16666666667</v>
      </c>
      <c r="D138" s="121" t="n">
        <f aca="false">-D_ail/2-E_ail/2</f>
        <v>-112.5</v>
      </c>
      <c r="E138" s="111"/>
      <c r="K138" s="110"/>
    </row>
    <row r="139" customFormat="false" ht="12.75" hidden="false" customHeight="false" outlineLevel="0" collapsed="false">
      <c r="B139" s="117" t="s">
        <v>43</v>
      </c>
      <c r="C139" s="118" t="n">
        <f aca="false">MIN(-X_ail,-X_ail+m_ail-p_ail-n_ail)-Long_tot/30</f>
        <v>-2268.16666666667</v>
      </c>
      <c r="D139" s="122" t="n">
        <f aca="false">-D_ail/2</f>
        <v>-50</v>
      </c>
      <c r="E139" s="111"/>
      <c r="K139" s="110"/>
    </row>
    <row r="140" customFormat="false" ht="12.75" hidden="false" customHeight="false" outlineLevel="0" collapsed="false">
      <c r="B140" s="112" t="str">
        <f aca="false">IF(Lang="Français","Emplanture","Root edge")</f>
        <v>Emplanture</v>
      </c>
      <c r="C140" s="113" t="n">
        <f aca="false">-X_ail+m_ail</f>
        <v>-1905</v>
      </c>
      <c r="D140" s="120" t="n">
        <f aca="false">D_ail/2+E_ail+Long_tot/20</f>
        <v>284.75</v>
      </c>
      <c r="E140" s="111"/>
      <c r="K140" s="110"/>
    </row>
    <row r="141" customFormat="false" ht="12.75" hidden="false" customHeight="false" outlineLevel="0" collapsed="false">
      <c r="B141" s="115" t="s">
        <v>44</v>
      </c>
      <c r="C141" s="110" t="n">
        <f aca="false">-X_ail+m_ail/2</f>
        <v>-2050</v>
      </c>
      <c r="D141" s="121" t="n">
        <f aca="false">D_ail/2+E_ail+Long_tot/20</f>
        <v>284.75</v>
      </c>
      <c r="E141" s="111"/>
      <c r="K141" s="110"/>
    </row>
    <row r="142" customFormat="false" ht="12.75" hidden="false" customHeight="false" outlineLevel="0" collapsed="false">
      <c r="B142" s="117" t="s">
        <v>45</v>
      </c>
      <c r="C142" s="118" t="n">
        <f aca="false">-X_ail</f>
        <v>-2195</v>
      </c>
      <c r="D142" s="122" t="n">
        <f aca="false">D_ail/2+E_ail+Long_tot/20</f>
        <v>284.75</v>
      </c>
      <c r="E142" s="111"/>
      <c r="K142" s="110"/>
    </row>
    <row r="143" customFormat="false" ht="12.75" hidden="false" customHeight="false" outlineLevel="0" collapsed="false">
      <c r="B143" s="112" t="str">
        <f aca="false">IF(p_ail&lt;&gt;0,IF(Lang="Français","Flèche","Offset"),"")</f>
        <v>Flèche</v>
      </c>
      <c r="C143" s="113" t="n">
        <f aca="false">-X_ail+m_ail</f>
        <v>-1905</v>
      </c>
      <c r="D143" s="120" t="n">
        <f aca="false">-D_ail/2-E_ail-Long_tot/30</f>
        <v>-248.166666666667</v>
      </c>
      <c r="E143" s="111"/>
      <c r="K143" s="110"/>
    </row>
    <row r="144" customFormat="false" ht="12.75" hidden="false" customHeight="false" outlineLevel="0" collapsed="false">
      <c r="B144" s="115" t="s">
        <v>46</v>
      </c>
      <c r="C144" s="110" t="n">
        <f aca="false">-X_ail+m_ail-p_ail/2</f>
        <v>-1941.5</v>
      </c>
      <c r="D144" s="121" t="n">
        <f aca="false">-D_ail/2-E_ail-Long_tot/30</f>
        <v>-248.166666666667</v>
      </c>
      <c r="E144" s="111"/>
      <c r="K144" s="110"/>
    </row>
    <row r="145" customFormat="false" ht="12.75" hidden="false" customHeight="false" outlineLevel="0" collapsed="false">
      <c r="B145" s="117" t="s">
        <v>47</v>
      </c>
      <c r="C145" s="118" t="n">
        <f aca="false">-X_ail+m_ail-p_ail</f>
        <v>-1978</v>
      </c>
      <c r="D145" s="122" t="n">
        <f aca="false">-D_ail/2-E_ail-Long_tot/30</f>
        <v>-248.166666666667</v>
      </c>
      <c r="E145" s="111"/>
      <c r="K145" s="110"/>
    </row>
    <row r="146" customFormat="false" ht="12.75" hidden="false" customHeight="false" outlineLevel="0" collapsed="false">
      <c r="B146" s="112" t="str">
        <f aca="false">IF(n_ail&gt;0,IF(Lang="Français","Saumon","Tip edge"),"")</f>
        <v>Saumon</v>
      </c>
      <c r="C146" s="113" t="n">
        <f aca="false">-X_ail+m_ail-p_ail</f>
        <v>-1978</v>
      </c>
      <c r="D146" s="120" t="n">
        <f aca="false">-D_ail/2-E_ail-Long_tot/20</f>
        <v>-284.75</v>
      </c>
      <c r="E146" s="111"/>
      <c r="K146" s="110"/>
    </row>
    <row r="147" customFormat="false" ht="12.75" hidden="false" customHeight="false" outlineLevel="0" collapsed="false">
      <c r="B147" s="115" t="s">
        <v>48</v>
      </c>
      <c r="C147" s="110" t="n">
        <f aca="false">-X_ail+m_ail-p_ail-n_ail/2</f>
        <v>-2053</v>
      </c>
      <c r="D147" s="121" t="n">
        <f aca="false">-D_ail/2-E_ail-Long_tot/20</f>
        <v>-284.75</v>
      </c>
      <c r="E147" s="111"/>
      <c r="K147" s="110"/>
    </row>
    <row r="148" customFormat="false" ht="12.75" hidden="false" customHeight="false" outlineLevel="0" collapsed="false">
      <c r="B148" s="117" t="s">
        <v>49</v>
      </c>
      <c r="C148" s="118" t="n">
        <f aca="false">-X_ail+m_ail-p_ail-n_ail</f>
        <v>-2128</v>
      </c>
      <c r="D148" s="122" t="n">
        <f aca="false">-D_ail/2-E_ail-Long_tot/20</f>
        <v>-284.75</v>
      </c>
      <c r="E148" s="111"/>
      <c r="K148" s="110"/>
    </row>
    <row r="149" customFormat="false" ht="12.75" hidden="false" customHeight="false" outlineLevel="0" collapsed="false">
      <c r="B149" s="112" t="s">
        <v>50</v>
      </c>
      <c r="C149" s="113" t="n">
        <f aca="false">-XcgPlein</f>
        <v>-1316</v>
      </c>
      <c r="D149" s="120" t="n">
        <v>0</v>
      </c>
      <c r="E149" s="111"/>
      <c r="K149" s="110"/>
    </row>
    <row r="150" customFormat="false" ht="12.75" hidden="false" customHeight="false" outlineLevel="0" collapsed="false">
      <c r="B150" s="117" t="s">
        <v>51</v>
      </c>
      <c r="C150" s="118" t="n">
        <f aca="false">-XcgVide</f>
        <v>-1239.69230769231</v>
      </c>
      <c r="D150" s="122" t="n">
        <v>0</v>
      </c>
      <c r="E150" s="111"/>
      <c r="K150" s="110"/>
    </row>
    <row r="151" customFormat="false" ht="12.75" hidden="false" customHeight="false" outlineLevel="0" collapsed="false">
      <c r="B151" s="112" t="s">
        <v>52</v>
      </c>
      <c r="C151" s="113" t="n">
        <f aca="false">-XCp</f>
        <v>-1557.7033625978</v>
      </c>
      <c r="D151" s="120" t="n">
        <v>0</v>
      </c>
      <c r="E151" s="111"/>
      <c r="K151" s="110"/>
    </row>
    <row r="152" customFormat="false" ht="12.75" hidden="false" customHeight="false" outlineLevel="0" collapsed="false">
      <c r="B152" s="117" t="s">
        <v>52</v>
      </c>
      <c r="C152" s="118" t="n">
        <f aca="false">-XCp</f>
        <v>-1557.7033625978</v>
      </c>
      <c r="D152" s="122" t="n">
        <f aca="false">Cn*D_ref/CritCnmin</f>
        <v>121.893175797707</v>
      </c>
      <c r="E152" s="111"/>
      <c r="K152" s="110"/>
    </row>
    <row r="153" customFormat="false" ht="12.75" hidden="false" customHeight="false" outlineLevel="0" collapsed="false">
      <c r="B153" s="115" t="s">
        <v>53</v>
      </c>
      <c r="C153" s="110" t="n">
        <f aca="false">-XCp0</f>
        <v>-1587.66711063274</v>
      </c>
      <c r="D153" s="121" t="n">
        <f aca="false">Cn0*D_ref/CritCnmin</f>
        <v>131.09588785997</v>
      </c>
      <c r="E153" s="111"/>
      <c r="K153" s="110"/>
    </row>
    <row r="154" customFormat="false" ht="12.75" hidden="false" customHeight="false" outlineLevel="0" collapsed="false">
      <c r="B154" s="115" t="s">
        <v>53</v>
      </c>
      <c r="C154" s="110" t="n">
        <f aca="false">-XCp0</f>
        <v>-1587.66711063274</v>
      </c>
      <c r="D154" s="121" t="n">
        <v>0</v>
      </c>
      <c r="E154" s="111"/>
      <c r="K154" s="110"/>
    </row>
    <row r="155" customFormat="false" ht="12.75" hidden="false" customHeight="false" outlineLevel="0" collapsed="false">
      <c r="B155" s="112" t="str">
        <f aca="false">IF(n_ail&gt;0,IF(Lang="Français","Marge Statique","Static Margin"),"")</f>
        <v>Marge Statique</v>
      </c>
      <c r="C155" s="113" t="n">
        <f aca="false">(-XcgPlein-XcgVide)/2</f>
        <v>-1277.84615384615</v>
      </c>
      <c r="D155" s="120" t="n">
        <f aca="false">-D_ail/2-E_ail-Long_tot/20</f>
        <v>-284.75</v>
      </c>
      <c r="E155" s="111"/>
      <c r="K155" s="110"/>
    </row>
    <row r="156" customFormat="false" ht="12.75" hidden="false" customHeight="false" outlineLevel="0" collapsed="false">
      <c r="B156" s="115" t="s">
        <v>54</v>
      </c>
      <c r="C156" s="110" t="n">
        <f aca="false">(C155+C157)/2</f>
        <v>-1417.77475822198</v>
      </c>
      <c r="D156" s="121" t="n">
        <f aca="false">-D_ail/2-E_ail-Long_tot/20</f>
        <v>-284.75</v>
      </c>
      <c r="E156" s="111"/>
      <c r="K156" s="110"/>
    </row>
    <row r="157" customFormat="false" ht="12.75" hidden="false" customHeight="false" outlineLevel="0" collapsed="false">
      <c r="B157" s="117" t="s">
        <v>55</v>
      </c>
      <c r="C157" s="118" t="n">
        <f aca="false">-XCp</f>
        <v>-1557.7033625978</v>
      </c>
      <c r="D157" s="122" t="n">
        <f aca="false">-D_ail/2-E_ail-Long_tot/20</f>
        <v>-284.75</v>
      </c>
      <c r="E157" s="111"/>
      <c r="K157" s="110"/>
    </row>
    <row r="158" customFormat="false" ht="12.75" hidden="false" customHeight="false" outlineLevel="0" collapsed="false">
      <c r="B158" s="112" t="s">
        <v>56</v>
      </c>
      <c r="C158" s="113" t="n">
        <f aca="false">IF(LEFT(Type_masquage,1)="M",0,-X_can+m_can)</f>
        <v>-450</v>
      </c>
      <c r="D158" s="113" t="n">
        <f aca="false">IF(LEFT(Type_masquage,1)="M",0,D_ail/2)</f>
        <v>50</v>
      </c>
      <c r="E158" s="114" t="n">
        <f aca="false">-D158</f>
        <v>-50</v>
      </c>
      <c r="K158" s="110"/>
    </row>
    <row r="159" customFormat="false" ht="12.75" hidden="false" customHeight="false" outlineLevel="0" collapsed="false">
      <c r="B159" s="115" t="s">
        <v>57</v>
      </c>
      <c r="C159" s="110" t="n">
        <f aca="false">IF(LEFT(Type_masquage,1)="M",0,-X_can+m_can-p_can)</f>
        <v>-450</v>
      </c>
      <c r="D159" s="110" t="n">
        <f aca="false">IF(LEFT(Type_masquage,1)="M",0,D_ail/2+E_can)</f>
        <v>98</v>
      </c>
      <c r="E159" s="116" t="n">
        <f aca="false">-D159</f>
        <v>-98</v>
      </c>
      <c r="K159" s="110"/>
    </row>
    <row r="160" customFormat="false" ht="12.75" hidden="false" customHeight="false" outlineLevel="0" collapsed="false">
      <c r="B160" s="115" t="s">
        <v>58</v>
      </c>
      <c r="C160" s="110" t="n">
        <f aca="false">IF(LEFT(Type_masquage,1)="M",0,-X_can+m_can-p_can-n_can)</f>
        <v>-600</v>
      </c>
      <c r="D160" s="110" t="n">
        <f aca="false">IF(LEFT(Type_masquage,1)="M",0,D_ail/2+E_can)</f>
        <v>98</v>
      </c>
      <c r="E160" s="116" t="n">
        <f aca="false">-D160</f>
        <v>-98</v>
      </c>
      <c r="K160" s="110"/>
    </row>
    <row r="161" customFormat="false" ht="12.75" hidden="false" customHeight="false" outlineLevel="0" collapsed="false">
      <c r="B161" s="115" t="s">
        <v>59</v>
      </c>
      <c r="C161" s="110" t="n">
        <f aca="false">IF(LEFT(Type_masquage,1)="M",0,-X_can)</f>
        <v>-600</v>
      </c>
      <c r="D161" s="110" t="n">
        <f aca="false">IF(LEFT(Type_masquage,1)="M",0,D_ail/2)</f>
        <v>50</v>
      </c>
      <c r="E161" s="116" t="n">
        <f aca="false">-D161</f>
        <v>-50</v>
      </c>
      <c r="K161" s="110"/>
    </row>
    <row r="162" customFormat="false" ht="12.75" hidden="false" customHeight="false" outlineLevel="0" collapsed="false">
      <c r="B162" s="117" t="s">
        <v>56</v>
      </c>
      <c r="C162" s="118" t="n">
        <f aca="false">IF(LEFT(Type_masquage,1)="M",0,-X_can+m_can)</f>
        <v>-450</v>
      </c>
      <c r="D162" s="118" t="n">
        <f aca="false">IF(LEFT(Type_masquage,1)="M",0,D_ail/2)</f>
        <v>50</v>
      </c>
      <c r="E162" s="119" t="n">
        <f aca="false">-D162</f>
        <v>-50</v>
      </c>
      <c r="K162" s="110"/>
    </row>
    <row r="163" customFormat="false" ht="12.75" hidden="false" customHeight="false" outlineLevel="0" collapsed="false">
      <c r="B163" s="112" t="s">
        <v>60</v>
      </c>
      <c r="C163" s="113" t="n">
        <f aca="false">IF(LEFT(Type_masquage,1)="B",-X_int+m_int,0)</f>
        <v>-1905</v>
      </c>
      <c r="D163" s="113" t="n">
        <f aca="false">IF(LEFT(Type_masquage,1)="B",D_int/2,0)</f>
        <v>50</v>
      </c>
      <c r="E163" s="114" t="n">
        <f aca="false">-D163</f>
        <v>-50</v>
      </c>
      <c r="K163" s="110"/>
    </row>
    <row r="164" customFormat="false" ht="12.75" hidden="false" customHeight="false" outlineLevel="0" collapsed="false">
      <c r="B164" s="115" t="s">
        <v>61</v>
      </c>
      <c r="C164" s="110" t="n">
        <f aca="false">IF(LEFT(Type_masquage,1)="B",-X_int+m_int-p_int,0)</f>
        <v>-1933.032</v>
      </c>
      <c r="D164" s="110" t="n">
        <f aca="false">IF(LEFT(Type_masquage,1)="B",D_int/2+E_int,0)</f>
        <v>98</v>
      </c>
      <c r="E164" s="116" t="n">
        <f aca="false">-D164</f>
        <v>-98</v>
      </c>
      <c r="K164" s="110"/>
    </row>
    <row r="165" customFormat="false" ht="12.75" hidden="false" customHeight="false" outlineLevel="0" collapsed="false">
      <c r="B165" s="115" t="s">
        <v>62</v>
      </c>
      <c r="C165" s="110" t="n">
        <f aca="false">IF(LEFT(Type_masquage,1)="B",-X_int+m_int-p_int-n_int,0)</f>
        <v>-2169.272</v>
      </c>
      <c r="D165" s="110" t="n">
        <f aca="false">IF(LEFT(Type_masquage,1)="B",D_int/2+E_int,0)</f>
        <v>98</v>
      </c>
      <c r="E165" s="116" t="n">
        <f aca="false">-D165</f>
        <v>-98</v>
      </c>
      <c r="K165" s="110"/>
    </row>
    <row r="166" customFormat="false" ht="12.75" hidden="false" customHeight="false" outlineLevel="0" collapsed="false">
      <c r="B166" s="115" t="s">
        <v>63</v>
      </c>
      <c r="C166" s="110" t="n">
        <f aca="false">IF(LEFT(Type_masquage,1)="B",-X_int,0)</f>
        <v>-2195</v>
      </c>
      <c r="D166" s="110" t="n">
        <f aca="false">IF(LEFT(Type_masquage,1)="B",D_int/2,0)</f>
        <v>50</v>
      </c>
      <c r="E166" s="116" t="n">
        <f aca="false">-D166</f>
        <v>-50</v>
      </c>
      <c r="K166" s="110"/>
    </row>
    <row r="167" customFormat="false" ht="12.75" hidden="false" customHeight="false" outlineLevel="0" collapsed="false">
      <c r="B167" s="117" t="s">
        <v>60</v>
      </c>
      <c r="C167" s="118" t="n">
        <f aca="false">IF(LEFT(Type_masquage,1)="B",-X_int+m_int,0)</f>
        <v>-1905</v>
      </c>
      <c r="D167" s="118" t="n">
        <f aca="false">IF(LEFT(Type_masquage,1)="B",D_int/2,0)</f>
        <v>50</v>
      </c>
      <c r="E167" s="119" t="n">
        <f aca="false">-D167</f>
        <v>-50</v>
      </c>
      <c r="K167" s="110"/>
    </row>
    <row r="168" customFormat="false" ht="12.75" hidden="false" customHeight="false" outlineLevel="0" collapsed="false">
      <c r="B168" s="17" t="s">
        <v>64</v>
      </c>
      <c r="C168" s="110" t="n">
        <f aca="false">-MAX(Long_tot, X_ail-m_ail+p_ail+n_ail, (E_ail+D_ail/2)*3.2)*1.01</f>
        <v>-2216.95</v>
      </c>
      <c r="D168" s="110" t="n">
        <f aca="false">MAX(E_ail+D_ail/2, Long_tot/3)</f>
        <v>731.666666666667</v>
      </c>
      <c r="E168" s="111"/>
      <c r="K168" s="110"/>
    </row>
    <row r="169" customFormat="false" ht="12.75" hidden="false" customHeight="false" outlineLevel="0" collapsed="false">
      <c r="B169" s="17" t="s">
        <v>64</v>
      </c>
      <c r="C169" s="110" t="n">
        <f aca="false">C168</f>
        <v>-2216.95</v>
      </c>
      <c r="D169" s="110" t="n">
        <f aca="false">-D168</f>
        <v>-731.666666666667</v>
      </c>
      <c r="E169" s="111"/>
      <c r="K169" s="110"/>
    </row>
    <row r="170" customFormat="false" ht="12.75" hidden="false" customHeight="false" outlineLevel="0" collapsed="false">
      <c r="B170" s="112" t="s">
        <v>65</v>
      </c>
      <c r="C170" s="113" t="n">
        <f aca="false">-XpropuRef+Long_propu</f>
        <v>-1716</v>
      </c>
      <c r="D170" s="120" t="n">
        <f aca="false">-Diam_propu/2</f>
        <v>-27</v>
      </c>
      <c r="E170" s="111"/>
      <c r="K170" s="110"/>
    </row>
    <row r="171" customFormat="false" ht="12.75" hidden="false" customHeight="false" outlineLevel="0" collapsed="false">
      <c r="B171" s="115" t="s">
        <v>66</v>
      </c>
      <c r="C171" s="110" t="n">
        <f aca="false">-XpropuRef+Long_propu</f>
        <v>-1716</v>
      </c>
      <c r="D171" s="121" t="n">
        <f aca="false">Diam_propu/2</f>
        <v>27</v>
      </c>
      <c r="E171" s="111"/>
      <c r="K171" s="110"/>
    </row>
    <row r="172" customFormat="false" ht="12.75" hidden="false" customHeight="false" outlineLevel="0" collapsed="false">
      <c r="B172" s="115" t="s">
        <v>67</v>
      </c>
      <c r="C172" s="110" t="n">
        <f aca="false">-XpropuRef</f>
        <v>-2204</v>
      </c>
      <c r="D172" s="121" t="n">
        <f aca="false">Diam_propu/2</f>
        <v>27</v>
      </c>
      <c r="E172" s="111"/>
      <c r="K172" s="110"/>
    </row>
    <row r="173" customFormat="false" ht="12.75" hidden="false" customHeight="false" outlineLevel="0" collapsed="false">
      <c r="B173" s="115" t="s">
        <v>68</v>
      </c>
      <c r="C173" s="110" t="n">
        <f aca="false">-XpropuRef</f>
        <v>-2204</v>
      </c>
      <c r="D173" s="121" t="n">
        <f aca="false">-Diam_propu/2</f>
        <v>-27</v>
      </c>
      <c r="E173" s="111"/>
      <c r="K173" s="110"/>
    </row>
    <row r="174" customFormat="false" ht="12.75" hidden="false" customHeight="false" outlineLevel="0" collapsed="false">
      <c r="B174" s="117" t="s">
        <v>69</v>
      </c>
      <c r="C174" s="118" t="n">
        <f aca="false">-XpropuRef+Long_propu</f>
        <v>-1716</v>
      </c>
      <c r="D174" s="122" t="n">
        <f aca="false">-Diam_propu/2</f>
        <v>-27</v>
      </c>
      <c r="E174" s="111"/>
      <c r="F174" s="112" t="s">
        <v>70</v>
      </c>
      <c r="G174" s="123" t="s">
        <v>71</v>
      </c>
      <c r="H174" s="124" t="s">
        <v>72</v>
      </c>
      <c r="K174" s="110"/>
    </row>
    <row r="175" customFormat="false" ht="12.75" hidden="false" customHeight="false" outlineLevel="0" collapsed="false">
      <c r="B175" s="112" t="s">
        <v>73</v>
      </c>
      <c r="C175" s="113" t="n">
        <v>0</v>
      </c>
      <c r="D175" s="113" t="n">
        <v>0</v>
      </c>
      <c r="E175" s="114" t="n">
        <f aca="false">-D175</f>
        <v>-0</v>
      </c>
      <c r="F175" s="115" t="n">
        <v>0</v>
      </c>
      <c r="G175" s="17" t="n">
        <v>0</v>
      </c>
      <c r="H175" s="125" t="n">
        <v>0</v>
      </c>
      <c r="K175" s="110"/>
    </row>
    <row r="176" customFormat="false" ht="12.75" hidden="false" customHeight="false" outlineLevel="0" collapsed="false">
      <c r="B176" s="115" t="s">
        <v>32</v>
      </c>
      <c r="C176" s="110" t="n">
        <f aca="false">-Long_ogive*0.1</f>
        <v>-4</v>
      </c>
      <c r="D176" s="110" t="n">
        <f aca="false">IF(LEFT(Forme_ogive,5)="Parab",H176,IF(LEFT(Forme_ogive,4)="Ogiv",G176,IF(LEFT(Forme_ogive,3)="Con",F176)))</f>
        <v>9</v>
      </c>
      <c r="E176" s="116" t="n">
        <f aca="false">-D176</f>
        <v>-9</v>
      </c>
      <c r="F176" s="115" t="n">
        <f aca="false">D_og/2*0.1</f>
        <v>4.5</v>
      </c>
      <c r="G176" s="17" t="n">
        <f aca="false">D_og/2*0.2</f>
        <v>9</v>
      </c>
      <c r="H176" s="125" t="n">
        <f aca="false">D_og/2*0.5</f>
        <v>22.5</v>
      </c>
      <c r="K176" s="110"/>
    </row>
    <row r="177" customFormat="false" ht="12.75" hidden="false" customHeight="false" outlineLevel="0" collapsed="false">
      <c r="B177" s="115" t="s">
        <v>32</v>
      </c>
      <c r="C177" s="110" t="n">
        <f aca="false">-Long_ogive/4</f>
        <v>-10</v>
      </c>
      <c r="D177" s="110" t="n">
        <f aca="false">IF(LEFT(Forme_ogive,5)="Parab",H177,IF(LEFT(Forme_ogive,4)="Ogiv",G177,IF(LEFT(Forme_ogive,3)="Con",F177)))</f>
        <v>22.5</v>
      </c>
      <c r="E177" s="116" t="n">
        <f aca="false">-D177</f>
        <v>-22.5</v>
      </c>
      <c r="F177" s="115" t="n">
        <f aca="false">D_og/2*1/4</f>
        <v>11.25</v>
      </c>
      <c r="G177" s="17" t="n">
        <f aca="false">D_og/2/2</f>
        <v>22.5</v>
      </c>
      <c r="H177" s="125" t="n">
        <f aca="false">D_og/2*0.7</f>
        <v>31.5</v>
      </c>
      <c r="K177" s="110"/>
    </row>
    <row r="178" customFormat="false" ht="12.75" hidden="false" customHeight="false" outlineLevel="0" collapsed="false">
      <c r="B178" s="115" t="s">
        <v>32</v>
      </c>
      <c r="C178" s="110" t="n">
        <f aca="false">-Long_ogive/2</f>
        <v>-20</v>
      </c>
      <c r="D178" s="110" t="n">
        <f aca="false">IF(LEFT(Forme_ogive,5)="Parab",H178,IF(LEFT(Forme_ogive,4)="Ogiv",G178,IF(LEFT(Forme_ogive,3)="Con",F178)))</f>
        <v>33.75</v>
      </c>
      <c r="E178" s="116" t="n">
        <f aca="false">-D178</f>
        <v>-33.75</v>
      </c>
      <c r="F178" s="115" t="n">
        <f aca="false">D_og/2/2</f>
        <v>22.5</v>
      </c>
      <c r="G178" s="17" t="n">
        <f aca="false">D_og/2*3/4</f>
        <v>33.75</v>
      </c>
      <c r="H178" s="125" t="n">
        <f aca="false">D_og/2*0.88</f>
        <v>39.6</v>
      </c>
      <c r="K178" s="110"/>
    </row>
    <row r="179" customFormat="false" ht="12.75" hidden="false" customHeight="false" outlineLevel="0" collapsed="false">
      <c r="B179" s="115" t="s">
        <v>32</v>
      </c>
      <c r="C179" s="110" t="n">
        <f aca="false">-Long_ogive*3/4</f>
        <v>-30</v>
      </c>
      <c r="D179" s="110" t="n">
        <f aca="false">IF(LEFT(Forme_ogive,5)="Parab",H179,IF(LEFT(Forme_ogive,4)="Ogiv",G179,IF(LEFT(Forme_ogive,3)="Con",F179)))</f>
        <v>40.5</v>
      </c>
      <c r="E179" s="116" t="n">
        <f aca="false">-D179</f>
        <v>-40.5</v>
      </c>
      <c r="F179" s="115" t="n">
        <f aca="false">D_og/2*3/4</f>
        <v>33.75</v>
      </c>
      <c r="G179" s="17" t="n">
        <f aca="false">D_og/2*0.9</f>
        <v>40.5</v>
      </c>
      <c r="H179" s="125" t="n">
        <f aca="false">D_og/2*0.95</f>
        <v>42.75</v>
      </c>
      <c r="K179" s="110"/>
    </row>
    <row r="180" customFormat="false" ht="12.75" hidden="false" customHeight="false" outlineLevel="0" collapsed="false">
      <c r="B180" s="117" t="s">
        <v>32</v>
      </c>
      <c r="C180" s="118" t="n">
        <f aca="false">-Long_ogive</f>
        <v>-40</v>
      </c>
      <c r="D180" s="118" t="n">
        <f aca="false">D_og/2</f>
        <v>45</v>
      </c>
      <c r="E180" s="119" t="n">
        <f aca="false">-D180</f>
        <v>-45</v>
      </c>
      <c r="F180" s="117" t="n">
        <f aca="false">D_og/2</f>
        <v>45</v>
      </c>
      <c r="G180" s="126" t="n">
        <f aca="false">D_og/2</f>
        <v>45</v>
      </c>
      <c r="H180" s="127" t="n">
        <f aca="false">D_og/2</f>
        <v>45</v>
      </c>
      <c r="K180" s="4"/>
    </row>
    <row r="181" customFormat="false" ht="12.75" hidden="false" customHeight="false" outlineLevel="0" collapsed="false">
      <c r="B181" s="17" t="s">
        <v>74</v>
      </c>
      <c r="C181" s="17" t="s">
        <v>75</v>
      </c>
      <c r="D181" s="112" t="s">
        <v>74</v>
      </c>
      <c r="E181" s="128" t="s">
        <v>75</v>
      </c>
      <c r="K181" s="17"/>
    </row>
    <row r="182" customFormat="false" ht="12.75" hidden="false" customHeight="false" outlineLevel="0" collapsed="false">
      <c r="B182" s="112" t="n">
        <v>0</v>
      </c>
      <c r="C182" s="123" t="n">
        <f aca="false">CritCnmin</f>
        <v>15</v>
      </c>
      <c r="D182" s="115" t="n">
        <v>0.5</v>
      </c>
      <c r="E182" s="129" t="n">
        <f aca="false">CritMsCnmin/D182</f>
        <v>80</v>
      </c>
      <c r="K182" s="17"/>
    </row>
    <row r="183" customFormat="false" ht="12.75" hidden="false" customHeight="false" outlineLevel="0" collapsed="false">
      <c r="B183" s="117" t="n">
        <v>7</v>
      </c>
      <c r="C183" s="126" t="n">
        <f aca="false">CritCnmin</f>
        <v>15</v>
      </c>
      <c r="D183" s="115" t="n">
        <v>1</v>
      </c>
      <c r="E183" s="129" t="n">
        <f aca="false">CritMsCnmin/D183</f>
        <v>40</v>
      </c>
      <c r="K183" s="17"/>
    </row>
    <row r="184" customFormat="false" ht="12.75" hidden="false" customHeight="false" outlineLevel="0" collapsed="false">
      <c r="B184" s="112" t="n">
        <v>0</v>
      </c>
      <c r="C184" s="123" t="n">
        <f aca="false">CritCnmax</f>
        <v>40</v>
      </c>
      <c r="D184" s="115" t="n">
        <v>2</v>
      </c>
      <c r="E184" s="129" t="n">
        <f aca="false">CritMsCnmin/D184</f>
        <v>20</v>
      </c>
      <c r="K184" s="17"/>
    </row>
    <row r="185" customFormat="false" ht="12.75" hidden="false" customHeight="false" outlineLevel="0" collapsed="false">
      <c r="B185" s="117" t="n">
        <v>7</v>
      </c>
      <c r="C185" s="126" t="n">
        <f aca="false">CritCnmax</f>
        <v>40</v>
      </c>
      <c r="D185" s="115" t="n">
        <v>3</v>
      </c>
      <c r="E185" s="129" t="n">
        <f aca="false">CritMsCnmin/D185</f>
        <v>13.3333333333333</v>
      </c>
      <c r="K185" s="17"/>
    </row>
    <row r="186" customFormat="false" ht="12.75" hidden="false" customHeight="false" outlineLevel="0" collapsed="false">
      <c r="B186" s="130" t="n">
        <f aca="false">CritMsmin</f>
        <v>2</v>
      </c>
      <c r="C186" s="123" t="n">
        <v>0</v>
      </c>
      <c r="D186" s="115" t="n">
        <v>5</v>
      </c>
      <c r="E186" s="129" t="n">
        <f aca="false">CritMsCnmin/D186</f>
        <v>8</v>
      </c>
      <c r="K186" s="17"/>
    </row>
    <row r="187" customFormat="false" ht="12.75" hidden="false" customHeight="false" outlineLevel="0" collapsed="false">
      <c r="B187" s="131" t="n">
        <f aca="false">CritMsmin</f>
        <v>2</v>
      </c>
      <c r="C187" s="126" t="n">
        <v>55</v>
      </c>
      <c r="D187" s="115" t="n">
        <v>7</v>
      </c>
      <c r="E187" s="129" t="n">
        <f aca="false">CritMsCnmin/D187</f>
        <v>5.71428571428571</v>
      </c>
      <c r="K187" s="17"/>
    </row>
    <row r="188" customFormat="false" ht="12.75" hidden="false" customHeight="false" outlineLevel="0" collapsed="false">
      <c r="B188" s="130" t="n">
        <f aca="false">CritMsmax</f>
        <v>6</v>
      </c>
      <c r="C188" s="123" t="n">
        <v>0</v>
      </c>
      <c r="D188" s="115" t="n">
        <v>1</v>
      </c>
      <c r="E188" s="129" t="n">
        <f aca="false">CritMsCnmax/D188</f>
        <v>100</v>
      </c>
      <c r="K188" s="17"/>
    </row>
    <row r="189" customFormat="false" ht="12.75" hidden="false" customHeight="false" outlineLevel="0" collapsed="false">
      <c r="B189" s="131" t="n">
        <f aca="false">CritMsmax</f>
        <v>6</v>
      </c>
      <c r="C189" s="126" t="n">
        <v>55</v>
      </c>
      <c r="D189" s="115" t="n">
        <v>2</v>
      </c>
      <c r="E189" s="129" t="n">
        <f aca="false">CritMsCnmax/D189</f>
        <v>50</v>
      </c>
      <c r="K189" s="17"/>
    </row>
    <row r="190" customFormat="false" ht="12.75" hidden="false" customHeight="false" outlineLevel="0" collapsed="false">
      <c r="B190" s="132" t="n">
        <f aca="false">MS_min</f>
        <v>2.417033625978</v>
      </c>
      <c r="C190" s="133" t="n">
        <f aca="false">Cn</f>
        <v>18.2839763696561</v>
      </c>
      <c r="D190" s="115" t="n">
        <v>3</v>
      </c>
      <c r="E190" s="129" t="n">
        <f aca="false">CritMsCnmax/D190</f>
        <v>33.3333333333333</v>
      </c>
      <c r="K190" s="17"/>
    </row>
    <row r="191" customFormat="false" ht="12.75" hidden="false" customHeight="false" outlineLevel="0" collapsed="false">
      <c r="B191" s="134" t="n">
        <f aca="false">(XCp0-XcgPlein)/D_ref</f>
        <v>2.7166711063274</v>
      </c>
      <c r="C191" s="135" t="n">
        <f aca="false">Cn0</f>
        <v>19.6643831789955</v>
      </c>
      <c r="D191" s="115" t="n">
        <v>4</v>
      </c>
      <c r="E191" s="129" t="n">
        <f aca="false">CritMsCnmax/D191</f>
        <v>25</v>
      </c>
      <c r="K191" s="17"/>
    </row>
    <row r="192" customFormat="false" ht="12.75" hidden="false" customHeight="false" outlineLevel="0" collapsed="false">
      <c r="B192" s="134" t="n">
        <f aca="false">(XCp0-XcgVide)/D_ref</f>
        <v>3.47974802940432</v>
      </c>
      <c r="C192" s="135" t="n">
        <f aca="false">Cn0</f>
        <v>19.6643831789955</v>
      </c>
      <c r="D192" s="115" t="n">
        <v>6</v>
      </c>
      <c r="E192" s="129" t="n">
        <f aca="false">CritMsCnmax/D192</f>
        <v>16.6666666666667</v>
      </c>
      <c r="K192" s="17"/>
    </row>
    <row r="193" customFormat="false" ht="12.75" hidden="false" customHeight="false" outlineLevel="0" collapsed="false">
      <c r="B193" s="134" t="n">
        <f aca="false">(XCp-XcgVide)/D_ref</f>
        <v>3.18011054905492</v>
      </c>
      <c r="C193" s="135" t="n">
        <f aca="false">Cn</f>
        <v>18.2839763696561</v>
      </c>
      <c r="D193" s="117" t="n">
        <v>7</v>
      </c>
      <c r="E193" s="136" t="n">
        <f aca="false">CritMsCnmax/D193</f>
        <v>14.2857142857143</v>
      </c>
      <c r="K193" s="17"/>
    </row>
    <row r="194" customFormat="false" ht="12.75" hidden="false" customHeight="false" outlineLevel="0" collapsed="false">
      <c r="B194" s="134" t="n">
        <f aca="false">MS_min</f>
        <v>2.417033625978</v>
      </c>
      <c r="C194" s="137" t="n">
        <f aca="false">Cn</f>
        <v>18.2839763696561</v>
      </c>
      <c r="D194" s="17"/>
      <c r="E194" s="109"/>
      <c r="K194" s="17"/>
    </row>
    <row r="195" customFormat="false" ht="12.75" hidden="false" customHeight="false" outlineLevel="0" collapsed="false">
      <c r="B195" s="112" t="n">
        <v>0</v>
      </c>
      <c r="C195" s="123" t="n">
        <f aca="false">(CritCnmin+CritCnmax)/2</f>
        <v>27.5</v>
      </c>
      <c r="D195" s="4"/>
      <c r="E195" s="30"/>
      <c r="K195" s="4"/>
    </row>
    <row r="196" customFormat="false" ht="12.75" hidden="false" customHeight="false" outlineLevel="0" collapsed="false">
      <c r="B196" s="115" t="n">
        <f aca="false">MAX(CritMsmin,CritMsCnmin/C196)</f>
        <v>2</v>
      </c>
      <c r="C196" s="17" t="n">
        <f aca="false">(CritCnmin+CritCnmax)/2</f>
        <v>27.5</v>
      </c>
      <c r="D196" s="4"/>
      <c r="E196" s="30"/>
      <c r="K196" s="4"/>
    </row>
    <row r="197" customFormat="false" ht="12.75" hidden="false" customHeight="false" outlineLevel="0" collapsed="false">
      <c r="B197" s="115" t="n">
        <f aca="false">MIN(CritMsmax,CritMsCnmax/C197)</f>
        <v>3.63636363636364</v>
      </c>
      <c r="C197" s="125" t="n">
        <f aca="false">(CritCnmin+CritCnmax)/2</f>
        <v>27.5</v>
      </c>
    </row>
    <row r="198" customFormat="false" ht="12.75" hidden="false" customHeight="false" outlineLevel="0" collapsed="false">
      <c r="B198" s="117" t="n">
        <v>7</v>
      </c>
      <c r="C198" s="127" t="n">
        <f aca="false">(CritCnmin+CritCnmax)/2</f>
        <v>27.5</v>
      </c>
    </row>
    <row r="199" customFormat="false" ht="12.75" hidden="false" customHeight="false" outlineLevel="0" collapsed="false">
      <c r="B199" s="112" t="n">
        <f aca="false">(CritMsmin+CritMsmax)/2</f>
        <v>4</v>
      </c>
      <c r="C199" s="138" t="n">
        <v>0</v>
      </c>
    </row>
    <row r="200" customFormat="false" ht="12.75" hidden="false" customHeight="false" outlineLevel="0" collapsed="false">
      <c r="B200" s="115" t="n">
        <f aca="false">(CritMsmin+CritMsmax)/2</f>
        <v>4</v>
      </c>
      <c r="C200" s="139" t="n">
        <f aca="false">MAX(CritCnmin,CritMsCnmin/B200)</f>
        <v>15</v>
      </c>
    </row>
    <row r="201" customFormat="false" ht="12.75" hidden="false" customHeight="false" outlineLevel="0" collapsed="false">
      <c r="B201" s="115" t="n">
        <f aca="false">(CritMsmin+CritMsmax)/2</f>
        <v>4</v>
      </c>
      <c r="C201" s="139" t="n">
        <f aca="false">MIN(CritCnmax,CritMsCnmax/B201)</f>
        <v>25</v>
      </c>
    </row>
    <row r="202" customFormat="false" ht="12.75" hidden="false" customHeight="false" outlineLevel="0" collapsed="false">
      <c r="B202" s="117" t="n">
        <f aca="false">(CritMsmin+CritMsmax)/2</f>
        <v>4</v>
      </c>
      <c r="C202" s="140" t="n">
        <v>55</v>
      </c>
    </row>
    <row r="203" customFormat="false" ht="12.75" hidden="false" customHeight="false" outlineLevel="0" collapsed="false">
      <c r="D203" s="141"/>
    </row>
    <row r="204" customFormat="false" ht="12.75" hidden="false" customHeight="false" outlineLevel="0" collapsed="false">
      <c r="B204" s="142" t="s">
        <v>76</v>
      </c>
      <c r="C204" s="143" t="b">
        <f aca="false">(OR(C205:C210))</f>
        <v>1</v>
      </c>
      <c r="D204" s="141"/>
    </row>
    <row r="205" customFormat="false" ht="12.75" hidden="false" customHeight="false" outlineLevel="0" collapsed="false">
      <c r="B205" s="62" t="s">
        <v>77</v>
      </c>
      <c r="C205" s="144" t="b">
        <f aca="false">AND(Type_propu="H2O",RIGHT(Type_fusee,1)=" ")</f>
        <v>0</v>
      </c>
      <c r="D205" s="141"/>
    </row>
    <row r="206" customFormat="false" ht="12.75" hidden="false" customHeight="false" outlineLevel="0" collapsed="false">
      <c r="B206" s="62" t="s">
        <v>78</v>
      </c>
      <c r="C206" s="144" t="b">
        <f aca="false">AND(Type_propu="Fusex",RIGHT(Type_fusee,1)=".")</f>
        <v>1</v>
      </c>
      <c r="D206" s="141"/>
    </row>
    <row r="207" customFormat="false" ht="12.75" hidden="false" customHeight="false" outlineLevel="0" collapsed="false">
      <c r="B207" s="62" t="s">
        <v>79</v>
      </c>
      <c r="C207" s="144" t="b">
        <f aca="false">LEFT(Type_propu,5)=LEFT(Type_fusee,5)</f>
        <v>0</v>
      </c>
      <c r="D207" s="141"/>
    </row>
    <row r="208" customFormat="false" ht="12.75" hidden="false" customHeight="false" outlineLevel="0" collapsed="false">
      <c r="B208" s="62" t="s">
        <v>80</v>
      </c>
      <c r="C208" s="144" t="b">
        <f aca="false">AND(RIGHT(Type_propu,1)="N",LEFT(Type_fusee,4)="Mini")</f>
        <v>0</v>
      </c>
      <c r="D208" s="141"/>
    </row>
    <row r="209" customFormat="false" ht="12.75" hidden="false" customHeight="false" outlineLevel="0" collapsed="false">
      <c r="B209" s="62" t="s">
        <v>81</v>
      </c>
      <c r="C209" s="144" t="b">
        <f aca="false">AND(LEFT(Type_propu,5)="MiniR",LEFT(Type_fusee,1)="R")</f>
        <v>0</v>
      </c>
    </row>
    <row r="210" customFormat="false" ht="12.75" hidden="false" customHeight="false" outlineLevel="0" collapsed="false">
      <c r="B210" s="62" t="s">
        <v>82</v>
      </c>
      <c r="C210" s="144" t="b">
        <f aca="false">AND(LEFT(Type_propu,4)="Mini",LEFT(Type_fusee,1)=",")</f>
        <v>0</v>
      </c>
    </row>
    <row r="223" customFormat="false" ht="12.75" hidden="false" customHeight="false" outlineLevel="0" collapsed="false">
      <c r="A223" s="1" t="s">
        <v>83</v>
      </c>
    </row>
    <row r="226" customFormat="false" ht="12.75" hidden="false" customHeight="false" outlineLevel="0" collapsed="false">
      <c r="A226" s="1" t="s">
        <v>84</v>
      </c>
    </row>
    <row r="228" customFormat="false" ht="12.75" hidden="false" customHeight="false" outlineLevel="0" collapsed="false">
      <c r="A228" s="1" t="s">
        <v>85</v>
      </c>
    </row>
    <row r="230" customFormat="false" ht="12.75" hidden="false" customHeight="false" outlineLevel="0" collapsed="false">
      <c r="A230" s="1" t="s">
        <v>86</v>
      </c>
    </row>
    <row r="232" customFormat="false" ht="12.75" hidden="false" customHeight="false" outlineLevel="0" collapsed="false">
      <c r="A232" s="1" t="s">
        <v>87</v>
      </c>
    </row>
    <row r="233" customFormat="false" ht="12.75" hidden="false" customHeight="false" outlineLevel="0" collapsed="false">
      <c r="A233" s="1" t="s">
        <v>88</v>
      </c>
    </row>
    <row r="234" customFormat="false" ht="12.75" hidden="false" customHeight="false" outlineLevel="0" collapsed="false">
      <c r="A234" s="1" t="s">
        <v>89</v>
      </c>
    </row>
    <row r="235" customFormat="false" ht="12.75" hidden="false" customHeight="false" outlineLevel="0" collapsed="false">
      <c r="A235" s="1" t="s">
        <v>90</v>
      </c>
    </row>
    <row r="236" customFormat="false" ht="12.75" hidden="false" customHeight="false" outlineLevel="0" collapsed="false">
      <c r="A236" s="1" t="s">
        <v>91</v>
      </c>
    </row>
    <row r="237" customFormat="false" ht="12.75" hidden="false" customHeight="false" outlineLevel="0" collapsed="false">
      <c r="A237" s="1" t="s">
        <v>92</v>
      </c>
    </row>
    <row r="238" customFormat="false" ht="12.75" hidden="false" customHeight="false" outlineLevel="0" collapsed="false">
      <c r="A238" s="1" t="s">
        <v>93</v>
      </c>
    </row>
    <row r="239" customFormat="false" ht="12.75" hidden="false" customHeight="false" outlineLevel="0" collapsed="false">
      <c r="A239" s="1" t="s">
        <v>94</v>
      </c>
    </row>
    <row r="240" customFormat="false" ht="12.75" hidden="false" customHeight="false" outlineLevel="0" collapsed="false">
      <c r="A240" s="1" t="s">
        <v>95</v>
      </c>
    </row>
    <row r="241" customFormat="false" ht="12.75" hidden="false" customHeight="false" outlineLevel="0" collapsed="false">
      <c r="A241" s="1" t="s">
        <v>93</v>
      </c>
    </row>
    <row r="242" customFormat="false" ht="12.75" hidden="false" customHeight="false" outlineLevel="0" collapsed="false">
      <c r="A242" s="1" t="s">
        <v>96</v>
      </c>
    </row>
    <row r="244" customFormat="false" ht="12.75" hidden="false" customHeight="false" outlineLevel="0" collapsed="false">
      <c r="A244" s="1" t="s">
        <v>97</v>
      </c>
    </row>
    <row r="246" customFormat="false" ht="12.75" hidden="false" customHeight="false" outlineLevel="0" collapsed="false">
      <c r="A246" s="1" t="s">
        <v>98</v>
      </c>
    </row>
    <row r="248" customFormat="false" ht="12.75" hidden="false" customHeight="false" outlineLevel="0" collapsed="false">
      <c r="A248" s="1" t="s">
        <v>99</v>
      </c>
    </row>
    <row r="249" customFormat="false" ht="12.75" hidden="false" customHeight="false" outlineLevel="0" collapsed="false">
      <c r="A249" s="1" t="s">
        <v>100</v>
      </c>
    </row>
    <row r="250" customFormat="false" ht="12.75" hidden="false" customHeight="false" outlineLevel="0" collapsed="false">
      <c r="A250" s="1" t="s">
        <v>101</v>
      </c>
    </row>
    <row r="251" customFormat="false" ht="12.75" hidden="false" customHeight="false" outlineLevel="0" collapsed="false">
      <c r="A251" s="1" t="s">
        <v>102</v>
      </c>
    </row>
    <row r="252" customFormat="false" ht="12.75" hidden="false" customHeight="false" outlineLevel="0" collapsed="false">
      <c r="A252" s="1" t="s">
        <v>103</v>
      </c>
    </row>
    <row r="254" customFormat="false" ht="12.75" hidden="false" customHeight="false" outlineLevel="0" collapsed="false">
      <c r="A254" s="1" t="s">
        <v>104</v>
      </c>
    </row>
    <row r="255" customFormat="false" ht="12.75" hidden="false" customHeight="false" outlineLevel="0" collapsed="false">
      <c r="A255" s="1" t="s">
        <v>105</v>
      </c>
    </row>
    <row r="256" customFormat="false" ht="12.75" hidden="false" customHeight="false" outlineLevel="0" collapsed="false">
      <c r="A256" s="1" t="s">
        <v>106</v>
      </c>
    </row>
    <row r="257" customFormat="false" ht="12.75" hidden="false" customHeight="false" outlineLevel="0" collapsed="false">
      <c r="A257" s="1" t="s">
        <v>107</v>
      </c>
    </row>
    <row r="258" customFormat="false" ht="12.75" hidden="false" customHeight="false" outlineLevel="0" collapsed="false">
      <c r="A258" s="1" t="s">
        <v>108</v>
      </c>
    </row>
    <row r="261" customFormat="false" ht="12.75" hidden="false" customHeight="false" outlineLevel="0" collapsed="false">
      <c r="A261" s="1" t="s">
        <v>109</v>
      </c>
    </row>
    <row r="262" customFormat="false" ht="12.75" hidden="false" customHeight="false" outlineLevel="0" collapsed="false">
      <c r="A262" s="1" t="s">
        <v>110</v>
      </c>
    </row>
    <row r="263" customFormat="false" ht="12.75" hidden="false" customHeight="false" outlineLevel="0" collapsed="false">
      <c r="A263" s="1" t="s">
        <v>111</v>
      </c>
    </row>
    <row r="264" customFormat="false" ht="12.75" hidden="false" customHeight="false" outlineLevel="0" collapsed="false">
      <c r="A264" s="1" t="s">
        <v>112</v>
      </c>
    </row>
    <row r="265" customFormat="false" ht="12.75" hidden="false" customHeight="false" outlineLevel="0" collapsed="false">
      <c r="A265" s="1" t="s">
        <v>113</v>
      </c>
    </row>
    <row r="267" customFormat="false" ht="12.75" hidden="false" customHeight="false" outlineLevel="0" collapsed="false">
      <c r="A267" s="1" t="s">
        <v>106</v>
      </c>
    </row>
    <row r="268" customFormat="false" ht="12.75" hidden="false" customHeight="false" outlineLevel="0" collapsed="false">
      <c r="A268" s="1" t="s">
        <v>107</v>
      </c>
    </row>
    <row r="269" customFormat="false" ht="12.75" hidden="false" customHeight="false" outlineLevel="0" collapsed="false">
      <c r="A269" s="1" t="s">
        <v>114</v>
      </c>
    </row>
    <row r="272" customFormat="false" ht="12.75" hidden="false" customHeight="false" outlineLevel="0" collapsed="false">
      <c r="A272" s="1" t="s">
        <v>115</v>
      </c>
    </row>
    <row r="273" customFormat="false" ht="12.75" hidden="false" customHeight="false" outlineLevel="0" collapsed="false">
      <c r="A273" s="1" t="s">
        <v>116</v>
      </c>
    </row>
    <row r="275" customFormat="false" ht="12.75" hidden="false" customHeight="false" outlineLevel="0" collapsed="false">
      <c r="A275" s="1" t="s">
        <v>117</v>
      </c>
    </row>
    <row r="277" customFormat="false" ht="12.75" hidden="false" customHeight="false" outlineLevel="0" collapsed="false">
      <c r="A277" s="1" t="s">
        <v>114</v>
      </c>
    </row>
    <row r="280" customFormat="false" ht="12.75" hidden="false" customHeight="false" outlineLevel="0" collapsed="false">
      <c r="A280" s="1" t="s">
        <v>118</v>
      </c>
    </row>
    <row r="281" customFormat="false" ht="12.75" hidden="false" customHeight="false" outlineLevel="0" collapsed="false">
      <c r="A281" s="1" t="s">
        <v>119</v>
      </c>
    </row>
    <row r="282" customFormat="false" ht="12.75" hidden="false" customHeight="false" outlineLevel="0" collapsed="false">
      <c r="A282" s="1" t="s">
        <v>120</v>
      </c>
    </row>
    <row r="283" customFormat="false" ht="12.75" hidden="false" customHeight="false" outlineLevel="0" collapsed="false">
      <c r="A283" s="1" t="s">
        <v>121</v>
      </c>
    </row>
    <row r="284" customFormat="false" ht="12.75" hidden="false" customHeight="false" outlineLevel="0" collapsed="false">
      <c r="A284" s="1" t="s">
        <v>114</v>
      </c>
    </row>
    <row r="285" customFormat="false" ht="12.75" hidden="false" customHeight="false" outlineLevel="0" collapsed="false">
      <c r="A285" s="1" t="s">
        <v>122</v>
      </c>
    </row>
    <row r="287" customFormat="false" ht="12.75" hidden="false" customHeight="false" outlineLevel="0" collapsed="false">
      <c r="A287" s="1" t="s">
        <v>123</v>
      </c>
    </row>
    <row r="288" customFormat="false" ht="12.75" hidden="false" customHeight="false" outlineLevel="0" collapsed="false">
      <c r="A288" s="1" t="s">
        <v>120</v>
      </c>
    </row>
    <row r="289" customFormat="false" ht="12.75" hidden="false" customHeight="false" outlineLevel="0" collapsed="false">
      <c r="A289" s="1" t="s">
        <v>124</v>
      </c>
    </row>
    <row r="291" customFormat="false" ht="12.75" hidden="false" customHeight="false" outlineLevel="0" collapsed="false">
      <c r="A291" s="1" t="s">
        <v>114</v>
      </c>
    </row>
    <row r="294" customFormat="false" ht="12.75" hidden="false" customHeight="false" outlineLevel="0" collapsed="false">
      <c r="A294" s="1" t="s">
        <v>125</v>
      </c>
    </row>
    <row r="295" customFormat="false" ht="12.75" hidden="false" customHeight="false" outlineLevel="0" collapsed="false">
      <c r="A295" s="1" t="s">
        <v>126</v>
      </c>
    </row>
    <row r="296" customFormat="false" ht="12.75" hidden="false" customHeight="false" outlineLevel="0" collapsed="false">
      <c r="A296" s="1" t="s">
        <v>127</v>
      </c>
    </row>
    <row r="298" customFormat="false" ht="12.75" hidden="false" customHeight="false" outlineLevel="0" collapsed="false">
      <c r="A298" s="1" t="s">
        <v>114</v>
      </c>
    </row>
    <row r="301" customFormat="false" ht="12.75" hidden="false" customHeight="false" outlineLevel="0" collapsed="false">
      <c r="A301" s="1" t="s">
        <v>128</v>
      </c>
    </row>
    <row r="302" customFormat="false" ht="12.75" hidden="false" customHeight="false" outlineLevel="0" collapsed="false">
      <c r="A302" s="1" t="s">
        <v>129</v>
      </c>
    </row>
    <row r="304" customFormat="false" ht="12.75" hidden="false" customHeight="false" outlineLevel="0" collapsed="false">
      <c r="A304" s="1" t="s">
        <v>130</v>
      </c>
    </row>
    <row r="305" customFormat="false" ht="12.75" hidden="false" customHeight="false" outlineLevel="0" collapsed="false">
      <c r="A305" s="1" t="s">
        <v>131</v>
      </c>
    </row>
    <row r="306" customFormat="false" ht="12.75" hidden="false" customHeight="false" outlineLevel="0" collapsed="false">
      <c r="A306" s="1" t="s">
        <v>114</v>
      </c>
    </row>
    <row r="309" customFormat="false" ht="12.75" hidden="false" customHeight="false" outlineLevel="0" collapsed="false">
      <c r="A309" s="1" t="s">
        <v>128</v>
      </c>
    </row>
    <row r="310" customFormat="false" ht="12.75" hidden="false" customHeight="false" outlineLevel="0" collapsed="false">
      <c r="A310" s="1" t="s">
        <v>132</v>
      </c>
    </row>
    <row r="311" customFormat="false" ht="12.75" hidden="false" customHeight="false" outlineLevel="0" collapsed="false">
      <c r="A311" s="1" t="s">
        <v>128</v>
      </c>
    </row>
    <row r="312" customFormat="false" ht="12.75" hidden="false" customHeight="false" outlineLevel="0" collapsed="false">
      <c r="A312" s="1" t="s">
        <v>133</v>
      </c>
    </row>
    <row r="314" customFormat="false" ht="12.75" hidden="false" customHeight="false" outlineLevel="0" collapsed="false">
      <c r="A314" s="1" t="s">
        <v>134</v>
      </c>
    </row>
    <row r="316" customFormat="false" ht="12.75" hidden="false" customHeight="false" outlineLevel="0" collapsed="false">
      <c r="A316" s="1" t="s">
        <v>114</v>
      </c>
    </row>
    <row r="319" customFormat="false" ht="12.75" hidden="false" customHeight="false" outlineLevel="0" collapsed="false">
      <c r="A319" s="1" t="s">
        <v>128</v>
      </c>
    </row>
    <row r="320" customFormat="false" ht="12.75" hidden="false" customHeight="false" outlineLevel="0" collapsed="false">
      <c r="A320" s="1" t="s">
        <v>135</v>
      </c>
    </row>
    <row r="321" customFormat="false" ht="12.75" hidden="false" customHeight="false" outlineLevel="0" collapsed="false">
      <c r="A321" s="1" t="s">
        <v>136</v>
      </c>
    </row>
    <row r="322" customFormat="false" ht="12.75" hidden="false" customHeight="false" outlineLevel="0" collapsed="false">
      <c r="A322" s="1" t="s">
        <v>137</v>
      </c>
    </row>
    <row r="324" customFormat="false" ht="12.75" hidden="false" customHeight="false" outlineLevel="0" collapsed="false">
      <c r="A324" s="1" t="s">
        <v>114</v>
      </c>
    </row>
    <row r="326" customFormat="false" ht="12.75" hidden="false" customHeight="false" outlineLevel="0" collapsed="false">
      <c r="A326" s="1" t="s">
        <v>138</v>
      </c>
    </row>
    <row r="329" customFormat="false" ht="12.75" hidden="false" customHeight="false" outlineLevel="0" collapsed="false">
      <c r="A329" s="1" t="s">
        <v>139</v>
      </c>
    </row>
    <row r="330" customFormat="false" ht="12.75" hidden="false" customHeight="false" outlineLevel="0" collapsed="false">
      <c r="A330" s="1" t="s">
        <v>140</v>
      </c>
    </row>
    <row r="331" customFormat="false" ht="12.75" hidden="false" customHeight="false" outlineLevel="0" collapsed="false">
      <c r="A331" s="1" t="s">
        <v>141</v>
      </c>
    </row>
    <row r="332" customFormat="false" ht="12.75" hidden="false" customHeight="false" outlineLevel="0" collapsed="false">
      <c r="A332" s="1" t="s">
        <v>142</v>
      </c>
    </row>
    <row r="333" customFormat="false" ht="12.75" hidden="false" customHeight="false" outlineLevel="0" collapsed="false">
      <c r="A333" s="1" t="s">
        <v>143</v>
      </c>
    </row>
    <row r="334" customFormat="false" ht="12.75" hidden="false" customHeight="false" outlineLevel="0" collapsed="false">
      <c r="A334" s="1" t="s">
        <v>144</v>
      </c>
    </row>
    <row r="335" customFormat="false" ht="12.75" hidden="false" customHeight="false" outlineLevel="0" collapsed="false">
      <c r="A335" s="1" t="s">
        <v>145</v>
      </c>
    </row>
    <row r="336" customFormat="false" ht="12.75" hidden="false" customHeight="false" outlineLevel="0" collapsed="false">
      <c r="A336" s="1" t="s">
        <v>89</v>
      </c>
    </row>
    <row r="337" customFormat="false" ht="12.75" hidden="false" customHeight="false" outlineLevel="0" collapsed="false">
      <c r="A337" s="1" t="s">
        <v>146</v>
      </c>
    </row>
    <row r="340" customFormat="false" ht="12.75" hidden="false" customHeight="false" outlineLevel="0" collapsed="false">
      <c r="A340" s="1" t="s">
        <v>147</v>
      </c>
    </row>
    <row r="342" customFormat="false" ht="12.75" hidden="false" customHeight="false" outlineLevel="0" collapsed="false">
      <c r="A342" s="1" t="s">
        <v>148</v>
      </c>
    </row>
    <row r="343" customFormat="false" ht="12.75" hidden="false" customHeight="false" outlineLevel="0" collapsed="false">
      <c r="A343" s="1" t="s">
        <v>149</v>
      </c>
    </row>
    <row r="344" customFormat="false" ht="12.75" hidden="false" customHeight="false" outlineLevel="0" collapsed="false">
      <c r="A344" s="1" t="s">
        <v>150</v>
      </c>
    </row>
    <row r="345" customFormat="false" ht="12.75" hidden="false" customHeight="false" outlineLevel="0" collapsed="false">
      <c r="A345" s="1" t="s">
        <v>151</v>
      </c>
    </row>
    <row r="346" customFormat="false" ht="12.75" hidden="false" customHeight="false" outlineLevel="0" collapsed="false">
      <c r="A346" s="1" t="s">
        <v>152</v>
      </c>
    </row>
    <row r="347" customFormat="false" ht="12.75" hidden="false" customHeight="false" outlineLevel="0" collapsed="false">
      <c r="A347" s="1" t="s">
        <v>89</v>
      </c>
    </row>
    <row r="348" customFormat="false" ht="12.75" hidden="false" customHeight="false" outlineLevel="0" collapsed="false">
      <c r="A348" s="1" t="s">
        <v>153</v>
      </c>
    </row>
    <row r="349" customFormat="false" ht="12.75" hidden="false" customHeight="false" outlineLevel="0" collapsed="false">
      <c r="A349" s="1" t="s">
        <v>154</v>
      </c>
    </row>
    <row r="350" customFormat="false" ht="12.75" hidden="false" customHeight="false" outlineLevel="0" collapsed="false">
      <c r="A350" s="1" t="s">
        <v>155</v>
      </c>
    </row>
    <row r="352" customFormat="false" ht="12.75" hidden="false" customHeight="false" outlineLevel="0" collapsed="false">
      <c r="A352" s="1" t="s">
        <v>114</v>
      </c>
    </row>
    <row r="355" customFormat="false" ht="12.75" hidden="false" customHeight="false" outlineLevel="0" collapsed="false">
      <c r="A355" s="1" t="s">
        <v>138</v>
      </c>
    </row>
    <row r="361" customFormat="false" ht="12.75" hidden="false" customHeight="false" outlineLevel="0" collapsed="false">
      <c r="A361" s="1" t="s">
        <v>156</v>
      </c>
    </row>
  </sheetData>
  <sheetProtection algorithmName="SHA-512" hashValue="4b1Z/FHL0KSkCyEUqPmhQsq3xm4L9tPEr/jeuTy2dxrTaPNoB3PJQbsy/YrqeTczOBSxgTL3Y4+v+1301vHSsg==" saltValue="l9Y35QAu1SwxxDFJCTCICw==" spinCount="100000" sheet="true"/>
  <mergeCells count="56">
    <mergeCell ref="C2:D3"/>
    <mergeCell ref="M2:P2"/>
    <mergeCell ref="L3:M3"/>
    <mergeCell ref="C4:D4"/>
    <mergeCell ref="M4:P4"/>
    <mergeCell ref="C5:D5"/>
    <mergeCell ref="M5:N5"/>
    <mergeCell ref="O5:P5"/>
    <mergeCell ref="C6:D6"/>
    <mergeCell ref="M6:N6"/>
    <mergeCell ref="O6:P6"/>
    <mergeCell ref="C7:D7"/>
    <mergeCell ref="M7:N7"/>
    <mergeCell ref="O7:P7"/>
    <mergeCell ref="C8:D8"/>
    <mergeCell ref="M8:N8"/>
    <mergeCell ref="O8:P8"/>
    <mergeCell ref="C9:D9"/>
    <mergeCell ref="M9:N9"/>
    <mergeCell ref="O9:P9"/>
    <mergeCell ref="C10:D10"/>
    <mergeCell ref="N11:O11"/>
    <mergeCell ref="N12:O12"/>
    <mergeCell ref="C13:D13"/>
    <mergeCell ref="N13:O13"/>
    <mergeCell ref="C14:D14"/>
    <mergeCell ref="N14:O14"/>
    <mergeCell ref="N15:O15"/>
    <mergeCell ref="C16:D16"/>
    <mergeCell ref="C17:D17"/>
    <mergeCell ref="M17:N17"/>
    <mergeCell ref="O17:P17"/>
    <mergeCell ref="C18:D18"/>
    <mergeCell ref="M18:N18"/>
    <mergeCell ref="O18:P18"/>
    <mergeCell ref="C19:D19"/>
    <mergeCell ref="M19:N19"/>
    <mergeCell ref="O19:P19"/>
    <mergeCell ref="C20:D20"/>
    <mergeCell ref="M20:N20"/>
    <mergeCell ref="O20:P20"/>
    <mergeCell ref="C21:D21"/>
    <mergeCell ref="M21:N21"/>
    <mergeCell ref="O21:P21"/>
    <mergeCell ref="C22:D22"/>
    <mergeCell ref="M22:N22"/>
    <mergeCell ref="O22:P22"/>
    <mergeCell ref="C23:D23"/>
    <mergeCell ref="M23:N23"/>
    <mergeCell ref="O23:P23"/>
    <mergeCell ref="M24:N24"/>
    <mergeCell ref="O24:P24"/>
    <mergeCell ref="C26:D26"/>
    <mergeCell ref="H26:I26"/>
    <mergeCell ref="H27:I27"/>
    <mergeCell ref="H33:I34"/>
  </mergeCells>
  <conditionalFormatting sqref="I28">
    <cfRule type="expression" priority="2" aboveAverage="0" equalAverage="0" bottom="0" percent="0" rank="0" text="" dxfId="0">
      <formula>OR(Cn0&lt;CritCnmin,Cn0&gt;CritCnmax)</formula>
    </cfRule>
  </conditionalFormatting>
  <conditionalFormatting sqref="D17">
    <cfRule type="expression" priority="3" aboveAverage="0" equalAverage="0" bottom="0" percent="0" rank="0" text="" dxfId="1">
      <formula>D202</formula>
    </cfRule>
  </conditionalFormatting>
  <conditionalFormatting sqref="C27 C29">
    <cfRule type="cellIs" priority="4" operator="equal" aboveAverage="0" equalAverage="0" bottom="0" percent="0" rank="0" text="" dxfId="2">
      <formula>109</formula>
    </cfRule>
  </conditionalFormatting>
  <conditionalFormatting sqref="C28">
    <cfRule type="cellIs" priority="5" operator="equal" aboveAverage="0" equalAverage="0" bottom="0" percent="0" rank="0" text="" dxfId="3">
      <formula>59</formula>
    </cfRule>
  </conditionalFormatting>
  <conditionalFormatting sqref="C30">
    <cfRule type="cellIs" priority="6" operator="equal" aboveAverage="0" equalAverage="0" bottom="0" percent="0" rank="0" text="" dxfId="4">
      <formula>99</formula>
    </cfRule>
  </conditionalFormatting>
  <conditionalFormatting sqref="C14 C23:D23 C34">
    <cfRule type="cellIs" priority="7" operator="equal" aboveAverage="0" equalAverage="0" bottom="0" percent="0" rank="0" text="" dxfId="5">
      <formula>59</formula>
    </cfRule>
  </conditionalFormatting>
  <conditionalFormatting sqref="C22:D22">
    <cfRule type="cellIs" priority="8" operator="equal" aboveAverage="0" equalAverage="0" bottom="0" percent="0" rank="0" text="" dxfId="6">
      <formula>199</formula>
    </cfRule>
  </conditionalFormatting>
  <conditionalFormatting sqref="C13:D13 C18 C33">
    <cfRule type="cellIs" priority="9" operator="equal" aboveAverage="0" equalAverage="0" bottom="0" percent="0" rank="0" text="" dxfId="7">
      <formula>1001</formula>
    </cfRule>
  </conditionalFormatting>
  <conditionalFormatting sqref="C12">
    <cfRule type="cellIs" priority="10" operator="equal" aboveAverage="0" equalAverage="0" bottom="0" percent="0" rank="0" text="" dxfId="8">
      <formula>639</formula>
    </cfRule>
  </conditionalFormatting>
  <conditionalFormatting sqref="C11">
    <cfRule type="cellIs" priority="11" operator="equal" aboveAverage="0" equalAverage="0" bottom="0" percent="0" rank="0" text="" dxfId="9">
      <formula>359</formula>
    </cfRule>
    <cfRule type="expression" priority="12" aboveAverage="0" equalAverage="0" bottom="0" percent="0" rank="0" text="" dxfId="10">
      <formula>OR(MasseSans&lt;MpropuVide, MasseSans&gt;20*MpropuPlein)</formula>
    </cfRule>
  </conditionalFormatting>
  <conditionalFormatting sqref="N36">
    <cfRule type="expression" priority="13" aboveAverage="0" equalAverage="0" bottom="0" percent="0" rank="0" text="" dxfId="11">
      <formula>ROUND(SUM(C2:P25)+SUM(C27:P35),0)=8637</formula>
    </cfRule>
  </conditionalFormatting>
  <conditionalFormatting sqref="B14:D14 B34:C34">
    <cfRule type="expression" priority="14" aboveAverage="0" equalAverage="0" bottom="0" percent="0" rank="0" text="" dxfId="12">
      <formula>AND(IF(RIGHT(Nb_diam,1)=",",1),IF(LEFT(Type_masquage,1)="M",1))</formula>
    </cfRule>
  </conditionalFormatting>
  <conditionalFormatting sqref="M5:P5">
    <cfRule type="expression" priority="15" aboveAverage="0" equalAverage="0" bottom="0" percent="0" rank="0" text="" dxfId="13">
      <formula>IF(RIGHT(Nb_diam,1)=",",1)</formula>
    </cfRule>
  </conditionalFormatting>
  <conditionalFormatting sqref="I30">
    <cfRule type="expression" priority="16" aboveAverage="0" equalAverage="0" bottom="0" percent="0" rank="0" text="" dxfId="14">
      <formula>OR(MS_Cn_max&lt;CritMsCnmin,MS_Cn_max&gt;CritMsCnmax)</formula>
    </cfRule>
  </conditionalFormatting>
  <conditionalFormatting sqref="H30">
    <cfRule type="expression" priority="17" aboveAverage="0" equalAverage="0" bottom="0" percent="0" rank="0" text="" dxfId="15">
      <formula>OR(MS_Cn_min&lt;CritMsCnmin,MS_Cn_min&gt;CritMsCnmax)</formula>
    </cfRule>
  </conditionalFormatting>
  <conditionalFormatting sqref="I29">
    <cfRule type="expression" priority="18" aboveAverage="0" equalAverage="0" bottom="0" percent="0" rank="0" text="" dxfId="16">
      <formula>OR(MS_max&lt;CritMsmin,MS_max&gt;CritMsmax)</formula>
    </cfRule>
  </conditionalFormatting>
  <conditionalFormatting sqref="H29">
    <cfRule type="expression" priority="19" aboveAverage="0" equalAverage="0" bottom="0" percent="0" rank="0" text="" dxfId="17">
      <formula>OR(MS_min&lt;CritMsmin,MS_min&gt;CritMsmax)</formula>
    </cfRule>
  </conditionalFormatting>
  <conditionalFormatting sqref="H28">
    <cfRule type="expression" priority="20" aboveAverage="0" equalAverage="0" bottom="0" percent="0" rank="0" text="" dxfId="18">
      <formula>OR(Cn&lt;CritCnmin,Cn&gt;CritCnmax)</formula>
    </cfRule>
  </conditionalFormatting>
  <conditionalFormatting sqref="H27:I27">
    <cfRule type="expression" priority="21" aboveAverage="0" equalAverage="0" bottom="0" percent="0" rank="0" text="" dxfId="19">
      <formula>OR(Finesse&lt;CritFinessemin,Finesse&gt;CritFinessemax)</formula>
    </cfRule>
  </conditionalFormatting>
  <conditionalFormatting sqref="L6:P9">
    <cfRule type="expression" priority="22" aboveAverage="0" equalAverage="0" bottom="0" percent="0" rank="0" text="" dxfId="20">
      <formula>IF(RIGHT(Nb_diam,1)=",",1)</formula>
    </cfRule>
  </conditionalFormatting>
  <conditionalFormatting sqref="H33:I34">
    <cfRule type="expression" priority="23" aboveAverage="0" equalAverage="0" bottom="0" percent="0" rank="0" text="" dxfId="21">
      <formula>$H$33="STABLE"</formula>
    </cfRule>
  </conditionalFormatting>
  <conditionalFormatting sqref="L23:P24">
    <cfRule type="expression" priority="24" aboveAverage="0" equalAverage="0" bottom="0" percent="0" rank="0" text="" dxfId="22">
      <formula>IF(RIGHT(Nb_diam,1)=",",1)</formula>
    </cfRule>
  </conditionalFormatting>
  <conditionalFormatting sqref="L20:P22 D25:E25 D27:E34 B35:E35">
    <cfRule type="expression" priority="25" aboveAverage="0" equalAverage="0" bottom="0" percent="0" rank="0" text="" dxfId="23">
      <formula>IF(LEFT(Type_masquage,1)="M",1)</formula>
    </cfRule>
  </conditionalFormatting>
  <conditionalFormatting sqref="M36 O36">
    <cfRule type="expression" priority="26" aboveAverage="0" equalAverage="0" bottom="0" percent="0" rank="0" text="" dxfId="24">
      <formula>$M$36="propu NOK"</formula>
    </cfRule>
  </conditionalFormatting>
  <conditionalFormatting sqref="C17">
    <cfRule type="expression" priority="27" aboveAverage="0" equalAverage="0" bottom="0" percent="0" rank="0" text="" dxfId="25">
      <formula>C204</formula>
    </cfRule>
  </conditionalFormatting>
  <conditionalFormatting sqref="L38:M38">
    <cfRule type="expression" priority="28" aboveAverage="0" equalAverage="0" bottom="0" percent="0" rank="0" text="" dxfId="26">
      <formula>OR(SUM($C$27:$C$32)=273, $H$33&lt;&gt;"STABLE")</formula>
    </cfRule>
  </conditionalFormatting>
  <dataValidations count="13">
    <dataValidation allowBlank="true" error="Tapez un entier entre 3 et 6." errorStyle="stop" operator="between" showDropDown="false" showErrorMessage="true" showInputMessage="true" sqref="C32:D32" type="whole">
      <formula1>3</formula1>
      <formula2>6</formula2>
    </dataValidation>
    <dataValidation allowBlank="true" error="Tapez uniquement la longueur, sans l'unité." errorStyle="stop" operator="notEqual" showDropDown="false" showErrorMessage="true" showInputMessage="true" sqref="C29:D29" type="decimal">
      <formula1>1E+100</formula1>
      <formula2>0</formula2>
    </dataValidation>
    <dataValidation allowBlank="true" error="Tapez uniquement la longueur, sans l'unité." errorStyle="stop" operator="greaterThanOrEqual" showDropDown="false" showErrorMessage="true" showInputMessage="true" sqref="M6:O9 C27:D28 C30:D31 C33:D34" type="decimal">
      <formula1>0</formula1>
      <formula2>0</formula2>
    </dataValidation>
    <dataValidation allowBlank="false" errorStyle="stop" operator="between" showDropDown="false" showErrorMessage="true" showInputMessage="true" sqref="C26:D26" type="list">
      <formula1>Menu_Empennage</formula1>
      <formula2>0</formula2>
    </dataValidation>
    <dataValidation allowBlank="false" errorStyle="stop" operator="between" showDropDown="false" showErrorMessage="true" showInputMessage="true" sqref="C17:D17" type="list">
      <formula1>Liste_propu</formula1>
      <formula2>0</formula2>
    </dataValidation>
    <dataValidation allowBlank="false" errorStyle="stop" operator="between" showDropDown="false" showErrorMessage="true" showInputMessage="true" sqref="M2" type="list">
      <formula1>Menu_Lang</formula1>
      <formula2>0</formula2>
    </dataValidation>
    <dataValidation allowBlank="false" error="Tapez uniquement la masse, sans l'unité." errorStyle="stop" errorTitle="Masse de la Fusée" operator="between" showDropDown="false" showErrorMessage="true" showInputMessage="true" sqref="C11" type="decimal">
      <formula1>0</formula1>
      <formula2>50000</formula2>
    </dataValidation>
    <dataValidation allowBlank="false" error="Tapez uniquement la longueur, sans l'unité." errorStyle="stop" operator="greaterThan" showDropDown="false" showErrorMessage="true" showInputMessage="true" sqref="C12:C13 D13 C22:D23" type="decimal">
      <formula1>0</formula1>
      <formula2>0</formula2>
    </dataValidation>
    <dataValidation allowBlank="false" errorStyle="stop" operator="between" showDropDown="false" showErrorMessage="true" showInputMessage="true" sqref="D11:D12" type="list">
      <formula1>Menu_with_motor</formula1>
      <formula2>0</formula2>
    </dataValidation>
    <dataValidation allowBlank="false" errorStyle="stop" operator="between" showDropDown="false" showErrorMessage="true" showInputMessage="true" sqref="C10:D10" type="list">
      <formula1>Menu_Type</formula1>
      <formula2>0</formula2>
    </dataValidation>
    <dataValidation allowBlank="true" error="Tapez uniquement la longueur, sans l'unité." errorStyle="stop" operator="greaterThan" showDropDown="false" showErrorMessage="true" showInputMessage="true" sqref="C18" type="decimal">
      <formula1>0</formula1>
      <formula2>0</formula2>
    </dataValidation>
    <dataValidation allowBlank="false" errorStyle="stop" operator="between" showDropDown="false" showErrorMessage="true" showInputMessage="true" sqref="C21:D21" type="list">
      <formula1>Menu_Ogive</formula1>
      <formula2>0</formula2>
    </dataValidation>
    <dataValidation allowBlank="false" errorStyle="stop" operator="between" showDropDown="false" showErrorMessage="true" showInputMessage="true" sqref="M4" type="list">
      <formula1>Menu_Transitions</formula1>
      <formula2>0</formula2>
    </dataValidation>
  </dataValidations>
  <hyperlinks>
    <hyperlink ref="M38" location="Trajecto!C25" display="Trajecto"/>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199"/>
  <sheetViews>
    <sheetView showFormulas="false" showGridLines="false" showRowColHeaders="true" showZeros="true" rightToLeft="false" tabSelected="false" showOutlineSymbols="true" defaultGridColor="true" view="normal" topLeftCell="G1" colorId="64" zoomScale="100" zoomScaleNormal="100" zoomScalePageLayoutView="100" workbookViewId="0">
      <selection pane="topLeft" activeCell="C27" activeCellId="0" sqref="C27"/>
    </sheetView>
  </sheetViews>
  <sheetFormatPr defaultColWidth="11.3359375" defaultRowHeight="12.75" zeroHeight="false" outlineLevelRow="0" outlineLevelCol="0"/>
  <cols>
    <col collapsed="false" customWidth="true" hidden="false" outlineLevel="0" max="1" min="1" style="145" width="2.22"/>
    <col collapsed="false" customWidth="true" hidden="false" outlineLevel="0" max="2" min="2" style="145" width="16.22"/>
    <col collapsed="false" customWidth="false" hidden="false" outlineLevel="0" max="4" min="3" style="145" width="11.33"/>
    <col collapsed="false" customWidth="true" hidden="false" outlineLevel="0" max="5" min="5" style="145" width="2.77"/>
    <col collapsed="false" customWidth="true" hidden="false" outlineLevel="0" max="7" min="6" style="145" width="12.77"/>
    <col collapsed="false" customWidth="true" hidden="false" outlineLevel="0" max="13" min="8" style="145" width="10.78"/>
    <col collapsed="false" customWidth="true" hidden="false" outlineLevel="0" max="15" min="14" style="145" width="2.22"/>
    <col collapsed="false" customWidth="true" hidden="false" outlineLevel="0" max="17" min="16" style="145" width="14.21"/>
    <col collapsed="false" customWidth="false" hidden="false" outlineLevel="0" max="16384" min="18" style="145" width="11.33"/>
  </cols>
  <sheetData>
    <row r="1" customFormat="false" ht="12.75" hidden="false" customHeight="false" outlineLevel="0" collapsed="false">
      <c r="A1" s="146"/>
      <c r="B1" s="147"/>
      <c r="C1" s="148"/>
      <c r="D1" s="147"/>
      <c r="E1" s="149"/>
      <c r="F1" s="149"/>
      <c r="G1" s="149"/>
      <c r="H1" s="149"/>
      <c r="I1" s="149"/>
      <c r="J1" s="149"/>
      <c r="K1" s="149"/>
      <c r="L1" s="149"/>
      <c r="M1" s="149"/>
      <c r="N1" s="150"/>
    </row>
    <row r="2" customFormat="false" ht="12.75" hidden="false" customHeight="true" outlineLevel="0" collapsed="false">
      <c r="A2" s="151"/>
      <c r="B2" s="152"/>
      <c r="C2" s="153" t="s">
        <v>157</v>
      </c>
      <c r="D2" s="153"/>
      <c r="F2" s="154"/>
      <c r="J2" s="155"/>
      <c r="N2" s="156"/>
    </row>
    <row r="3" customFormat="false" ht="12.75" hidden="false" customHeight="true" outlineLevel="0" collapsed="false">
      <c r="A3" s="151"/>
      <c r="B3" s="152"/>
      <c r="C3" s="153"/>
      <c r="D3" s="153"/>
      <c r="H3" s="157"/>
      <c r="J3" s="155"/>
      <c r="N3" s="156"/>
    </row>
    <row r="4" customFormat="false" ht="12.75" hidden="false" customHeight="true" outlineLevel="0" collapsed="false">
      <c r="A4" s="151"/>
      <c r="B4" s="152"/>
      <c r="C4" s="158" t="str">
        <f aca="false">IF(Lang="Français","Trajectographie de fusée",IF(Lang="English","Rocket Trajectography",""))</f>
        <v>Trajectographie de fusée</v>
      </c>
      <c r="D4" s="158"/>
      <c r="H4" s="157"/>
      <c r="J4" s="155"/>
      <c r="N4" s="156"/>
    </row>
    <row r="5" customFormat="false" ht="12.75" hidden="false" customHeight="true" outlineLevel="0" collapsed="false">
      <c r="A5" s="151"/>
      <c r="B5" s="152"/>
      <c r="J5" s="155"/>
      <c r="N5" s="156"/>
    </row>
    <row r="6" customFormat="false" ht="12.75" hidden="false" customHeight="true" outlineLevel="0" collapsed="false">
      <c r="A6" s="151"/>
      <c r="B6" s="17"/>
      <c r="C6" s="159" t="str">
        <f aca="false">IF(Lang="Français","Remplir les cases jaunes",IF(Lang="English","Fill-in yellow cells only",""))</f>
        <v>Remplir les cases jaunes</v>
      </c>
      <c r="D6" s="159"/>
      <c r="J6" s="155"/>
      <c r="N6" s="156"/>
    </row>
    <row r="7" customFormat="false" ht="12.75" hidden="false" customHeight="false" outlineLevel="0" collapsed="false">
      <c r="A7" s="151"/>
      <c r="B7" s="160"/>
      <c r="C7" s="161" t="str">
        <f aca="false">IF(Lang="Français","Fusée",IF(Lang="English","Rocket",""))</f>
        <v>Fusée</v>
      </c>
      <c r="D7" s="161"/>
      <c r="N7" s="162"/>
    </row>
    <row r="8" customFormat="false" ht="12.75" hidden="false" customHeight="true" outlineLevel="0" collapsed="false">
      <c r="A8" s="151"/>
      <c r="B8" s="163" t="str">
        <f aca="false">IF(Lang="Français","Nom",IF(Lang="English","Name",""))</f>
        <v>Nom</v>
      </c>
      <c r="C8" s="164" t="str">
        <f aca="false">Nom</f>
        <v>Hellfire</v>
      </c>
      <c r="D8" s="164"/>
      <c r="E8" s="157"/>
      <c r="F8" s="157"/>
      <c r="J8" s="155"/>
      <c r="N8" s="156"/>
    </row>
    <row r="9" customFormat="false" ht="12.75" hidden="false" customHeight="true" outlineLevel="0" collapsed="false">
      <c r="A9" s="165"/>
      <c r="B9" s="163" t="s">
        <v>6</v>
      </c>
      <c r="C9" s="164" t="str">
        <f aca="false">Club</f>
        <v>Acelspace</v>
      </c>
      <c r="D9" s="164"/>
      <c r="F9" s="157"/>
      <c r="N9" s="162"/>
    </row>
    <row r="10" customFormat="false" ht="12.75" hidden="false" customHeight="true" outlineLevel="0" collapsed="false">
      <c r="A10" s="165"/>
      <c r="B10" s="163" t="str">
        <f aca="false">IF(Lang="Français","Masse totale",IF(Lang="English","Total Mass",""))</f>
        <v>Masse totale</v>
      </c>
      <c r="C10" s="166" t="n">
        <f aca="false">MassePlein</f>
        <v>9.432</v>
      </c>
      <c r="D10" s="166"/>
      <c r="F10" s="157"/>
      <c r="N10" s="162"/>
    </row>
    <row r="11" customFormat="false" ht="12.75" hidden="false" customHeight="true" outlineLevel="0" collapsed="false">
      <c r="A11" s="165"/>
      <c r="B11" s="167" t="str">
        <f aca="false">IF(Lang="Français","Propulseur",IF(Lang="English","Motor",""))</f>
        <v>Propulseur</v>
      </c>
      <c r="C11" s="168" t="str">
        <f aca="false">Propu</f>
        <v>Pro54-5G WT</v>
      </c>
      <c r="D11" s="168"/>
      <c r="F11" s="157"/>
      <c r="N11" s="162"/>
    </row>
    <row r="12" customFormat="false" ht="12.75" hidden="false" customHeight="true" outlineLevel="0" collapsed="false">
      <c r="A12" s="165"/>
      <c r="F12" s="157"/>
      <c r="N12" s="162"/>
    </row>
    <row r="13" customFormat="false" ht="12.75" hidden="false" customHeight="true" outlineLevel="0" collapsed="false">
      <c r="A13" s="165"/>
      <c r="C13" s="161" t="str">
        <f aca="false">IF(Lang="Français","Traînée Aérdynamique",IF(Lang="English","Drag",""))</f>
        <v>Traînée Aérdynamique</v>
      </c>
      <c r="D13" s="161"/>
      <c r="N13" s="162"/>
    </row>
    <row r="14" customFormat="false" ht="12.75" hidden="false" customHeight="true" outlineLevel="0" collapsed="false">
      <c r="A14" s="165"/>
      <c r="B14" s="163" t="s">
        <v>158</v>
      </c>
      <c r="C14" s="169" t="n">
        <f aca="false">(PI()*D_ref^2/4+E_ail*ep_ail*Q_ail)/10^6</f>
        <v>0.00885398163397448</v>
      </c>
      <c r="D14" s="169"/>
      <c r="N14" s="162"/>
    </row>
    <row r="15" customFormat="false" ht="12.75" hidden="false" customHeight="true" outlineLevel="0" collapsed="false">
      <c r="A15" s="165"/>
      <c r="B15" s="170" t="s">
        <v>159</v>
      </c>
      <c r="C15" s="171" t="n">
        <v>0.85</v>
      </c>
      <c r="D15" s="171"/>
      <c r="N15" s="162"/>
    </row>
    <row r="16" customFormat="false" ht="12.75" hidden="false" customHeight="true" outlineLevel="0" collapsed="false">
      <c r="A16" s="165"/>
      <c r="N16" s="162"/>
    </row>
    <row r="17" customFormat="false" ht="12.75" hidden="false" customHeight="true" outlineLevel="0" collapsed="false">
      <c r="A17" s="165"/>
      <c r="C17" s="161" t="str">
        <f aca="false">IF(Lang="Français","Rampe de Lancement",IF(Lang="English","Launch Pad",""))</f>
        <v>Rampe de Lancement</v>
      </c>
      <c r="D17" s="161"/>
      <c r="N17" s="162"/>
    </row>
    <row r="18" customFormat="false" ht="12.75" hidden="false" customHeight="true" outlineLevel="0" collapsed="false">
      <c r="A18" s="165"/>
      <c r="B18" s="163" t="str">
        <f aca="false">IF(Lang="Français","Longueur",IF(Lang="English","Length",""))</f>
        <v>Longueur</v>
      </c>
      <c r="C18" s="172" t="n">
        <f aca="false">IF(RIGHT(Type_fusee,1)=".",4, IF(LEFT(Type_fusee,4)="Mini",2.5, IF(LEFT(Type_fusee,5)="Micro",1, IF(RIGHT(Type_fusee,1)=" ",0.1,IF(LEFT(Type_fusee,1)="R",3, 2.5)))))</f>
        <v>4</v>
      </c>
      <c r="D18" s="172"/>
      <c r="N18" s="162"/>
    </row>
    <row r="19" customFormat="false" ht="12.75" hidden="false" customHeight="true" outlineLevel="0" collapsed="false">
      <c r="A19" s="165"/>
      <c r="B19" s="163" t="str">
        <f aca="false">IF(Lang="Français","Élévation",IF(Lang="English","Angle /horizon",""))</f>
        <v>Élévation</v>
      </c>
      <c r="C19" s="173" t="n">
        <v>80</v>
      </c>
      <c r="D19" s="173"/>
      <c r="N19" s="162"/>
    </row>
    <row r="20" customFormat="false" ht="12.75" hidden="false" customHeight="true" outlineLevel="0" collapsed="false">
      <c r="A20" s="165"/>
      <c r="B20" s="163" t="s">
        <v>160</v>
      </c>
      <c r="C20" s="172" t="n">
        <v>0</v>
      </c>
      <c r="D20" s="172"/>
      <c r="N20" s="162"/>
    </row>
    <row r="21" customFormat="false" ht="12.75" hidden="false" customHeight="true" outlineLevel="0" collapsed="false">
      <c r="A21" s="165"/>
      <c r="F21" s="174" t="str">
        <f aca="false">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1" s="162"/>
    </row>
    <row r="22" customFormat="false" ht="12.75" hidden="false" customHeight="false" outlineLevel="0" collapsed="false">
      <c r="A22" s="165"/>
      <c r="C22" s="175" t="str">
        <f aca="false">IF(Lang="Français","DescenteSousParachute",IF(Lang="English","Over Parachute",""))</f>
        <v>DescenteSousParachute</v>
      </c>
      <c r="D22" s="175"/>
      <c r="F22" s="155"/>
      <c r="G22" s="176" t="n">
        <f aca="true">TODAY()</f>
        <v>45304</v>
      </c>
      <c r="H22" s="177" t="str">
        <f aca="false">IF(Lang="Français","Temps",IF(Lang="English","Time",""))</f>
        <v>Temps</v>
      </c>
      <c r="I22" s="177" t="s">
        <v>161</v>
      </c>
      <c r="J22" s="177" t="str">
        <f aca="false">IF(Lang="Français","Portée x",IF(Lang="English","Range x",""))</f>
        <v>Portée x</v>
      </c>
      <c r="K22" s="177" t="str">
        <f aca="false">IF(Lang="Français","Vitesse",IF(Lang="English","Velocity",""))</f>
        <v>Vitesse</v>
      </c>
      <c r="L22" s="178" t="s">
        <v>162</v>
      </c>
      <c r="M22" s="179" t="s">
        <v>163</v>
      </c>
      <c r="N22" s="162"/>
    </row>
    <row r="23" customFormat="false" ht="12.75" hidden="false" customHeight="false" outlineLevel="0" collapsed="false">
      <c r="A23" s="165"/>
      <c r="C23" s="180" t="str">
        <f aca="false">C7</f>
        <v>Fusée</v>
      </c>
      <c r="D23" s="181" t="s">
        <v>164</v>
      </c>
      <c r="F23" s="182" t="str">
        <f aca="false">IF(Lang="Français","Sortie de Rampe",IF(Lang="English","Launch-Pad Exit",""))</f>
        <v>Sortie de Rampe</v>
      </c>
      <c r="G23" s="182"/>
      <c r="H23" s="183"/>
      <c r="I23" s="183"/>
      <c r="J23" s="183"/>
      <c r="K23" s="184" t="n">
        <f aca="false">INDEX(vit_xz,MATCH("Sortie de rampe",Event,0))</f>
        <v>31.9054592292062</v>
      </c>
      <c r="L23" s="185"/>
      <c r="M23" s="186"/>
      <c r="N23" s="162"/>
    </row>
    <row r="24" customFormat="false" ht="12.75" hidden="false" customHeight="false" outlineLevel="0" collapsed="false">
      <c r="A24" s="165"/>
      <c r="B24" s="187" t="str">
        <f aca="false">IF(Lang="Français","Masse",IF(Lang="English","Mass",""))</f>
        <v>Masse</v>
      </c>
      <c r="C24" s="166" t="n">
        <f aca="false">IF(Nb_sat="0 satellite",MasseVide,MasseVide-m_satellite)</f>
        <v>8.45</v>
      </c>
      <c r="D24" s="188" t="n">
        <f aca="false">IF(RIGHT(Type_fusee,1)=".",1,0.15)</f>
        <v>1</v>
      </c>
      <c r="E24" s="189" t="str">
        <f aca="false">IF(ABS(T_satellite-0.11-T_para)&lt;0.1,"Pb!","")</f>
        <v/>
      </c>
      <c r="F24" s="182" t="str">
        <f aca="false">IF(Lang="Français","Vit max &amp; Acc max",IF(Lang="English","Max Velocity &amp; Acc",""))</f>
        <v>Vit max &amp; Acc max</v>
      </c>
      <c r="G24" s="182"/>
      <c r="H24" s="183"/>
      <c r="I24" s="183"/>
      <c r="J24" s="183"/>
      <c r="K24" s="190" t="n">
        <f aca="false">MAX(vit_xz)</f>
        <v>194.4751271864</v>
      </c>
      <c r="L24" s="191" t="n">
        <f aca="false">MAX(acc_xz)</f>
        <v>134.135194369221</v>
      </c>
      <c r="M24" s="186"/>
      <c r="N24" s="162"/>
    </row>
    <row r="25" customFormat="false" ht="12.75" hidden="false" customHeight="false" outlineLevel="0" collapsed="false">
      <c r="A25" s="165"/>
      <c r="B25" s="192" t="str">
        <f aca="false">IF(Lang="Français","Dépotage",IF(Lang="English","Delay",""))</f>
        <v>Dépotage</v>
      </c>
      <c r="C25" s="193" t="s">
        <v>165</v>
      </c>
      <c r="D25" s="194"/>
      <c r="F25" s="195" t="str">
        <f aca="false">IF(Lang="Français","Largage du satellite",IF(Lang="English","Satellite separation",""))</f>
        <v>Largage du satellite</v>
      </c>
      <c r="G25" s="195"/>
      <c r="H25" s="196" t="n">
        <f aca="false">IF(T_satellite&lt;&gt;0,T_satellite,"")</f>
        <v>3.5</v>
      </c>
      <c r="I25" s="197" t="n">
        <f aca="false">IF(T_satellite&lt;&gt;0,INDEX(pos_z,MATCH("Satellite",Event_sat,0)),"")</f>
        <v>477.430435750407</v>
      </c>
      <c r="J25" s="198" t="n">
        <f aca="false">IF(T_satellite&lt;&gt;0,INDEX(pos_x,MATCH("Satellite",Event_sat,0)),"")</f>
        <v>98.8860304640715</v>
      </c>
      <c r="K25" s="199" t="n">
        <f aca="false">IF(T_satellite&lt;&gt;0,INDEX(vit_xz,MATCH("Satellite",Event_sat,0)),"")</f>
        <v>148.743880813105</v>
      </c>
      <c r="L25" s="200"/>
      <c r="M25" s="201" t="n">
        <f aca="false">1/2*Rho_moyen*1*V_ouv_sat^2*S_satellite</f>
        <v>1355.14045235978</v>
      </c>
      <c r="N25" s="162"/>
    </row>
    <row r="26" customFormat="false" ht="12.75" hidden="false" customHeight="false" outlineLevel="0" collapsed="false">
      <c r="A26" s="165"/>
      <c r="B26" s="202" t="str">
        <f aca="false">IF(Lang="Français","Ouverture para",IF(Lang="English","Opening time",""))</f>
        <v>Ouverture para</v>
      </c>
      <c r="C26" s="203" t="n">
        <v>16</v>
      </c>
      <c r="D26" s="203" t="n">
        <v>3.5</v>
      </c>
      <c r="F26" s="182" t="s">
        <v>166</v>
      </c>
      <c r="G26" s="182"/>
      <c r="H26" s="204" t="n">
        <f aca="false">INDEX(t,MATCH("Apogée",Event,0))</f>
        <v>14.7</v>
      </c>
      <c r="I26" s="205" t="n">
        <f aca="false">INDEX(pos_z,MATCH("Apogée",Event,0))</f>
        <v>1190.7418963748</v>
      </c>
      <c r="J26" s="206" t="n">
        <f aca="false">INDEX(pos_x,MATCH("Apogée",Event,0))</f>
        <v>384.107539362574</v>
      </c>
      <c r="K26" s="207" t="n">
        <f aca="false">INDEX(vit_xz,MATCH("Apogée",Event,0))</f>
        <v>22.0576606162519</v>
      </c>
      <c r="L26" s="185"/>
      <c r="M26" s="186"/>
      <c r="N26" s="162"/>
    </row>
    <row r="27" customFormat="false" ht="12.75" hidden="false" customHeight="false" outlineLevel="0" collapsed="false">
      <c r="A27" s="165"/>
      <c r="B27" s="170" t="s">
        <v>167</v>
      </c>
      <c r="C27" s="208" t="n">
        <v>1.99</v>
      </c>
      <c r="D27" s="209" t="n">
        <f aca="false">IF(RIGHT(Type_fusee,1)=".",0.1,0.02)</f>
        <v>0.1</v>
      </c>
      <c r="F27" s="210" t="str">
        <f aca="false">IF(Lang="Français","Ouverture parachute fusée",IF(Lang="English","Rocket parachute opening",""))</f>
        <v>Ouverture parachute fusée</v>
      </c>
      <c r="G27" s="210"/>
      <c r="H27" s="196" t="n">
        <f aca="false">T_para</f>
        <v>16</v>
      </c>
      <c r="I27" s="197" t="n">
        <f aca="false">INDEX(pos_z,MATCH("Para",Event_para,0))</f>
        <v>1183.5060755214</v>
      </c>
      <c r="J27" s="211" t="n">
        <f aca="false">INDEX(pos_x,MATCH("Para",Event_para,0))</f>
        <v>412.563390814028</v>
      </c>
      <c r="K27" s="199" t="n">
        <f aca="false">INDEX(vit_xz,MATCH("Para",Event_para,0))</f>
        <v>24.7696867752774</v>
      </c>
      <c r="L27" s="200"/>
      <c r="M27" s="201" t="n">
        <f aca="false">1/2*Rho_moyen*1*V_ouverture^2*S_para</f>
        <v>747.825377637517</v>
      </c>
      <c r="N27" s="162"/>
      <c r="P27" s="189" t="str">
        <f aca="false">IF(V_para&lt;5, IF(Lang="Français","Parachute fusée trop grand !","Parachute too big!"), IF( V_para&gt;15, IF(Lang="Français","Parachute fusée trop petit !","Parachute too small!"), ""))</f>
        <v/>
      </c>
      <c r="R27" s="189" t="str">
        <f aca="false">IF(AND(Nb_sat="1 satellite", OR(V_satellite&lt;5)), IF(Lang="Français","Parachute satéllite trop grand !","Parachute too big"), IF(AND(Nb_sat="1 satellite",OR(V_satellite&gt;15)), IF(Lang="Français","Parachute satéllite trop petit !","Parachute too small!"), ""))</f>
        <v/>
      </c>
    </row>
    <row r="28" customFormat="false" ht="12.75" hidden="false" customHeight="false" outlineLevel="0" collapsed="false">
      <c r="A28" s="165"/>
      <c r="B28" s="170" t="s">
        <v>168</v>
      </c>
      <c r="C28" s="171" t="n">
        <v>1</v>
      </c>
      <c r="D28" s="171" t="n">
        <v>1</v>
      </c>
      <c r="F28" s="212" t="str">
        <f aca="false">IF(Lang="Français","Impact balistique",IF(Lang="English","Balistic Impact",""))</f>
        <v>Impact balistique</v>
      </c>
      <c r="G28" s="212"/>
      <c r="H28" s="213" t="n">
        <f aca="false">INDEX(t,MATCH("Impact balistique",Event,0))</f>
        <v>32.1000000000002</v>
      </c>
      <c r="I28" s="214" t="s">
        <v>169</v>
      </c>
      <c r="J28" s="205" t="n">
        <f aca="false">INDEX(pos_x,MATCH("Impact balistique",Event,0))</f>
        <v>690.928492655337</v>
      </c>
      <c r="K28" s="215" t="n">
        <f aca="false">K45</f>
        <v>115.927755903088</v>
      </c>
      <c r="L28" s="185"/>
      <c r="M28" s="216" t="n">
        <f aca="false">0.5*m_vide*K28^2</f>
        <v>56780.8083873673</v>
      </c>
      <c r="N28" s="162"/>
      <c r="P28" s="189" t="str">
        <f aca="false">IF( OR( V_para&lt;5, V_para&gt;15, AND(Nb_sat="1 satellite", OR(V_satellite&lt;5, V_satellite&gt;15))), IF(Lang="Français","La Vitesse de descente sous parachute doit être comprise entre 5 &amp; 15 m/s.","Fall Velocity with parachute must be between 5 &amp; 15 m/s."), "")</f>
        <v/>
      </c>
    </row>
    <row r="29" customFormat="false" ht="12.75" hidden="false" customHeight="false" outlineLevel="0" collapsed="false">
      <c r="A29" s="165"/>
      <c r="B29" s="170" t="str">
        <f aca="false">IF(Lang="Français","Vitesse du vent",IF(Lang="English","Wind speed",""))</f>
        <v>Vitesse du vent</v>
      </c>
      <c r="C29" s="217" t="n">
        <v>5</v>
      </c>
      <c r="D29" s="217" t="n">
        <f aca="false">V_vent</f>
        <v>5</v>
      </c>
      <c r="E29" s="189" t="str">
        <f aca="false">IF(AND(T_satellite=0,m_satellite&lt;&gt;0),"Erreur !","")</f>
        <v/>
      </c>
      <c r="G29" s="218"/>
      <c r="H29" s="219"/>
      <c r="I29" s="220"/>
      <c r="N29" s="162"/>
      <c r="P29" s="189" t="str">
        <f aca="false">IF(AND(Portee_balistique&gt;200,LEFT(Type_propu,4)="Mini"),IF(Lang="Français","Fusée trop lègère !","Rocket too light"),"")</f>
        <v/>
      </c>
    </row>
    <row r="30" customFormat="false" ht="12.75" hidden="false" customHeight="false" outlineLevel="0" collapsed="false">
      <c r="A30" s="165"/>
      <c r="B30" s="221" t="str">
        <f aca="false">IF(Lang="Français","Vitesse descente",IF(Lang="English","Fall velocity",""))</f>
        <v>Vitesse descente</v>
      </c>
      <c r="C30" s="184" t="n">
        <f aca="false">SQRT(2*m_vide*g/Rho_moyen/S_para/Cx_para)</f>
        <v>8.24675843682921</v>
      </c>
      <c r="D30" s="184" t="n">
        <f aca="false">SQRT(2*m_satellite*g/Rho_moyen/S_satellite/Cx_satellite)</f>
        <v>12.6555626230572</v>
      </c>
      <c r="F30" s="189"/>
      <c r="K30" s="63"/>
      <c r="N30" s="162"/>
      <c r="P30" s="189" t="str">
        <f aca="false">IF(OR(AND(Vsortie_de_rampe&lt;20,LEFT(Type_fusee,1)="F"),AND(Vsortie_de_rampe&lt;18, OR(LEFT(Type_fusee,1)=",",LEFT(Type_fusee,4)="Mini",LEFT(Type_fusee,1)="R"))),IF(Lang="Français","Fusée trop lourde ou rampe trop courte !","Rocket too heavy or launch pad too small!"),"")</f>
        <v/>
      </c>
    </row>
    <row r="31" customFormat="false" ht="12.75" hidden="false" customHeight="false" outlineLevel="0" collapsed="false">
      <c r="A31" s="165"/>
      <c r="B31" s="221" t="str">
        <f aca="false">IF(Lang="Français","Durée descente",IF(Lang="English","Fall duration",""))</f>
        <v>Durée descente</v>
      </c>
      <c r="C31" s="222" t="n">
        <f aca="false">Alt_para/V_para</f>
        <v>143.511670020062</v>
      </c>
      <c r="D31" s="222" t="n">
        <f aca="false">IF(V_satellite&lt;&gt;0,Alt_sat/V_satellite,0)</f>
        <v>37.7249475167999</v>
      </c>
      <c r="H31" s="28" t="str">
        <f aca="false">IF(Lang="Français","Pour localiser la fusée","To locate the rocket")</f>
        <v>Pour localiser la fusée</v>
      </c>
      <c r="I31" s="28"/>
      <c r="J31" s="223"/>
      <c r="N31" s="224"/>
      <c r="P31" s="189" t="str">
        <f aca="false">IF(Temps_culmi-T_para&gt;2,IF(Lang="Français","Ouverture parachute fusée précoce.","Early rocket parachute opening."),IF(Temps_culmi-T_para&lt;-2,IF(Lang="Français","Ouverture parachute fusée tardive.","Late rocket parachute opening."),""))</f>
        <v/>
      </c>
    </row>
    <row r="32" customFormat="false" ht="12.75" hidden="false" customHeight="false" outlineLevel="0" collapsed="false">
      <c r="A32" s="165"/>
      <c r="B32" s="221" t="str">
        <f aca="false">IF(Lang="Français","Durée du vol",IF(Lang="English","Fligth duration",""))</f>
        <v>Durée du vol</v>
      </c>
      <c r="C32" s="222" t="n">
        <f aca="false">T_para+Dt_para</f>
        <v>159.511670020062</v>
      </c>
      <c r="D32" s="222" t="n">
        <f aca="false">T_satellite+Dt_satellite</f>
        <v>41.2249475167999</v>
      </c>
      <c r="F32" s="28" t="str">
        <f aca="false">IF(Lang="Français","Couleur fuselage/coiffe","Body/Nose color")</f>
        <v>Couleur fuselage/coiffe</v>
      </c>
      <c r="G32" s="28"/>
      <c r="H32" s="225" t="s">
        <v>170</v>
      </c>
      <c r="I32" s="225"/>
      <c r="N32" s="226"/>
      <c r="P32" s="189" t="str">
        <f aca="false">IF(ABS(Temps_culmi-T_para)&gt;2,IF(Lang="Français","Attention, aux efforts sur le parachute lors de l'ouverture !","Becarefull to the opening chute efforts!"),"")</f>
        <v/>
      </c>
    </row>
    <row r="33" customFormat="false" ht="12.75" hidden="false" customHeight="false" outlineLevel="0" collapsed="false">
      <c r="A33" s="227"/>
      <c r="B33" s="221" t="str">
        <f aca="false">IF(Lang="Français","Déport latéral",IF(Lang="English","Lateral shift",""))</f>
        <v>Déport latéral</v>
      </c>
      <c r="C33" s="228" t="n">
        <f aca="false">Alt_para*V_vent/V_para</f>
        <v>717.558350100312</v>
      </c>
      <c r="D33" s="228" t="n">
        <f aca="false">IF(V_satellite&lt;&gt;0,Alt_sat*V_vent_sat/V_satellite,0)</f>
        <v>188.624737584</v>
      </c>
      <c r="F33" s="28" t="str">
        <f aca="false">IF(Lang="Français","Couleur parachute fusée","Rocket parachute color")</f>
        <v>Couleur parachute fusée</v>
      </c>
      <c r="G33" s="28"/>
      <c r="H33" s="225" t="s">
        <v>171</v>
      </c>
      <c r="I33" s="225"/>
      <c r="N33" s="229" t="str">
        <f aca="false">IF(Lang="Français","fichier initial","Initial file")</f>
        <v>fichier initial</v>
      </c>
    </row>
    <row r="34" customFormat="false" ht="12.75" hidden="false" customHeight="false" outlineLevel="0" collapsed="false">
      <c r="A34" s="165"/>
      <c r="F34" s="28" t="str">
        <f aca="false">IF(Lang="Français","Couleur parachute satellite","Satellite parachute color")</f>
        <v>Couleur parachute satellite</v>
      </c>
      <c r="G34" s="28"/>
      <c r="H34" s="225" t="s">
        <v>172</v>
      </c>
      <c r="I34" s="225"/>
      <c r="N34" s="230" t="str">
        <f aca="false">IF(ROUND(SUM(Propu!5:1228),0)=437704,"propu OK","propu NOK")</f>
        <v>propu OK</v>
      </c>
    </row>
    <row r="35" customFormat="false" ht="13.5" hidden="false" customHeight="false" outlineLevel="0" collapsed="false">
      <c r="A35" s="231"/>
      <c r="B35" s="232" t="str">
        <f aca="false">IF(Lang="Français","Commentaire libre :",IF(Lang="English","Free comment:",""))</f>
        <v>Commentaire libre :</v>
      </c>
      <c r="C35" s="233"/>
      <c r="D35" s="233"/>
      <c r="E35" s="233"/>
      <c r="F35" s="233"/>
      <c r="G35" s="233"/>
      <c r="H35" s="233"/>
      <c r="I35" s="233"/>
      <c r="J35" s="233"/>
      <c r="K35" s="233"/>
      <c r="L35" s="233"/>
      <c r="M35" s="233"/>
      <c r="N35" s="234" t="s">
        <v>23</v>
      </c>
    </row>
    <row r="38" customFormat="false" ht="12.75" hidden="false" customHeight="false" outlineLevel="0" collapsed="false">
      <c r="A38" s="235" t="str">
        <f aca="false">IF(Lang="Français","Calcul de la surface d'un parachute","Parachute surface calculation")</f>
        <v>Calcul de la surface d'un parachute</v>
      </c>
      <c r="B38" s="235"/>
      <c r="C38" s="235"/>
      <c r="D38" s="235"/>
      <c r="F38" s="235" t="str">
        <f aca="false">IF(Lang="Français","Résultats détaillés","Detailled results")</f>
        <v>Résultats détaillés</v>
      </c>
      <c r="G38" s="235"/>
      <c r="H38" s="236" t="str">
        <f aca="false">IF(Lang="Français","Temps",IF(Lang="English","Time",""))</f>
        <v>Temps</v>
      </c>
      <c r="I38" s="237" t="s">
        <v>161</v>
      </c>
      <c r="J38" s="237" t="str">
        <f aca="false">IF(Lang="Français","Portée x",IF(Lang="English","Range x",""))</f>
        <v>Portée x</v>
      </c>
      <c r="K38" s="237" t="str">
        <f aca="false">IF(Lang="Français","Vitesse",IF(Lang="English","Velocity",""))</f>
        <v>Vitesse</v>
      </c>
      <c r="L38" s="238" t="s">
        <v>162</v>
      </c>
      <c r="M38" s="237" t="s">
        <v>173</v>
      </c>
    </row>
    <row r="39" customFormat="false" ht="12.75" hidden="false" customHeight="false" outlineLevel="0" collapsed="false">
      <c r="A39" s="239"/>
      <c r="D39" s="240"/>
      <c r="F39" s="241"/>
      <c r="G39" s="242"/>
      <c r="H39" s="243" t="s">
        <v>174</v>
      </c>
      <c r="I39" s="244" t="s">
        <v>175</v>
      </c>
      <c r="J39" s="244" t="s">
        <v>175</v>
      </c>
      <c r="K39" s="244" t="s">
        <v>176</v>
      </c>
      <c r="L39" s="244" t="s">
        <v>177</v>
      </c>
      <c r="M39" s="244" t="s">
        <v>178</v>
      </c>
    </row>
    <row r="40" customFormat="false" ht="12.75" hidden="false" customHeight="false" outlineLevel="0" collapsed="false">
      <c r="A40" s="239"/>
      <c r="D40" s="240"/>
      <c r="F40" s="245" t="str">
        <f aca="false">IF(Lang="Français","Décollage",IF(Lang="English","Lift-Off",""))</f>
        <v>Décollage</v>
      </c>
      <c r="G40" s="245"/>
      <c r="H40" s="246" t="n">
        <v>0</v>
      </c>
      <c r="I40" s="246" t="n">
        <v>0</v>
      </c>
      <c r="J40" s="246" t="n">
        <v>0</v>
      </c>
      <c r="K40" s="246" t="n">
        <v>0</v>
      </c>
      <c r="L40" s="247" t="s">
        <v>11</v>
      </c>
      <c r="M40" s="248" t="n">
        <f aca="false">Beta_rampe</f>
        <v>80</v>
      </c>
    </row>
    <row r="41" customFormat="false" ht="12.75" hidden="false" customHeight="false" outlineLevel="0" collapsed="false">
      <c r="A41" s="239"/>
      <c r="D41" s="240"/>
      <c r="F41" s="182" t="str">
        <f aca="false">IF(Lang="Français","Sortie de Rampe",IF(Lang="English","Launch-Pad Exit",""))</f>
        <v>Sortie de Rampe</v>
      </c>
      <c r="G41" s="182"/>
      <c r="H41" s="183" t="n">
        <f aca="false">INDEX(t,MATCH("Sortie de rampe",Event,0))</f>
        <v>0.26</v>
      </c>
      <c r="I41" s="183" t="n">
        <f aca="false">INDEX(pos_z,MATCH("Sortie de rampe",Event,0))</f>
        <v>3.86939386755264</v>
      </c>
      <c r="J41" s="183" t="n">
        <f aca="false">INDEX(pos_x,MATCH("Sortie de rampe",Event,0))</f>
        <v>0.682242342603648</v>
      </c>
      <c r="K41" s="185" t="n">
        <f aca="false">INDEX(vit_xz,MATCH("Sortie de rampe",Event,0))</f>
        <v>31.9054592292062</v>
      </c>
      <c r="L41" s="185" t="n">
        <f aca="false">INDEX(acc_xz,MATCH("Sortie de rampe",Event,0))</f>
        <v>131.877019336005</v>
      </c>
      <c r="M41" s="185" t="n">
        <f aca="false">INDEX(BetaD,MATCH("Sortie de rampe",Event,0))</f>
        <v>80</v>
      </c>
    </row>
    <row r="42" customFormat="false" ht="12.75" hidden="false" customHeight="false" outlineLevel="0" collapsed="false">
      <c r="A42" s="239"/>
      <c r="B42" s="249" t="str">
        <f aca="false">IF(Lang="Français","Longeur du bord","Side length")</f>
        <v>Longeur du bord</v>
      </c>
      <c r="D42" s="240"/>
      <c r="F42" s="182" t="str">
        <f aca="false">IF(Lang="Français","Vit max &amp; Acc max",IF(Lang="English","Max Velocity &amp; Acc",""))</f>
        <v>Vit max &amp; Acc max</v>
      </c>
      <c r="G42" s="182"/>
      <c r="H42" s="183" t="s">
        <v>11</v>
      </c>
      <c r="I42" s="183" t="s">
        <v>11</v>
      </c>
      <c r="J42" s="183" t="s">
        <v>11</v>
      </c>
      <c r="K42" s="250" t="n">
        <f aca="false">MAX(vit_xz)</f>
        <v>194.4751271864</v>
      </c>
      <c r="L42" s="251" t="n">
        <f aca="false">MAX(acc_xz)</f>
        <v>134.135194369221</v>
      </c>
      <c r="M42" s="185" t="s">
        <v>11</v>
      </c>
    </row>
    <row r="43" customFormat="false" ht="12.75" hidden="false" customHeight="false" outlineLevel="0" collapsed="false">
      <c r="A43" s="239"/>
      <c r="B43" s="252" t="n">
        <v>249</v>
      </c>
      <c r="D43" s="240"/>
      <c r="F43" s="182" t="str">
        <f aca="false">IF(Lang="Français","Fin de Propulsion",IF(Lang="English","Motor Burn-Out",""))</f>
        <v>Fin de Propulsion</v>
      </c>
      <c r="G43" s="182"/>
      <c r="H43" s="185" t="n">
        <f aca="false">INDEX(t,MATCH("Fin de propulsion",Event,0))</f>
        <v>1.71</v>
      </c>
      <c r="I43" s="253" t="n">
        <f aca="false">INDEX(pos_z,MATCH("Fin de propulsion",Event,0))</f>
        <v>179.90617124101</v>
      </c>
      <c r="J43" s="253" t="n">
        <f aca="false">INDEX(pos_x,MATCH("Fin de propulsion",Event,0))</f>
        <v>35.2528067468829</v>
      </c>
      <c r="K43" s="253" t="n">
        <f aca="false">INDEX(vit_xz,MATCH("Fin de propulsion",Event,0))</f>
        <v>193.741353200177</v>
      </c>
      <c r="L43" s="185" t="n">
        <f aca="false">INDEX(acc_xz,MATCH("Fin de propulsion",Event,0))</f>
        <v>29.8540199716148</v>
      </c>
      <c r="M43" s="185" t="n">
        <f aca="false">INDEX(BetaD,MATCH("Fin de propulsion",Event,0))</f>
        <v>78.4894939060497</v>
      </c>
    </row>
    <row r="44" customFormat="false" ht="12.75" hidden="false" customHeight="false" outlineLevel="0" collapsed="false">
      <c r="A44" s="239"/>
      <c r="B44" s="249" t="str">
        <f aca="false">IF(Lang="Français","Largeur du coté","Side width")</f>
        <v>Largeur du coté</v>
      </c>
      <c r="D44" s="240"/>
      <c r="F44" s="182" t="s">
        <v>166</v>
      </c>
      <c r="G44" s="182"/>
      <c r="H44" s="251" t="n">
        <f aca="false">INDEX(t,MATCH("Apogée",Event,0))</f>
        <v>14.7</v>
      </c>
      <c r="I44" s="250" t="n">
        <f aca="false">INDEX(pos_z,MATCH("Apogée",Event,0))</f>
        <v>1190.7418963748</v>
      </c>
      <c r="J44" s="254" t="n">
        <f aca="false">INDEX(pos_x,MATCH("Apogée",Event,0))</f>
        <v>384.107539362574</v>
      </c>
      <c r="K44" s="254" t="n">
        <f aca="false">INDEX(vit_xz,MATCH("Apogée",Event,0))</f>
        <v>22.0576606162519</v>
      </c>
      <c r="L44" s="185" t="n">
        <f aca="false">INDEX(acc_xz,MATCH("Apogée",Event,0))</f>
        <v>9.8318417118627</v>
      </c>
      <c r="M44" s="255" t="n">
        <f aca="false">INDEX(BetaD,MATCH("Apogée",Event,0))</f>
        <v>2.05024756153043</v>
      </c>
    </row>
    <row r="45" customFormat="false" ht="12.75" hidden="false" customHeight="false" outlineLevel="0" collapsed="false">
      <c r="A45" s="239"/>
      <c r="B45" s="256" t="n">
        <v>199</v>
      </c>
      <c r="D45" s="240"/>
      <c r="F45" s="212" t="str">
        <f aca="false">IF(Lang="Français","Impact balistique",IF(Lang="English","Balistic Impact",""))</f>
        <v>Impact balistique</v>
      </c>
      <c r="G45" s="212"/>
      <c r="H45" s="185" t="n">
        <f aca="false">INDEX(t,MATCH("Impact balistique",Event,0))</f>
        <v>32.1000000000002</v>
      </c>
      <c r="I45" s="247" t="s">
        <v>179</v>
      </c>
      <c r="J45" s="250" t="n">
        <f aca="false">INDEX(pos_x,MATCH("Impact balistique",Event,0))</f>
        <v>690.928492655337</v>
      </c>
      <c r="K45" s="253" t="n">
        <f aca="false">INDEX(vit_xz,MATCH("Impact balistique",Event,0))</f>
        <v>115.927755903088</v>
      </c>
      <c r="L45" s="185" t="n">
        <f aca="false">INDEX(acc_xz,MATCH("Impact balistique",Event,0))</f>
        <v>2.65100715380212</v>
      </c>
      <c r="M45" s="185" t="n">
        <f aca="false">INDEX(BetaD,MATCH("Impact balistique",Event,0))</f>
        <v>-84.3082491360075</v>
      </c>
    </row>
    <row r="46" customFormat="false" ht="12.75" hidden="false" customHeight="false" outlineLevel="0" collapsed="false">
      <c r="A46" s="239"/>
      <c r="B46" s="177" t="s">
        <v>167</v>
      </c>
      <c r="D46" s="240"/>
      <c r="F46" s="210" t="str">
        <f aca="false">IF(Lang="Français","Ouverture parachute fusée",IF(Lang="English","Rocket parachute opening",""))</f>
        <v>Ouverture parachute fusée</v>
      </c>
      <c r="G46" s="210"/>
      <c r="H46" s="200" t="n">
        <f aca="false">T_para</f>
        <v>16</v>
      </c>
      <c r="I46" s="257" t="n">
        <f aca="false">INDEX(pos_z,MATCH("Para",Event_para,0))</f>
        <v>1183.5060755214</v>
      </c>
      <c r="J46" s="257" t="n">
        <f aca="false">INDEX(pos_x,MATCH("Para",Event_para,0))</f>
        <v>412.563390814028</v>
      </c>
      <c r="K46" s="257" t="n">
        <f aca="false">INDEX(vit_xz,MATCH("Para",Event_para,0))</f>
        <v>24.7696867752774</v>
      </c>
      <c r="L46" s="200" t="n">
        <f aca="false">INDEX(acc_xz,MATCH("Para",Event_para,0))</f>
        <v>9.68459189135926</v>
      </c>
      <c r="M46" s="258" t="n">
        <f aca="false">INDEX(BetaD,MATCH("Para",Event_para,0))</f>
        <v>-28.6853117601899</v>
      </c>
    </row>
    <row r="47" customFormat="false" ht="12.75" hidden="false" customHeight="false" outlineLevel="0" collapsed="false">
      <c r="A47" s="239"/>
      <c r="B47" s="259" t="n">
        <f aca="false">(4*B43*B45+B43^2)/10^6</f>
        <v>0.260205</v>
      </c>
      <c r="D47" s="240"/>
      <c r="F47" s="260" t="str">
        <f aca="false">IF(Lang="Français","Impact fusée sous para.",IF(Lang="English","Impact of rocket with para. ",""))</f>
        <v>Impact fusée sous para.</v>
      </c>
      <c r="G47" s="260"/>
      <c r="H47" s="261" t="n">
        <f aca="false">T_para+Dt_para</f>
        <v>159.511670020062</v>
      </c>
      <c r="I47" s="262" t="s">
        <v>179</v>
      </c>
      <c r="J47" s="263" t="str">
        <f aca="false">CONCATENATE(TEXT(X_para-Dx_para,"0")," | ",TEXT(X_para+Dx_para,"0"))</f>
        <v>-305 | 1130</v>
      </c>
      <c r="K47" s="263" t="n">
        <f aca="false">V_para</f>
        <v>8.24675843682921</v>
      </c>
      <c r="L47" s="264" t="n">
        <f aca="false">g</f>
        <v>9.81</v>
      </c>
      <c r="M47" s="264" t="s">
        <v>11</v>
      </c>
    </row>
    <row r="48" customFormat="false" ht="12.75" hidden="false" customHeight="false" outlineLevel="0" collapsed="false">
      <c r="A48" s="239"/>
      <c r="D48" s="240"/>
      <c r="F48" s="195" t="str">
        <f aca="false">IF(Lang="Français","Largage du satellite",IF(Lang="English","Satellite separation",""))</f>
        <v>Largage du satellite</v>
      </c>
      <c r="G48" s="195"/>
      <c r="H48" s="200" t="n">
        <f aca="false">IF(T_satellite&lt;&gt;0,T_satellite,"")</f>
        <v>3.5</v>
      </c>
      <c r="I48" s="257" t="n">
        <f aca="false">IF(T_satellite&lt;&gt;0,INDEX(pos_z,MATCH("Satellite",Event_sat,0)),"")</f>
        <v>477.430435750407</v>
      </c>
      <c r="J48" s="265" t="n">
        <f aca="false">IF(T_satellite&lt;&gt;0,INDEX(pos_x,MATCH("Satellite",Event_sat,0)),"")</f>
        <v>98.8860304640715</v>
      </c>
      <c r="K48" s="257" t="n">
        <f aca="false">IF(T_satellite&lt;&gt;0,INDEX(vit_xz,MATCH("Satellite",Event_sat,0)),"")</f>
        <v>148.743880813105</v>
      </c>
      <c r="L48" s="200" t="n">
        <f aca="false">IF(T_satellite&lt;&gt;0,INDEX(acc_xz,MATCH("Satellite",Event_sat,0)),"")</f>
        <v>21.5364180993279</v>
      </c>
      <c r="M48" s="258" t="n">
        <f aca="false">IF(T_satellite&lt;&gt;0,INDEX(BetaD,MATCH("Satellite",Event_sat,0)),"")</f>
        <v>77.2339012417833</v>
      </c>
    </row>
    <row r="49" customFormat="false" ht="12.75" hidden="false" customHeight="false" outlineLevel="0" collapsed="false">
      <c r="A49" s="239"/>
      <c r="D49" s="240"/>
      <c r="F49" s="266" t="str">
        <f aca="false">IF(Lang="Français","Impact du satellite",IF(Lang="English","Satellite impact",""))</f>
        <v>Impact du satellite</v>
      </c>
      <c r="G49" s="266"/>
      <c r="H49" s="261" t="n">
        <f aca="false">IF(T_satellite&lt;&gt;0,T_satellite+Dt_satellite,"")</f>
        <v>41.2249475167999</v>
      </c>
      <c r="I49" s="267" t="str">
        <f aca="false">IF(T_satellite&lt;&gt;0,"~0","")</f>
        <v>~0</v>
      </c>
      <c r="J49" s="267" t="str">
        <f aca="false">IF(T_satellite&lt;&gt;0,CONCATENATE(TEXT(X_satellite-Dx_sat,"0")," | ",TEXT(X_satellite+Dx_sat,"0")),"")</f>
        <v>-90 | 288</v>
      </c>
      <c r="K49" s="267" t="n">
        <f aca="false">IF(T_satellite&lt;&gt;0,V_satellite,"")</f>
        <v>12.6555626230572</v>
      </c>
      <c r="L49" s="264" t="n">
        <f aca="false">IF(T_satellite&lt;&gt;0,g,"")</f>
        <v>9.81</v>
      </c>
      <c r="M49" s="268" t="str">
        <f aca="false">IF(T_satellite&lt;&gt;0,"-","")</f>
        <v>-</v>
      </c>
    </row>
    <row r="50" customFormat="false" ht="12.75" hidden="false" customHeight="false" outlineLevel="0" collapsed="false">
      <c r="A50" s="239"/>
      <c r="B50" s="249" t="str">
        <f aca="false">IF(Lang="Français","Rayon exterieur","Half-diameter ext")</f>
        <v>Rayon exterieur</v>
      </c>
      <c r="D50" s="240"/>
    </row>
    <row r="51" customFormat="false" ht="12.75" hidden="false" customHeight="false" outlineLevel="0" collapsed="false">
      <c r="A51" s="239"/>
      <c r="B51" s="256" t="n">
        <v>800</v>
      </c>
      <c r="D51" s="240"/>
    </row>
    <row r="52" customFormat="false" ht="12.75" hidden="false" customHeight="false" outlineLevel="0" collapsed="false">
      <c r="A52" s="239"/>
      <c r="B52" s="249" t="str">
        <f aca="false">IF(Lang="Français","Rayon intérieur","Half-diameter int")</f>
        <v>Rayon intérieur</v>
      </c>
      <c r="D52" s="240"/>
    </row>
    <row r="53" customFormat="false" ht="12.75" hidden="false" customHeight="false" outlineLevel="0" collapsed="false">
      <c r="A53" s="239"/>
      <c r="B53" s="256" t="n">
        <v>75</v>
      </c>
      <c r="D53" s="240"/>
    </row>
    <row r="54" customFormat="false" ht="12.75" hidden="false" customHeight="false" outlineLevel="0" collapsed="false">
      <c r="A54" s="239"/>
      <c r="B54" s="177" t="s">
        <v>167</v>
      </c>
      <c r="D54" s="240"/>
    </row>
    <row r="55" customFormat="false" ht="12.75" hidden="false" customHeight="false" outlineLevel="0" collapsed="false">
      <c r="A55" s="239"/>
      <c r="B55" s="259" t="n">
        <f aca="false">PI()*(B51^2-B53^2)/10^6</f>
        <v>1.99294783962103</v>
      </c>
      <c r="D55" s="240"/>
    </row>
    <row r="56" customFormat="false" ht="12.75" hidden="false" customHeight="false" outlineLevel="0" collapsed="false">
      <c r="A56" s="269"/>
      <c r="B56" s="270"/>
      <c r="C56" s="270"/>
      <c r="D56" s="271"/>
    </row>
    <row r="93" customFormat="false" ht="12.75" hidden="false" customHeight="false" outlineLevel="0" collapsed="false">
      <c r="B93" s="1" t="str">
        <f aca="false">IF(Lang="Français","Vitesse de descente sous parachute :",IF(Lang="English","Fall velocity over parachute:",""))</f>
        <v>Vitesse de descente sous parachute :</v>
      </c>
    </row>
    <row r="102" customFormat="false" ht="12.75" hidden="false" customHeight="false" outlineLevel="0" collapsed="false">
      <c r="B102" s="1" t="str">
        <f aca="false">IF(Lang="Français","Textes pour les listes déroulantes et graphiques :","Texts for drop-down lists &amp; graphics :")</f>
        <v>Textes pour les listes déroulantes et graphiques :</v>
      </c>
      <c r="F102" s="272" t="s">
        <v>165</v>
      </c>
      <c r="G102" s="145" t="s">
        <v>180</v>
      </c>
    </row>
    <row r="103" customFormat="false" ht="12.75" hidden="false" customHeight="false" outlineLevel="0" collapsed="false">
      <c r="F103" s="273" t="n">
        <f aca="false">Combustion+Depotage-9</f>
        <v>-9</v>
      </c>
      <c r="G103" s="157" t="s">
        <v>181</v>
      </c>
    </row>
    <row r="104" customFormat="false" ht="12.75" hidden="false" customHeight="false" outlineLevel="0" collapsed="false">
      <c r="B104" s="145" t="s">
        <v>164</v>
      </c>
      <c r="F104" s="273" t="n">
        <f aca="false">Combustion+Depotage-7</f>
        <v>-7</v>
      </c>
      <c r="G104" s="157" t="s">
        <v>182</v>
      </c>
    </row>
    <row r="105" customFormat="false" ht="12.75" hidden="false" customHeight="false" outlineLevel="0" collapsed="false">
      <c r="B105" s="145" t="s">
        <v>183</v>
      </c>
      <c r="F105" s="273" t="n">
        <f aca="false">Combustion+Depotage-5</f>
        <v>-5</v>
      </c>
      <c r="G105" s="157" t="s">
        <v>184</v>
      </c>
    </row>
    <row r="106" customFormat="false" ht="12.75" hidden="false" customHeight="false" outlineLevel="0" collapsed="false">
      <c r="B106" s="145" t="str">
        <f aca="false">IF(T_para&gt;0,IF(Lang="Français","Phase ascendante","Climbing phase"),"")</f>
        <v>Phase ascendante</v>
      </c>
      <c r="F106" s="273" t="n">
        <f aca="false">Combustion+Depotage-3</f>
        <v>-3</v>
      </c>
      <c r="G106" s="157" t="s">
        <v>185</v>
      </c>
    </row>
    <row r="107" customFormat="false" ht="12.75" hidden="false" customHeight="false" outlineLevel="0" collapsed="false">
      <c r="B107" s="145" t="str">
        <f aca="false">IF(Lang="Français","Descente balistique","Balistic fall")</f>
        <v>Descente balistique</v>
      </c>
      <c r="F107" s="273" t="n">
        <f aca="false">Combustion+Depotage</f>
        <v>0</v>
      </c>
      <c r="G107" s="157" t="s">
        <v>186</v>
      </c>
    </row>
    <row r="108" customFormat="false" ht="12.75" hidden="false" customHeight="false" outlineLevel="0" collapsed="false">
      <c r="B108" s="145" t="str">
        <f aca="false">IF(T_para&gt;0,IF(Lang="Français","Fusée sous parachute","Rocket under parachute"),"")</f>
        <v>Fusée sous parachute</v>
      </c>
      <c r="F108" s="274" t="str">
        <f aca="false">IF(Lang="Français","autre",IF(Lang="English","other",""))</f>
        <v>autre</v>
      </c>
    </row>
    <row r="109" customFormat="false" ht="12.75" hidden="false" customHeight="false" outlineLevel="0" collapsed="false">
      <c r="B109" s="145" t="str">
        <f aca="false">IF(AND(Nb_sat="1 satellite",T_satellite&gt;0),IF(Lang="Français","Satellite sous parachute","Satellite over parachute"),"")</f>
        <v/>
      </c>
    </row>
    <row r="110" customFormat="false" ht="12.75" hidden="false" customHeight="false" outlineLevel="0" collapsed="false">
      <c r="B110" s="145" t="str">
        <f aca="false">IF(Lang="Français","Trajectoire (x z)","Trajectory (x z)")</f>
        <v>Trajectoire (x z)</v>
      </c>
    </row>
    <row r="111" customFormat="false" ht="12.75" hidden="false" customHeight="false" outlineLevel="0" collapsed="false">
      <c r="B111" s="145" t="str">
        <f aca="false">IF(Lang="Français","Portée x [m]","Range x [m]")</f>
        <v>Portée x [m]</v>
      </c>
    </row>
    <row r="112" customFormat="false" ht="12.75" hidden="false" customHeight="false" outlineLevel="0" collapsed="false">
      <c r="B112" s="145" t="str">
        <f aca="false">IF(Lang="Français","Temps [s]","Time [s]")</f>
        <v>Temps [s]</v>
      </c>
    </row>
    <row r="113" customFormat="false" ht="12.75" hidden="false" customHeight="false" outlineLevel="0" collapsed="false">
      <c r="B113" s="145" t="str">
        <f aca="false">IF(Lang="Français","Altitude z  /  Temps","Altitude z  /  Time")</f>
        <v>Altitude z  /  Temps</v>
      </c>
      <c r="C113" s="275" t="n">
        <f aca="false">IF(OR(C25=F102,C25=F108),C26,C25)</f>
        <v>16</v>
      </c>
    </row>
    <row r="115" customFormat="false" ht="12.75" hidden="false" customHeight="false" outlineLevel="0" collapsed="false">
      <c r="B115" s="145" t="s">
        <v>187</v>
      </c>
    </row>
    <row r="117" customFormat="false" ht="12.75" hidden="false" customHeight="false" outlineLevel="0" collapsed="false">
      <c r="B117" s="1" t="str">
        <f aca="false">IF(Lang="Français","Données pour les graphiques :","Data for plots:")</f>
        <v>Données pour les graphiques :</v>
      </c>
      <c r="C117" s="276" t="s">
        <v>188</v>
      </c>
    </row>
    <row r="118" customFormat="false" ht="12.75" hidden="false" customHeight="false" outlineLevel="0" collapsed="false">
      <c r="C118" s="277" t="n">
        <f aca="false">MAX(Altitude_culmi,Portee_balistique)</f>
        <v>1190.7418963748</v>
      </c>
    </row>
    <row r="119" customFormat="false" ht="12.75" hidden="false" customHeight="false" outlineLevel="0" collapsed="false">
      <c r="B119" s="278" t="s">
        <v>188</v>
      </c>
    </row>
    <row r="120" customFormat="false" ht="12.75" hidden="false" customHeight="false" outlineLevel="0" collapsed="false">
      <c r="B120" s="279" t="n">
        <f aca="false">MAX(Altitude_culmi,Portee_balistique)</f>
        <v>1190.7418963748</v>
      </c>
      <c r="C120" s="276" t="s">
        <v>189</v>
      </c>
    </row>
    <row r="121" customFormat="false" ht="12.75" hidden="false" customHeight="false" outlineLevel="0" collapsed="false">
      <c r="C121" s="280" t="n">
        <f aca="false">Alt_para</f>
        <v>1183.5060755214</v>
      </c>
    </row>
    <row r="122" customFormat="false" ht="12.75" hidden="false" customHeight="false" outlineLevel="0" collapsed="false">
      <c r="B122" s="278" t="s">
        <v>190</v>
      </c>
      <c r="C122" s="280" t="n">
        <f aca="false">Alt_para/2</f>
        <v>591.7530377607</v>
      </c>
    </row>
    <row r="123" customFormat="false" ht="12.75" hidden="false" customHeight="false" outlineLevel="0" collapsed="false">
      <c r="B123" s="281" t="n">
        <f aca="false">X_para</f>
        <v>412.563390814028</v>
      </c>
      <c r="C123" s="280" t="n">
        <v>0</v>
      </c>
    </row>
    <row r="124" customFormat="false" ht="12.75" hidden="false" customHeight="false" outlineLevel="0" collapsed="false">
      <c r="B124" s="281" t="n">
        <f aca="false">X_para</f>
        <v>412.563390814028</v>
      </c>
      <c r="C124" s="280" t="n">
        <f aca="false">Alt_para/20</f>
        <v>59.17530377607</v>
      </c>
    </row>
    <row r="125" customFormat="false" ht="12.75" hidden="false" customHeight="false" outlineLevel="0" collapsed="false">
      <c r="B125" s="281" t="n">
        <f aca="false">X_para</f>
        <v>412.563390814028</v>
      </c>
      <c r="C125" s="280" t="n">
        <v>0</v>
      </c>
    </row>
    <row r="126" customFormat="false" ht="12.75" hidden="false" customHeight="false" outlineLevel="0" collapsed="false">
      <c r="B126" s="281" t="n">
        <f aca="false">X_para+Alt_para/40</f>
        <v>442.151042702063</v>
      </c>
      <c r="C126" s="280" t="n">
        <f aca="false">Alt_para/20</f>
        <v>59.17530377607</v>
      </c>
    </row>
    <row r="127" customFormat="false" ht="12.75" hidden="false" customHeight="false" outlineLevel="0" collapsed="false">
      <c r="B127" s="281" t="n">
        <f aca="false">X_para</f>
        <v>412.563390814028</v>
      </c>
      <c r="C127" s="282" t="n">
        <v>0</v>
      </c>
    </row>
    <row r="128" customFormat="false" ht="12.75" hidden="false" customHeight="false" outlineLevel="0" collapsed="false">
      <c r="B128" s="281" t="n">
        <f aca="false">X_para-Alt_para/40</f>
        <v>382.975738925993</v>
      </c>
      <c r="C128" s="276" t="s">
        <v>189</v>
      </c>
    </row>
    <row r="129" customFormat="false" ht="12.75" hidden="false" customHeight="false" outlineLevel="0" collapsed="false">
      <c r="B129" s="279" t="n">
        <f aca="false">X_para</f>
        <v>412.563390814028</v>
      </c>
      <c r="C129" s="280" t="n">
        <f aca="false">Alt_para</f>
        <v>1183.5060755214</v>
      </c>
      <c r="E129" s="283" t="n">
        <v>1</v>
      </c>
      <c r="F129" s="284" t="s">
        <v>191</v>
      </c>
    </row>
    <row r="130" customFormat="false" ht="12.75" hidden="false" customHeight="false" outlineLevel="0" collapsed="false">
      <c r="B130" s="278" t="s">
        <v>192</v>
      </c>
      <c r="C130" s="280" t="n">
        <f aca="false">(C129+C131)/2</f>
        <v>591.7530377607</v>
      </c>
      <c r="E130" s="239" t="n">
        <v>1</v>
      </c>
      <c r="F130" s="285" t="s">
        <v>193</v>
      </c>
    </row>
    <row r="131" customFormat="false" ht="12.75" hidden="false" customHeight="false" outlineLevel="0" collapsed="false">
      <c r="B131" s="286" t="n">
        <f aca="false">T_para</f>
        <v>16</v>
      </c>
      <c r="C131" s="280" t="n">
        <f aca="false">0</f>
        <v>0</v>
      </c>
      <c r="E131" s="239"/>
      <c r="F131" s="287" t="s">
        <v>194</v>
      </c>
    </row>
    <row r="132" customFormat="false" ht="12.75" hidden="false" customHeight="false" outlineLevel="0" collapsed="false">
      <c r="B132" s="286" t="n">
        <f aca="false">(B131+B133)/2</f>
        <v>87.7558350100312</v>
      </c>
      <c r="C132" s="280" t="n">
        <f aca="false">Alt_para-V_para*(H47-T_para)+E129*sS*Altitude_culmi/H47*zZ_fus+E130*sS/2*Altitude_culmi/H47*tT_fus</f>
        <v>34.7418033941344</v>
      </c>
      <c r="E132" s="288" t="s">
        <v>195</v>
      </c>
      <c r="F132" s="289" t="n">
        <f aca="false">T_balistique/10</f>
        <v>3.21000000000002</v>
      </c>
    </row>
    <row r="133" customFormat="false" ht="12.75" hidden="false" customHeight="false" outlineLevel="0" collapsed="false">
      <c r="B133" s="286" t="n">
        <f aca="false">H47</f>
        <v>159.511670020062</v>
      </c>
      <c r="C133" s="280" t="n">
        <f aca="false">Alt_para-V_para*(H47-T_para)</f>
        <v>0</v>
      </c>
      <c r="E133" s="288" t="s">
        <v>196</v>
      </c>
      <c r="F133" s="289" t="n">
        <f aca="false">(H47-T_para)/H47</f>
        <v>0.89969385940234</v>
      </c>
    </row>
    <row r="134" customFormat="false" ht="12.75" hidden="false" customHeight="false" outlineLevel="0" collapsed="false">
      <c r="B134" s="286" t="n">
        <f aca="false">H47+E129*sS/2*zZ_fus-E130*sS*tT_fus</f>
        <v>158.228652731381</v>
      </c>
      <c r="C134" s="280" t="n">
        <f aca="false">Alt_para-V_para*(H47-T_para)+E129*sS*Altitude_culmi/H47*zZ_fus-E130*sS/2*Altitude_culmi/H47*tT_fus</f>
        <v>13.1829846402757</v>
      </c>
      <c r="E134" s="290" t="s">
        <v>197</v>
      </c>
      <c r="F134" s="291" t="n">
        <f aca="false">V_para*(H47-T_para)/Alt_para</f>
        <v>1</v>
      </c>
    </row>
    <row r="135" customFormat="false" ht="12.75" hidden="false" customHeight="false" outlineLevel="0" collapsed="false">
      <c r="B135" s="286" t="n">
        <f aca="false">H47</f>
        <v>159.511670020062</v>
      </c>
      <c r="C135" s="277" t="n">
        <f aca="false">Alt_para-V_para*(H47-T_para)</f>
        <v>0</v>
      </c>
    </row>
    <row r="136" customFormat="false" ht="12.75" hidden="false" customHeight="false" outlineLevel="0" collapsed="false">
      <c r="B136" s="286" t="n">
        <f aca="false">H47-E129*sS/2*zZ_fus-E130*sS*tT_fus</f>
        <v>155.018652731381</v>
      </c>
    </row>
    <row r="137" customFormat="false" ht="12.75" hidden="false" customHeight="false" outlineLevel="0" collapsed="false">
      <c r="B137" s="292" t="n">
        <f aca="false">H47</f>
        <v>159.511670020062</v>
      </c>
      <c r="C137" s="276" t="s">
        <v>198</v>
      </c>
    </row>
    <row r="138" customFormat="false" ht="12.75" hidden="false" customHeight="false" outlineLevel="0" collapsed="false">
      <c r="C138" s="280" t="n">
        <f aca="false">IF(Nb_sat="1 satellite",Alt_sat)</f>
        <v>0</v>
      </c>
    </row>
    <row r="139" customFormat="false" ht="12.75" hidden="false" customHeight="false" outlineLevel="0" collapsed="false">
      <c r="B139" s="278" t="s">
        <v>199</v>
      </c>
      <c r="C139" s="280" t="n">
        <f aca="false">IF(Nb_sat="1 satellite",Alt_sat*1/4)</f>
        <v>0</v>
      </c>
    </row>
    <row r="140" customFormat="false" ht="12.75" hidden="false" customHeight="false" outlineLevel="0" collapsed="false">
      <c r="B140" s="281" t="n">
        <f aca="false">IF(Nb_sat="1 satellite",X_satellite)</f>
        <v>0</v>
      </c>
      <c r="C140" s="280" t="n">
        <f aca="false">IF(Nb_sat="1 satellite",0)</f>
        <v>0</v>
      </c>
    </row>
    <row r="141" customFormat="false" ht="12.75" hidden="false" customHeight="false" outlineLevel="0" collapsed="false">
      <c r="B141" s="281" t="n">
        <f aca="false">IF(Nb_sat="1 satellite",X_satellite)</f>
        <v>0</v>
      </c>
      <c r="C141" s="280" t="n">
        <f aca="false">IF(Nb_sat="1 satellite",Alt_sat/20)</f>
        <v>0</v>
      </c>
    </row>
    <row r="142" customFormat="false" ht="12.75" hidden="false" customHeight="false" outlineLevel="0" collapsed="false">
      <c r="B142" s="281" t="n">
        <f aca="false">IF(Nb_sat="1 satellite",X_satellite)</f>
        <v>0</v>
      </c>
      <c r="C142" s="280" t="n">
        <f aca="false">IF(Nb_sat="1 satellite",0)</f>
        <v>0</v>
      </c>
    </row>
    <row r="143" customFormat="false" ht="12.75" hidden="false" customHeight="false" outlineLevel="0" collapsed="false">
      <c r="B143" s="281" t="n">
        <f aca="false">IF(Nb_sat="1 satellite",X_satellite+Alt_sat/40)</f>
        <v>0</v>
      </c>
      <c r="C143" s="280" t="n">
        <f aca="false">IF(Nb_sat="1 satellite",Alt_sat/20)</f>
        <v>0</v>
      </c>
    </row>
    <row r="144" customFormat="false" ht="12.75" hidden="false" customHeight="false" outlineLevel="0" collapsed="false">
      <c r="B144" s="281" t="n">
        <f aca="false">IF(Nb_sat="1 satellite",X_satellite)</f>
        <v>0</v>
      </c>
      <c r="C144" s="280" t="n">
        <f aca="false">IF(Nb_sat="1 satellite",0)</f>
        <v>0</v>
      </c>
    </row>
    <row r="145" customFormat="false" ht="12.75" hidden="false" customHeight="false" outlineLevel="0" collapsed="false">
      <c r="B145" s="281" t="n">
        <f aca="false">IF(Nb_sat="1 satellite",X_satellite-Alt_sat/40)</f>
        <v>0</v>
      </c>
      <c r="C145" s="276" t="s">
        <v>198</v>
      </c>
    </row>
    <row r="146" customFormat="false" ht="12.75" hidden="false" customHeight="false" outlineLevel="0" collapsed="false">
      <c r="B146" s="279" t="n">
        <f aca="false">IF(Nb_sat="1 satellite",X_satellite)</f>
        <v>0</v>
      </c>
      <c r="C146" s="280" t="n">
        <f aca="false">IF(Nb_sat="1 satellite",Alt_sat)</f>
        <v>0</v>
      </c>
      <c r="D146" s="272"/>
    </row>
    <row r="147" customFormat="false" ht="12.75" hidden="false" customHeight="false" outlineLevel="0" collapsed="false">
      <c r="B147" s="278" t="s">
        <v>200</v>
      </c>
      <c r="C147" s="280" t="n">
        <f aca="false">(C146+C148)/2</f>
        <v>0</v>
      </c>
      <c r="D147" s="272"/>
    </row>
    <row r="148" customFormat="false" ht="12.75" hidden="false" customHeight="false" outlineLevel="0" collapsed="false">
      <c r="B148" s="286" t="n">
        <f aca="false">IF(Nb_sat="1 satellite",T_satellite)</f>
        <v>0</v>
      </c>
      <c r="C148" s="280" t="n">
        <f aca="false">IF(Nb_sat="1 satellite",0)</f>
        <v>0</v>
      </c>
    </row>
    <row r="149" customFormat="false" ht="12.75" hidden="false" customHeight="false" outlineLevel="0" collapsed="false">
      <c r="B149" s="286" t="n">
        <f aca="false">(B148+B150)/2</f>
        <v>0</v>
      </c>
      <c r="C149" s="280" t="n">
        <f aca="false">IF(Nb_sat="1 satellite",Alt_sat-V_satellite*(H49-T_satellite)+E129*sS*Altitude_culmi/H49*zZ_sat+E130*sS/2*Altitude_culmi/H49*tT_sat)</f>
        <v>0</v>
      </c>
      <c r="D149" s="272"/>
    </row>
    <row r="150" customFormat="false" ht="12.75" hidden="false" customHeight="false" outlineLevel="0" collapsed="false">
      <c r="B150" s="286" t="n">
        <f aca="false">IF(Nb_sat="1 satellite",H49)</f>
        <v>0</v>
      </c>
      <c r="C150" s="280" t="n">
        <f aca="false">IF(Nb_sat="1 satellite",0)</f>
        <v>0</v>
      </c>
      <c r="E150" s="293" t="s">
        <v>196</v>
      </c>
      <c r="F150" s="294" t="n">
        <f aca="false">(T_balistique-T_satellite)/T_balistique</f>
        <v>0.890965732087228</v>
      </c>
    </row>
    <row r="151" customFormat="false" ht="12.75" hidden="false" customHeight="false" outlineLevel="0" collapsed="false">
      <c r="B151" s="286" t="n">
        <f aca="false">IF(Nb_sat="1 satellite",H49+E129*sS/2*zZ_sat-E130*sS*tT_sat)</f>
        <v>0</v>
      </c>
      <c r="C151" s="280" t="n">
        <f aca="false">IF(Nb_sat="1 satellite",Alt_sat-V_satellite*(H49-T_satellite)+E129*sS*Altitude_culmi/H49*zZ_sat-E130*sS/2*Altitude_culmi/H49*tT_sat)</f>
        <v>0</v>
      </c>
      <c r="E151" s="290" t="s">
        <v>197</v>
      </c>
      <c r="F151" s="291" t="n">
        <f aca="false">V_satellite*(T_balistique-T_satellite)/Alt_sat</f>
        <v>0.758119013611983</v>
      </c>
    </row>
    <row r="152" customFormat="false" ht="12.75" hidden="false" customHeight="false" outlineLevel="0" collapsed="false">
      <c r="B152" s="286" t="n">
        <f aca="false">IF(Nb_sat="1 satellite",H49)</f>
        <v>0</v>
      </c>
      <c r="C152" s="277" t="n">
        <f aca="false">IF(Nb_sat="1 satellite",0)</f>
        <v>0</v>
      </c>
    </row>
    <row r="153" customFormat="false" ht="12.75" hidden="false" customHeight="false" outlineLevel="0" collapsed="false">
      <c r="B153" s="286" t="n">
        <f aca="false">IF(Nb_sat="1 satellite",H49-sS/2*zZ_sat-E130*sS*tT_sat)</f>
        <v>0</v>
      </c>
    </row>
    <row r="154" customFormat="false" ht="12.75" hidden="false" customHeight="false" outlineLevel="0" collapsed="false">
      <c r="B154" s="292" t="n">
        <f aca="false">IF(Nb_sat="1 satellite",H49)</f>
        <v>0</v>
      </c>
      <c r="C154" s="295" t="s">
        <v>201</v>
      </c>
      <c r="D154" s="276" t="s">
        <v>202</v>
      </c>
    </row>
    <row r="155" customFormat="false" ht="12.75" hidden="false" customHeight="false" outlineLevel="0" collapsed="false">
      <c r="C155" s="296" t="n">
        <f aca="false">Alt_para/2</f>
        <v>591.7530377607</v>
      </c>
      <c r="D155" s="280" t="n">
        <f aca="false">X_para/4</f>
        <v>103.140847703507</v>
      </c>
    </row>
    <row r="156" customFormat="false" ht="12.75" hidden="false" customHeight="false" outlineLevel="0" collapsed="false">
      <c r="B156" s="278" t="s">
        <v>203</v>
      </c>
      <c r="C156" s="297" t="n">
        <f aca="false">Altitude_culmi/2</f>
        <v>595.370948187399</v>
      </c>
      <c r="D156" s="277" t="n">
        <f aca="false">X_culmi+(Portee_balistique-X_culmi)*2/3</f>
        <v>588.654841557749</v>
      </c>
    </row>
    <row r="157" customFormat="false" ht="12.75" hidden="false" customHeight="false" outlineLevel="0" collapsed="false">
      <c r="B157" s="298" t="n">
        <f aca="false">T_para/4</f>
        <v>4</v>
      </c>
    </row>
    <row r="158" customFormat="false" ht="12.75" hidden="false" customHeight="false" outlineLevel="0" collapsed="false">
      <c r="B158" s="299" t="n">
        <f aca="false">Temps_culmi + (T_balistique-Temps_culmi)/2</f>
        <v>23.4000000000001</v>
      </c>
      <c r="C158" s="295" t="s">
        <v>204</v>
      </c>
      <c r="D158" s="300" t="s">
        <v>205</v>
      </c>
      <c r="E158" s="300"/>
      <c r="F158" s="301" t="s">
        <v>205</v>
      </c>
    </row>
    <row r="159" customFormat="false" ht="12.75" hidden="false" customHeight="false" outlineLevel="0" collapsed="false">
      <c r="C159" s="157" t="n">
        <v>0</v>
      </c>
      <c r="D159" s="296" t="n">
        <f aca="false">X_culmi+C159</f>
        <v>384.107539362574</v>
      </c>
      <c r="E159" s="296"/>
      <c r="F159" s="280" t="n">
        <f aca="false">X_culmi-C159</f>
        <v>384.107539362574</v>
      </c>
    </row>
    <row r="160" customFormat="false" ht="12.75" hidden="false" customHeight="false" outlineLevel="0" collapsed="false">
      <c r="B160" s="278" t="s">
        <v>206</v>
      </c>
      <c r="C160" s="157" t="n">
        <v>23</v>
      </c>
      <c r="D160" s="296" t="n">
        <f aca="false">X_culmi+C160</f>
        <v>407.107539362574</v>
      </c>
      <c r="E160" s="296"/>
      <c r="F160" s="280" t="n">
        <f aca="false">X_culmi-C160</f>
        <v>361.107539362574</v>
      </c>
    </row>
    <row r="161" customFormat="false" ht="12.75" hidden="false" customHeight="false" outlineLevel="0" collapsed="false">
      <c r="B161" s="298" t="e">
        <f aca="false">IF(AND(Altitude_culmi&gt;80, Altitude_culmi&lt;=350), 49, NA())</f>
        <v>#N/A</v>
      </c>
      <c r="C161" s="157" t="n">
        <v>23</v>
      </c>
      <c r="D161" s="296" t="n">
        <f aca="false">X_culmi+C161</f>
        <v>407.107539362574</v>
      </c>
      <c r="E161" s="296"/>
      <c r="F161" s="280" t="n">
        <f aca="false">X_culmi-C161</f>
        <v>361.107539362574</v>
      </c>
    </row>
    <row r="162" customFormat="false" ht="12.75" hidden="false" customHeight="false" outlineLevel="0" collapsed="false">
      <c r="B162" s="298" t="e">
        <f aca="false">IF(AND(Altitude_culmi&gt;80, Altitude_culmi&lt;=350), 49, NA())</f>
        <v>#N/A</v>
      </c>
      <c r="C162" s="157" t="n">
        <v>0</v>
      </c>
      <c r="D162" s="296" t="n">
        <f aca="false">X_culmi+C162</f>
        <v>384.107539362574</v>
      </c>
      <c r="E162" s="296"/>
      <c r="F162" s="280" t="n">
        <f aca="false">X_culmi-C162</f>
        <v>384.107539362574</v>
      </c>
    </row>
    <row r="163" customFormat="false" ht="12.75" hidden="false" customHeight="false" outlineLevel="0" collapsed="false">
      <c r="B163" s="298" t="e">
        <f aca="false">IF(AND(Altitude_culmi&gt;80, Altitude_culmi&lt;=350), 43, NA())</f>
        <v>#N/A</v>
      </c>
      <c r="C163" s="157" t="n">
        <v>23</v>
      </c>
      <c r="D163" s="296" t="n">
        <f aca="false">X_culmi+C163</f>
        <v>407.107539362574</v>
      </c>
      <c r="E163" s="296"/>
      <c r="F163" s="280" t="n">
        <f aca="false">X_culmi-C163</f>
        <v>361.107539362574</v>
      </c>
    </row>
    <row r="164" customFormat="false" ht="12.75" hidden="false" customHeight="false" outlineLevel="0" collapsed="false">
      <c r="B164" s="298" t="e">
        <f aca="false">IF(AND(Altitude_culmi&gt;80, Altitude_culmi&lt;=350), 43, NA())</f>
        <v>#N/A</v>
      </c>
      <c r="C164" s="157" t="n">
        <v>23</v>
      </c>
      <c r="D164" s="296" t="n">
        <f aca="false">X_culmi+C164</f>
        <v>407.107539362574</v>
      </c>
      <c r="E164" s="296"/>
      <c r="F164" s="280" t="n">
        <f aca="false">X_culmi-C164</f>
        <v>361.107539362574</v>
      </c>
    </row>
    <row r="165" customFormat="false" ht="12.75" hidden="false" customHeight="false" outlineLevel="0" collapsed="false">
      <c r="B165" s="298" t="e">
        <f aca="false">IF(AND(Altitude_culmi&gt;80, Altitude_culmi&lt;=350), 43, NA())</f>
        <v>#N/A</v>
      </c>
      <c r="C165" s="157" t="n">
        <v>8</v>
      </c>
      <c r="D165" s="296" t="n">
        <f aca="false">X_culmi+C165</f>
        <v>392.107539362574</v>
      </c>
      <c r="E165" s="296"/>
      <c r="F165" s="280" t="n">
        <f aca="false">X_culmi-C165</f>
        <v>376.107539362574</v>
      </c>
    </row>
    <row r="166" customFormat="false" ht="12.75" hidden="false" customHeight="false" outlineLevel="0" collapsed="false">
      <c r="B166" s="298" t="e">
        <f aca="false">IF(AND(Altitude_culmi&gt;80, Altitude_culmi&lt;=350), 0.5, NA())</f>
        <v>#N/A</v>
      </c>
      <c r="C166" s="157" t="n">
        <v>8</v>
      </c>
      <c r="D166" s="296" t="n">
        <f aca="false">X_culmi+C166</f>
        <v>392.107539362574</v>
      </c>
      <c r="E166" s="296"/>
      <c r="F166" s="280" t="n">
        <f aca="false">X_culmi-C166</f>
        <v>376.107539362574</v>
      </c>
    </row>
    <row r="167" customFormat="false" ht="12.75" hidden="false" customHeight="false" outlineLevel="0" collapsed="false">
      <c r="B167" s="298" t="e">
        <f aca="false">IF(AND(Altitude_culmi&gt;80, Altitude_culmi&lt;=350), 0.5, NA())</f>
        <v>#N/A</v>
      </c>
      <c r="C167" s="157" t="n">
        <v>23</v>
      </c>
      <c r="D167" s="296" t="n">
        <f aca="false">X_culmi+C167</f>
        <v>407.107539362574</v>
      </c>
      <c r="E167" s="296"/>
      <c r="F167" s="280" t="n">
        <f aca="false">X_culmi-C167</f>
        <v>361.107539362574</v>
      </c>
    </row>
    <row r="168" customFormat="false" ht="12.75" hidden="false" customHeight="false" outlineLevel="0" collapsed="false">
      <c r="B168" s="298" t="e">
        <f aca="false">IF(AND(Altitude_culmi&gt;80, Altitude_culmi&lt;=350), 27, NA())</f>
        <v>#N/A</v>
      </c>
      <c r="C168" s="157" t="n">
        <v>8</v>
      </c>
      <c r="D168" s="296" t="n">
        <f aca="false">X_culmi+C168</f>
        <v>392.107539362574</v>
      </c>
      <c r="E168" s="296"/>
      <c r="F168" s="280" t="n">
        <f aca="false">X_culmi-C168</f>
        <v>376.107539362574</v>
      </c>
    </row>
    <row r="169" customFormat="false" ht="12.75" hidden="false" customHeight="false" outlineLevel="0" collapsed="false">
      <c r="B169" s="298" t="e">
        <f aca="false">IF(AND(Altitude_culmi&gt;80, Altitude_culmi&lt;=350), 27, NA())</f>
        <v>#N/A</v>
      </c>
      <c r="C169" s="157" t="n">
        <v>7.6</v>
      </c>
      <c r="D169" s="296" t="n">
        <f aca="false">X_culmi+C169</f>
        <v>391.707539362574</v>
      </c>
      <c r="E169" s="296"/>
      <c r="F169" s="280" t="n">
        <f aca="false">X_culmi-C169</f>
        <v>376.507539362574</v>
      </c>
    </row>
    <row r="170" customFormat="false" ht="12.75" hidden="false" customHeight="false" outlineLevel="0" collapsed="false">
      <c r="B170" s="298" t="e">
        <f aca="false">IF(AND(Altitude_culmi&gt;80, Altitude_culmi&lt;=350), 27, NA())</f>
        <v>#N/A</v>
      </c>
      <c r="C170" s="157" t="n">
        <v>6.8</v>
      </c>
      <c r="D170" s="296" t="n">
        <f aca="false">X_culmi+C170</f>
        <v>390.907539362574</v>
      </c>
      <c r="E170" s="296"/>
      <c r="F170" s="280" t="n">
        <f aca="false">X_culmi-C170</f>
        <v>377.307539362574</v>
      </c>
    </row>
    <row r="171" customFormat="false" ht="12.75" hidden="false" customHeight="false" outlineLevel="0" collapsed="false">
      <c r="B171" s="298" t="e">
        <f aca="false">IF(AND(Altitude_culmi&gt;80, Altitude_culmi&lt;=350), 29, NA())</f>
        <v>#N/A</v>
      </c>
      <c r="C171" s="157" t="n">
        <v>6</v>
      </c>
      <c r="D171" s="296" t="n">
        <f aca="false">X_culmi+C171</f>
        <v>390.107539362574</v>
      </c>
      <c r="E171" s="296"/>
      <c r="F171" s="280" t="n">
        <f aca="false">X_culmi-C171</f>
        <v>378.107539362574</v>
      </c>
    </row>
    <row r="172" customFormat="false" ht="12.75" hidden="false" customHeight="false" outlineLevel="0" collapsed="false">
      <c r="B172" s="298" t="e">
        <f aca="false">IF(AND(Altitude_culmi&gt;80, Altitude_culmi&lt;=350), 31, NA())</f>
        <v>#N/A</v>
      </c>
      <c r="C172" s="157" t="n">
        <v>5</v>
      </c>
      <c r="D172" s="296" t="n">
        <f aca="false">X_culmi+C172</f>
        <v>389.107539362574</v>
      </c>
      <c r="E172" s="296"/>
      <c r="F172" s="280" t="n">
        <f aca="false">X_culmi-C172</f>
        <v>379.107539362574</v>
      </c>
    </row>
    <row r="173" customFormat="false" ht="12.75" hidden="false" customHeight="false" outlineLevel="0" collapsed="false">
      <c r="B173" s="298" t="e">
        <f aca="false">IF(AND(Altitude_culmi&gt;80, Altitude_culmi&lt;=350), 32, NA())</f>
        <v>#N/A</v>
      </c>
      <c r="C173" s="157" t="n">
        <v>3.8</v>
      </c>
      <c r="D173" s="296" t="n">
        <f aca="false">X_culmi+C173</f>
        <v>387.907539362574</v>
      </c>
      <c r="E173" s="296"/>
      <c r="F173" s="280" t="n">
        <f aca="false">X_culmi-C173</f>
        <v>380.307539362574</v>
      </c>
    </row>
    <row r="174" customFormat="false" ht="12.75" hidden="false" customHeight="false" outlineLevel="0" collapsed="false">
      <c r="B174" s="298" t="e">
        <f aca="false">IF(AND(Altitude_culmi&gt;80, Altitude_culmi&lt;=350), 33, NA())</f>
        <v>#N/A</v>
      </c>
      <c r="C174" s="302" t="n">
        <v>0</v>
      </c>
      <c r="D174" s="297" t="n">
        <f aca="false">X_culmi+C174</f>
        <v>384.107539362574</v>
      </c>
      <c r="E174" s="297"/>
      <c r="F174" s="277" t="n">
        <f aca="false">X_culmi-C174</f>
        <v>384.107539362574</v>
      </c>
    </row>
    <row r="175" customFormat="false" ht="12.75" hidden="false" customHeight="false" outlineLevel="0" collapsed="false">
      <c r="B175" s="298" t="e">
        <f aca="false">IF(AND(Altitude_culmi&gt;80, Altitude_culmi&lt;=350), 34, NA())</f>
        <v>#N/A</v>
      </c>
    </row>
    <row r="176" customFormat="false" ht="12.75" hidden="false" customHeight="false" outlineLevel="0" collapsed="false">
      <c r="B176" s="299" t="e">
        <f aca="false">IF(AND(Altitude_culmi&gt;80, Altitude_culmi&lt;=350), 35, NA())</f>
        <v>#N/A</v>
      </c>
      <c r="C176" s="295" t="s">
        <v>207</v>
      </c>
      <c r="D176" s="295" t="s">
        <v>208</v>
      </c>
      <c r="E176" s="295"/>
      <c r="F176" s="276" t="s">
        <v>208</v>
      </c>
    </row>
    <row r="177" customFormat="false" ht="12.75" hidden="false" customHeight="false" outlineLevel="0" collapsed="false">
      <c r="C177" s="157" t="n">
        <v>0</v>
      </c>
      <c r="D177" s="296" t="n">
        <f aca="false">X_culmi+C177</f>
        <v>384.107539362574</v>
      </c>
      <c r="E177" s="296"/>
      <c r="F177" s="280" t="n">
        <f aca="false">X_culmi-C177</f>
        <v>384.107539362574</v>
      </c>
    </row>
    <row r="178" customFormat="false" ht="12.75" hidden="false" customHeight="false" outlineLevel="0" collapsed="false">
      <c r="B178" s="278" t="s">
        <v>209</v>
      </c>
      <c r="C178" s="157" t="n">
        <v>0</v>
      </c>
      <c r="D178" s="296" t="n">
        <f aca="false">X_culmi+C178</f>
        <v>384.107539362574</v>
      </c>
      <c r="E178" s="296"/>
      <c r="F178" s="280" t="n">
        <f aca="false">X_culmi-C178</f>
        <v>384.107539362574</v>
      </c>
    </row>
    <row r="179" customFormat="false" ht="12.75" hidden="false" customHeight="false" outlineLevel="0" collapsed="false">
      <c r="B179" s="298" t="n">
        <f aca="false">IF(Altitude_culmi&gt;350, 324, NA())</f>
        <v>324</v>
      </c>
      <c r="C179" s="157" t="n">
        <v>10</v>
      </c>
      <c r="D179" s="296" t="n">
        <f aca="false">X_culmi+C179</f>
        <v>394.107539362574</v>
      </c>
      <c r="E179" s="296"/>
      <c r="F179" s="280" t="n">
        <f aca="false">X_culmi-C179</f>
        <v>374.107539362574</v>
      </c>
    </row>
    <row r="180" customFormat="false" ht="12.75" hidden="false" customHeight="false" outlineLevel="0" collapsed="false">
      <c r="B180" s="298" t="n">
        <f aca="false">IF(Altitude_culmi&gt;350, 300, NA())</f>
        <v>300</v>
      </c>
      <c r="C180" s="157" t="n">
        <v>0</v>
      </c>
      <c r="D180" s="296" t="n">
        <f aca="false">X_culmi+C180</f>
        <v>384.107539362574</v>
      </c>
      <c r="E180" s="296"/>
      <c r="F180" s="280" t="n">
        <f aca="false">X_culmi-C180</f>
        <v>384.107539362574</v>
      </c>
    </row>
    <row r="181" customFormat="false" ht="12.75" hidden="false" customHeight="false" outlineLevel="0" collapsed="false">
      <c r="B181" s="298" t="n">
        <f aca="false">IF(Altitude_culmi&gt;350, 280, NA())</f>
        <v>280</v>
      </c>
      <c r="C181" s="157" t="n">
        <v>10</v>
      </c>
      <c r="D181" s="296" t="n">
        <f aca="false">X_culmi+C181</f>
        <v>394.107539362574</v>
      </c>
      <c r="E181" s="296"/>
      <c r="F181" s="280" t="n">
        <f aca="false">X_culmi-C181</f>
        <v>374.107539362574</v>
      </c>
    </row>
    <row r="182" customFormat="false" ht="12.75" hidden="false" customHeight="false" outlineLevel="0" collapsed="false">
      <c r="B182" s="298" t="n">
        <f aca="false">IF(Altitude_culmi&gt;350, 280, NA())</f>
        <v>280</v>
      </c>
      <c r="C182" s="157" t="n">
        <v>13</v>
      </c>
      <c r="D182" s="296" t="n">
        <f aca="false">X_culmi+C182</f>
        <v>397.107539362574</v>
      </c>
      <c r="E182" s="296"/>
      <c r="F182" s="280" t="n">
        <f aca="false">X_culmi-C182</f>
        <v>371.107539362574</v>
      </c>
    </row>
    <row r="183" customFormat="false" ht="12.75" hidden="false" customHeight="false" outlineLevel="0" collapsed="false">
      <c r="B183" s="298" t="n">
        <f aca="false">IF(Altitude_culmi&gt;350, 280, NA())</f>
        <v>280</v>
      </c>
      <c r="C183" s="157" t="n">
        <v>17</v>
      </c>
      <c r="D183" s="296" t="n">
        <f aca="false">X_culmi+C183</f>
        <v>401.107539362574</v>
      </c>
      <c r="E183" s="296"/>
      <c r="F183" s="280" t="n">
        <f aca="false">X_culmi-C183</f>
        <v>367.107539362574</v>
      </c>
    </row>
    <row r="184" customFormat="false" ht="12.75" hidden="false" customHeight="false" outlineLevel="0" collapsed="false">
      <c r="B184" s="298" t="n">
        <f aca="false">IF(Altitude_culmi&gt;350, 200, NA())</f>
        <v>200</v>
      </c>
      <c r="C184" s="157" t="n">
        <v>20</v>
      </c>
      <c r="D184" s="296" t="n">
        <f aca="false">X_culmi+C184</f>
        <v>404.107539362574</v>
      </c>
      <c r="E184" s="296"/>
      <c r="F184" s="280" t="n">
        <f aca="false">X_culmi-C184</f>
        <v>364.107539362574</v>
      </c>
    </row>
    <row r="185" customFormat="false" ht="12.75" hidden="false" customHeight="false" outlineLevel="0" collapsed="false">
      <c r="B185" s="298" t="n">
        <f aca="false">IF(Altitude_culmi&gt;350, 160, NA())</f>
        <v>160</v>
      </c>
      <c r="C185" s="157" t="n">
        <v>25</v>
      </c>
      <c r="D185" s="296" t="n">
        <f aca="false">X_culmi+C185</f>
        <v>409.107539362574</v>
      </c>
      <c r="E185" s="296"/>
      <c r="F185" s="280" t="n">
        <f aca="false">X_culmi-C185</f>
        <v>359.107539362574</v>
      </c>
    </row>
    <row r="186" customFormat="false" ht="12.75" hidden="false" customHeight="false" outlineLevel="0" collapsed="false">
      <c r="B186" s="298" t="n">
        <f aca="false">IF(Altitude_culmi&gt;350, 115, NA())</f>
        <v>115</v>
      </c>
      <c r="C186" s="157" t="n">
        <v>30</v>
      </c>
      <c r="D186" s="296" t="n">
        <f aca="false">X_culmi+C186</f>
        <v>414.107539362574</v>
      </c>
      <c r="E186" s="296"/>
      <c r="F186" s="280" t="n">
        <f aca="false">X_culmi-C186</f>
        <v>354.107539362574</v>
      </c>
    </row>
    <row r="187" customFormat="false" ht="12.75" hidden="false" customHeight="false" outlineLevel="0" collapsed="false">
      <c r="B187" s="298" t="n">
        <f aca="false">IF(Altitude_culmi&gt;350, 90, NA())</f>
        <v>90</v>
      </c>
      <c r="C187" s="157" t="n">
        <v>36</v>
      </c>
      <c r="D187" s="296" t="n">
        <f aca="false">X_culmi+C187</f>
        <v>420.107539362574</v>
      </c>
      <c r="E187" s="296"/>
      <c r="F187" s="280" t="n">
        <f aca="false">X_culmi-C187</f>
        <v>348.107539362574</v>
      </c>
    </row>
    <row r="188" customFormat="false" ht="12.75" hidden="false" customHeight="false" outlineLevel="0" collapsed="false">
      <c r="B188" s="298" t="n">
        <f aca="false">IF(Altitude_culmi&gt;350, 57, NA())</f>
        <v>57</v>
      </c>
      <c r="C188" s="157" t="n">
        <v>48</v>
      </c>
      <c r="D188" s="296" t="n">
        <f aca="false">X_culmi+C188</f>
        <v>432.107539362574</v>
      </c>
      <c r="E188" s="296"/>
      <c r="F188" s="280" t="n">
        <f aca="false">X_culmi-C188</f>
        <v>336.107539362574</v>
      </c>
    </row>
    <row r="189" customFormat="false" ht="12.75" hidden="false" customHeight="false" outlineLevel="0" collapsed="false">
      <c r="B189" s="298" t="n">
        <f aca="false">IF(Altitude_culmi&gt;350, 40, NA())</f>
        <v>40</v>
      </c>
      <c r="C189" s="157" t="n">
        <v>62</v>
      </c>
      <c r="D189" s="296" t="n">
        <f aca="false">X_culmi+C189</f>
        <v>446.107539362574</v>
      </c>
      <c r="E189" s="296"/>
      <c r="F189" s="280" t="n">
        <f aca="false">X_culmi-C189</f>
        <v>322.107539362574</v>
      </c>
    </row>
    <row r="190" customFormat="false" ht="12.75" hidden="false" customHeight="false" outlineLevel="0" collapsed="false">
      <c r="B190" s="298" t="n">
        <f aca="false">IF(Altitude_culmi&gt;350, 20, NA())</f>
        <v>20</v>
      </c>
      <c r="C190" s="157" t="n">
        <v>37</v>
      </c>
      <c r="D190" s="296" t="n">
        <f aca="false">X_culmi+C190</f>
        <v>421.107539362574</v>
      </c>
      <c r="E190" s="296"/>
      <c r="F190" s="280" t="n">
        <f aca="false">X_culmi-C190</f>
        <v>347.107539362574</v>
      </c>
    </row>
    <row r="191" customFormat="false" ht="12.75" hidden="false" customHeight="false" outlineLevel="0" collapsed="false">
      <c r="B191" s="298" t="n">
        <f aca="false">IF(Altitude_culmi&gt;350, 0.5, NA())</f>
        <v>0.5</v>
      </c>
      <c r="C191" s="157" t="n">
        <v>30</v>
      </c>
      <c r="D191" s="296" t="n">
        <f aca="false">X_culmi+C191</f>
        <v>414.107539362574</v>
      </c>
      <c r="E191" s="296"/>
      <c r="F191" s="280" t="n">
        <f aca="false">X_culmi-C191</f>
        <v>354.107539362574</v>
      </c>
    </row>
    <row r="192" customFormat="false" ht="12.75" hidden="false" customHeight="false" outlineLevel="0" collapsed="false">
      <c r="B192" s="298" t="n">
        <f aca="false">IF(Altitude_culmi&gt;350, 0.5, NA())</f>
        <v>0.5</v>
      </c>
      <c r="C192" s="157" t="n">
        <v>15</v>
      </c>
      <c r="D192" s="296" t="n">
        <f aca="false">X_culmi+C192</f>
        <v>399.107539362574</v>
      </c>
      <c r="E192" s="296"/>
      <c r="F192" s="280" t="n">
        <f aca="false">X_culmi-C192</f>
        <v>369.107539362574</v>
      </c>
    </row>
    <row r="193" customFormat="false" ht="12.75" hidden="false" customHeight="false" outlineLevel="0" collapsed="false">
      <c r="B193" s="298" t="n">
        <f aca="false">IF(Altitude_culmi&gt;350, 15, NA())</f>
        <v>15</v>
      </c>
      <c r="C193" s="157" t="n">
        <v>0</v>
      </c>
      <c r="D193" s="296" t="n">
        <f aca="false">X_culmi+C193</f>
        <v>384.107539362574</v>
      </c>
      <c r="E193" s="296"/>
      <c r="F193" s="280" t="n">
        <f aca="false">X_culmi-C193</f>
        <v>384.107539362574</v>
      </c>
    </row>
    <row r="194" customFormat="false" ht="12.75" hidden="false" customHeight="false" outlineLevel="0" collapsed="false">
      <c r="B194" s="298" t="n">
        <f aca="false">IF(Altitude_culmi&gt;350, 30, NA())</f>
        <v>30</v>
      </c>
      <c r="C194" s="157" t="n">
        <v>0</v>
      </c>
      <c r="D194" s="296" t="n">
        <f aca="false">X_culmi+C194</f>
        <v>384.107539362574</v>
      </c>
      <c r="E194" s="296"/>
      <c r="F194" s="280" t="n">
        <f aca="false">X_culmi-C194</f>
        <v>384.107539362574</v>
      </c>
    </row>
    <row r="195" customFormat="false" ht="12.75" hidden="false" customHeight="false" outlineLevel="0" collapsed="false">
      <c r="B195" s="298" t="n">
        <f aca="false">IF(Altitude_culmi&gt;350, 37, NA())</f>
        <v>37</v>
      </c>
      <c r="C195" s="157" t="n">
        <v>17</v>
      </c>
      <c r="D195" s="296" t="n">
        <f aca="false">X_culmi+C195</f>
        <v>401.107539362574</v>
      </c>
      <c r="E195" s="296"/>
      <c r="F195" s="280" t="n">
        <f aca="false">X_culmi-C195</f>
        <v>367.107539362574</v>
      </c>
    </row>
    <row r="196" customFormat="false" ht="12.75" hidden="false" customHeight="false" outlineLevel="0" collapsed="false">
      <c r="B196" s="298" t="n">
        <f aca="false">IF(Altitude_culmi&gt;350, 67, NA())</f>
        <v>67</v>
      </c>
      <c r="C196" s="157" t="n">
        <v>11</v>
      </c>
      <c r="D196" s="296" t="n">
        <f aca="false">X_culmi+C196</f>
        <v>395.107539362574</v>
      </c>
      <c r="E196" s="296"/>
      <c r="F196" s="280" t="n">
        <f aca="false">X_culmi-C196</f>
        <v>373.107539362574</v>
      </c>
    </row>
    <row r="197" customFormat="false" ht="12.75" hidden="false" customHeight="false" outlineLevel="0" collapsed="false">
      <c r="B197" s="298" t="n">
        <f aca="false">IF(Altitude_culmi&gt;350, 67, NA())</f>
        <v>67</v>
      </c>
      <c r="C197" s="302" t="n">
        <v>0</v>
      </c>
      <c r="D197" s="297" t="n">
        <f aca="false">X_culmi+C197</f>
        <v>384.107539362574</v>
      </c>
      <c r="E197" s="297"/>
      <c r="F197" s="277" t="n">
        <f aca="false">X_culmi-C197</f>
        <v>384.107539362574</v>
      </c>
    </row>
    <row r="198" customFormat="false" ht="12.75" hidden="false" customHeight="false" outlineLevel="0" collapsed="false">
      <c r="B198" s="298" t="n">
        <f aca="false">IF(Altitude_culmi&gt;350, 100, NA())</f>
        <v>100</v>
      </c>
    </row>
    <row r="199" customFormat="false" ht="12.75" hidden="false" customHeight="false" outlineLevel="0" collapsed="false">
      <c r="B199" s="299" t="n">
        <f aca="false">IF(Altitude_culmi&gt;350, 100, NA())</f>
        <v>100</v>
      </c>
    </row>
  </sheetData>
  <sheetProtection algorithmName="SHA-512" hashValue="G0ksXLWQBuQmYUYN4j6eSYN8gCvm6a1nh7eqqaIdrVwuRVUmVsohTpSD4k+cbFcqYARKnKy2AU+H6GgyBv1qGQ==" saltValue="0hdbQtw7467KgyMIcQbPwg==" spinCount="100000" sheet="true"/>
  <protectedRanges>
    <protectedRange name="Plage1" sqref="C25"/>
  </protectedRanges>
  <mergeCells count="41">
    <mergeCell ref="C2:D3"/>
    <mergeCell ref="C4:D4"/>
    <mergeCell ref="C6:D6"/>
    <mergeCell ref="C7:D7"/>
    <mergeCell ref="C8:D8"/>
    <mergeCell ref="C9:D9"/>
    <mergeCell ref="C10:D10"/>
    <mergeCell ref="C11:D11"/>
    <mergeCell ref="C13:D13"/>
    <mergeCell ref="C14:D14"/>
    <mergeCell ref="C15:D15"/>
    <mergeCell ref="C17:D17"/>
    <mergeCell ref="C18:D18"/>
    <mergeCell ref="C19:D19"/>
    <mergeCell ref="C20:D20"/>
    <mergeCell ref="C22:D22"/>
    <mergeCell ref="F23:G23"/>
    <mergeCell ref="F24:G24"/>
    <mergeCell ref="F25:G25"/>
    <mergeCell ref="F26:G26"/>
    <mergeCell ref="F27:G27"/>
    <mergeCell ref="F28:G28"/>
    <mergeCell ref="H31:I31"/>
    <mergeCell ref="F32:G32"/>
    <mergeCell ref="H32:I32"/>
    <mergeCell ref="F33:G33"/>
    <mergeCell ref="H33:I33"/>
    <mergeCell ref="F34:G34"/>
    <mergeCell ref="H34:I34"/>
    <mergeCell ref="A38:D38"/>
    <mergeCell ref="F38:G38"/>
    <mergeCell ref="F40:G40"/>
    <mergeCell ref="F41:G41"/>
    <mergeCell ref="F42:G42"/>
    <mergeCell ref="F43:G43"/>
    <mergeCell ref="F44:G44"/>
    <mergeCell ref="F45:G45"/>
    <mergeCell ref="F46:G46"/>
    <mergeCell ref="F47:G47"/>
    <mergeCell ref="F48:G48"/>
    <mergeCell ref="F49:G49"/>
  </mergeCells>
  <conditionalFormatting sqref="D25">
    <cfRule type="expression" priority="2" aboveAverage="0" equalAverage="0" bottom="0" percent="0" rank="0" text="" dxfId="27">
      <formula>Nb_sat="0 satellite"</formula>
    </cfRule>
  </conditionalFormatting>
  <conditionalFormatting sqref="H27 H46">
    <cfRule type="expression" priority="3" aboveAverage="0" equalAverage="0" bottom="0" percent="0" rank="0" text="" dxfId="28">
      <formula>ABS(Temps_culmi-T_para)&gt;2</formula>
    </cfRule>
  </conditionalFormatting>
  <conditionalFormatting sqref="J28 J45">
    <cfRule type="expression" priority="4" aboveAverage="0" equalAverage="0" bottom="0" percent="0" rank="0" text="" dxfId="29">
      <formula>AND(Portee_balistique&gt;200,LEFT(Type_propu,4)="Mini")</formula>
    </cfRule>
  </conditionalFormatting>
  <conditionalFormatting sqref="H33:I33">
    <cfRule type="cellIs" priority="5" operator="equal" aboveAverage="0" equalAverage="0" bottom="0" percent="0" rank="0" text="" dxfId="30">
      <formula>"Rouge…"</formula>
    </cfRule>
  </conditionalFormatting>
  <conditionalFormatting sqref="H32:I32">
    <cfRule type="cellIs" priority="6" operator="equal" aboveAverage="0" equalAverage="0" bottom="0" percent="0" rank="0" text="" dxfId="31">
      <formula>"Brun/Orange…"</formula>
    </cfRule>
  </conditionalFormatting>
  <conditionalFormatting sqref="N33">
    <cfRule type="expression" priority="7" aboveAverage="0" equalAverage="0" bottom="0" percent="0" rank="0" text="" dxfId="32">
      <formula>ROUND(SUM(C23:L34),0)=1914</formula>
    </cfRule>
  </conditionalFormatting>
  <conditionalFormatting sqref="N34">
    <cfRule type="expression" priority="8" aboveAverage="0" equalAverage="0" bottom="0" percent="0" rank="0" text="" dxfId="33">
      <formula>$N$34="propu NOK"</formula>
    </cfRule>
  </conditionalFormatting>
  <conditionalFormatting sqref="F49:M49">
    <cfRule type="expression" priority="9" aboveAverage="0" equalAverage="0" bottom="0" percent="0" rank="0" text="" dxfId="34">
      <formula>Nb_sat="0 satellite"</formula>
    </cfRule>
  </conditionalFormatting>
  <conditionalFormatting sqref="F34:I34 F48:M48">
    <cfRule type="expression" priority="10" aboveAverage="0" equalAverage="0" bottom="0" percent="0" rank="0" text="" dxfId="35">
      <formula>Nb_sat="0 satellite"</formula>
    </cfRule>
  </conditionalFormatting>
  <conditionalFormatting sqref="F25">
    <cfRule type="expression" priority="11" aboveAverage="0" equalAverage="0" bottom="0" percent="0" rank="0" text="" dxfId="36">
      <formula>Nb_sat="0 satellite"</formula>
    </cfRule>
  </conditionalFormatting>
  <conditionalFormatting sqref="K40">
    <cfRule type="expression" priority="12" aboveAverage="0" equalAverage="0" bottom="0" percent="0" rank="0" text="" dxfId="37">
      <formula>AND( $K$21=0, OR( $I$21&gt;0, $J$21&gt;0 ) )</formula>
    </cfRule>
  </conditionalFormatting>
  <conditionalFormatting sqref="D24">
    <cfRule type="expression" priority="13" aboveAverage="0" equalAverage="0" bottom="0" percent="0" rank="0" text="" dxfId="38">
      <formula>Nb_sat="0 satellite"</formula>
    </cfRule>
  </conditionalFormatting>
  <conditionalFormatting sqref="D30">
    <cfRule type="expression" priority="14" aboveAverage="0" equalAverage="0" bottom="0" percent="0" rank="0" text="" dxfId="39">
      <formula>Nb_sat="0 satellite"</formula>
    </cfRule>
    <cfRule type="cellIs" priority="15" operator="notBetween" aboveAverage="0" equalAverage="0" bottom="0" percent="0" rank="0" text="" dxfId="40">
      <formula>5</formula>
      <formula>15</formula>
    </cfRule>
  </conditionalFormatting>
  <conditionalFormatting sqref="H25:M25">
    <cfRule type="expression" priority="16" aboveAverage="0" equalAverage="0" bottom="0" percent="0" rank="0" text="" dxfId="41">
      <formula>Nb_sat="0 satellite"</formula>
    </cfRule>
  </conditionalFormatting>
  <conditionalFormatting sqref="C30">
    <cfRule type="cellIs" priority="17" operator="notBetween" aboveAverage="0" equalAverage="0" bottom="0" percent="0" rank="0" text="" dxfId="42">
      <formula>5</formula>
      <formula>15</formula>
    </cfRule>
  </conditionalFormatting>
  <conditionalFormatting sqref="K23 K41">
    <cfRule type="expression" priority="18" aboveAverage="0" equalAverage="0" bottom="0" percent="0" rank="0" text="" dxfId="43">
      <formula>AND(Vsortie_de_rampe&lt;18, OR(LEFT(Type_fusee,1)=",",LEFT(Type_fusee,4)="Mini",LEFT(Type_fusee,1)="R"))</formula>
    </cfRule>
    <cfRule type="expression" priority="19" aboveAverage="0" equalAverage="0" bottom="0" percent="0" rank="0" text="" dxfId="44">
      <formula>AND(Vsortie_de_rampe&lt;20, RIGHT(Type_fusee,1)=".")</formula>
    </cfRule>
  </conditionalFormatting>
  <conditionalFormatting sqref="D26:D29 D31:D33">
    <cfRule type="expression" priority="20" aboveAverage="0" equalAverage="0" bottom="0" percent="0" rank="0" text="" dxfId="45">
      <formula>Nb_sat="0 satellite"</formula>
    </cfRule>
  </conditionalFormatting>
  <conditionalFormatting sqref="B26">
    <cfRule type="expression" priority="21" aboveAverage="0" equalAverage="0" bottom="0" percent="0" rank="0" text="" dxfId="46">
      <formula>NOT(OR(C25=F108,C25=F102,Nb_sat="1 satellite"))</formula>
    </cfRule>
  </conditionalFormatting>
  <conditionalFormatting sqref="C26">
    <cfRule type="expression" priority="22" aboveAverage="0" equalAverage="0" bottom="0" percent="0" rank="0" text="" dxfId="47">
      <formula>NOT(OR(C25=F108,C25=F102))</formula>
    </cfRule>
  </conditionalFormatting>
  <dataValidations count="14">
    <dataValidation allowBlank="false" errorStyle="stop" operator="greaterThanOrEqual" showDropDown="false" showErrorMessage="true" showInputMessage="false" sqref="C26:D26 D27 C29 H40:K40" type="decimal">
      <formula1>0</formula1>
      <formula2>0</formula2>
    </dataValidation>
    <dataValidation allowBlank="true" errorStyle="stop" operator="between" showDropDown="false" showErrorMessage="true" showInputMessage="true" sqref="H50" type="list">
      <formula1>gao</formula1>
      <formula2>0</formula2>
    </dataValidation>
    <dataValidation allowBlank="false" errorStyle="stop" operator="greaterThanOrEqual" showDropDown="false" showErrorMessage="true" showInputMessage="false" sqref="C27 D29" type="none">
      <formula1>0</formula1>
      <formula2>0</formula2>
    </dataValidation>
    <dataValidation allowBlank="true" error="Le Cx du parachute est souvent compris entre 0 et 2.&#10;Cx of parachute might be between 0 a 2." errorStyle="warning" errorTitle="Cx para" operator="between" showDropDown="false" showErrorMessage="true" showInputMessage="false" sqref="C28:D28" type="decimal">
      <formula1>0</formula1>
      <formula2>2</formula2>
    </dataValidation>
    <dataValidation allowBlank="false" errorStyle="stop" operator="between" showDropDown="false" showErrorMessage="false" showInputMessage="false" sqref="C11:D11" type="none">
      <formula1>0</formula1>
      <formula2>0</formula2>
    </dataValidation>
    <dataValidation allowBlank="false" errorStyle="stop" operator="greaterThanOrEqual" showDropDown="false" showErrorMessage="false" showInputMessage="false" sqref="C10:D10" type="none">
      <formula1>0</formula1>
      <formula2>0</formula2>
    </dataValidation>
    <dataValidation allowBlank="false" error="Le Cx est souvent compris entre 0,3 et 0,7.&#10;Cx may be between 0,3 &amp; 0,7." errorStyle="warning" errorTitle="Cx" operator="between" showDropDown="false" showErrorMessage="true" showInputMessage="false" sqref="C15:D15" type="decimal">
      <formula1>0.3</formula1>
      <formula2>0.7</formula2>
    </dataValidation>
    <dataValidation allowBlank="true" errorStyle="stop" operator="greaterThanOrEqual" showDropDown="false" showErrorMessage="true" showInputMessage="false" sqref="C18:D18" type="decimal">
      <formula1>0</formula1>
      <formula2>0</formula2>
    </dataValidation>
    <dataValidation allowBlank="true" error="Il est conseillé d'incliner à rampe entre 75° et 85° par rapport à l'horizontale.&#10;This Angle is recommended between 75° &amp; 85°." errorStyle="information" errorTitle="Angle de la rampe" operator="between" showDropDown="false" showErrorMessage="true" showInputMessage="true" sqref="C19:D19" type="decimal">
      <formula1>75</formula1>
      <formula2>85</formula2>
    </dataValidation>
    <dataValidation allowBlank="true" errorStyle="stop" operator="greaterThanOrEqual" showDropDown="false" showErrorMessage="true" showInputMessage="false" sqref="C20:D20" type="whole">
      <formula1>0</formula1>
      <formula2>0</formula2>
    </dataValidation>
    <dataValidation allowBlank="true" errorStyle="stop" operator="between" showDropDown="false" showErrorMessage="true" showInputMessage="false" sqref="M40" type="whole">
      <formula1>-360</formula1>
      <formula2>360</formula2>
    </dataValidation>
    <dataValidation allowBlank="false" errorStyle="stop" operator="between" showDropDown="false" showErrorMessage="true" showInputMessage="true" sqref="D23" type="list">
      <formula1>Menu_sat</formula1>
      <formula2>0</formula2>
    </dataValidation>
    <dataValidation allowBlank="false" errorStyle="stop" operator="greaterThanOrEqual" showDropDown="false" showErrorMessage="true" showInputMessage="false" sqref="B43 B45 B51 B53" type="whole">
      <formula1>0</formula1>
      <formula2>0</formula2>
    </dataValidation>
    <dataValidation allowBlank="false" errorStyle="stop" operator="between" showDropDown="false" showErrorMessage="true" showInputMessage="true" sqref="C25" type="list">
      <formula1>IF(Depotage&lt;&gt;0,IF(LEFT(Type_propu,5)="Micro",$F$108,$F$103:$F$108),$F$102)</formula1>
      <formula2>0</formula2>
    </dataValidation>
  </dataValidations>
  <hyperlinks>
    <hyperlink ref="B11" location="Stabilito!C17" display="#Stabilito!C17"/>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75:B146"/>
  <sheetViews>
    <sheetView showFormulas="false" showGridLines="false" showRowColHeaders="true" showZeros="true" rightToLeft="false" tabSelected="false" showOutlineSymbols="true" defaultGridColor="true" view="normal" topLeftCell="A40" colorId="64" zoomScale="100" zoomScaleNormal="100" zoomScalePageLayoutView="100" workbookViewId="0">
      <selection pane="topLeft" activeCell="K87" activeCellId="0" sqref="K87"/>
    </sheetView>
  </sheetViews>
  <sheetFormatPr defaultColWidth="10.390625" defaultRowHeight="12.75" zeroHeight="false" outlineLevelRow="0" outlineLevelCol="0"/>
  <sheetData>
    <row r="75" customFormat="false" ht="12.75" hidden="false" customHeight="false" outlineLevel="0" collapsed="false">
      <c r="B75" s="0" t="s">
        <v>210</v>
      </c>
    </row>
    <row r="76" customFormat="false" ht="12.75" hidden="false" customHeight="false" outlineLevel="0" collapsed="false">
      <c r="B76" s="0" t="str">
        <f aca="false">IF(Lang="Français","Ces courbes représentent la trajectoire de la fusée dans l'hypothèse d'une descente balistique (sans ouverture du parachute). ","These curves show the rocket trajectory in case of ballistic fall (without parachute).")</f>
        <v>Ces courbes représentent la trajectoire de la fusée dans l'hypothèse d'une descente balistique (sans ouverture du parachute). </v>
      </c>
    </row>
    <row r="77" customFormat="false" ht="12.75" hidden="false" customHeight="false" outlineLevel="0" collapsed="false">
      <c r="B77" s="0" t="str">
        <f aca="false">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customFormat="false" ht="12.75" hidden="false" customHeight="false" outlineLevel="0" collapsed="false">
      <c r="B78" s="0" t="str">
        <f aca="false">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customFormat="false" ht="12.75" hidden="false" customHeight="false" outlineLevel="0" collapsed="false">
      <c r="B79" s="0" t="str">
        <f aca="false">IF(Lang="Français","Exemples : Si Poussée = Poids, Vitesse constante, Acc nulle, Charge = 1G ; En chute libre, Acc = -1G, Charge = 0",IF(Lang="English","",""))</f>
        <v>Exemples : Si Poussée = Poids, Vitesse constante, Acc nulle, Charge = 1G ; En chute libre, Acc = -1G, Charge = 0</v>
      </c>
    </row>
    <row r="131" customFormat="false" ht="12.75" hidden="false" customHeight="false" outlineLevel="0" collapsed="false">
      <c r="B131" s="1" t="str">
        <f aca="false">IF(Lang="Français","Textes pour les graphiques :","Texts for graphics :")</f>
        <v>Textes pour les graphiques :</v>
      </c>
    </row>
    <row r="133" customFormat="false" ht="12.75" hidden="false" customHeight="false" outlineLevel="0" collapsed="false">
      <c r="B133" s="0" t="str">
        <f aca="false">IF(Lang="Français","Traînée",IF(Lang="English","Drag",""))</f>
        <v>Traînée</v>
      </c>
    </row>
    <row r="134" customFormat="false" ht="12.75" hidden="false" customHeight="false" outlineLevel="0" collapsed="false">
      <c r="B134" s="0" t="str">
        <f aca="false">IF(Lang="Français","Poussée",IF(Lang="English","Thrust",""))</f>
        <v>Poussée</v>
      </c>
    </row>
    <row r="135" customFormat="false" ht="12.75" hidden="false" customHeight="false" outlineLevel="0" collapsed="false">
      <c r="B135" s="0" t="str">
        <f aca="false">IF(Lang="Français","Poids",IF(Lang="English","Weight",""))</f>
        <v>Poids</v>
      </c>
    </row>
    <row r="137" customFormat="false" ht="12.75" hidden="false" customHeight="false" outlineLevel="0" collapsed="false">
      <c r="B137" s="0" t="str">
        <f aca="false">IF(Lang="Français","Accélération longitudinale",IF(Lang="English","Longitudinal Acceleration",""))</f>
        <v>Accélération longitudinale</v>
      </c>
    </row>
    <row r="138" customFormat="false" ht="12.75" hidden="false" customHeight="false" outlineLevel="0" collapsed="false">
      <c r="B138" s="0" t="str">
        <f aca="false">IF(Lang="Français","Charge vue par un capteur",IF(Lang="English","Load seen by a sensor",""))</f>
        <v>Charge vue par un capteur</v>
      </c>
    </row>
    <row r="140" customFormat="false" ht="12.75" hidden="false" customHeight="false" outlineLevel="0" collapsed="false">
      <c r="B140" s="0" t="str">
        <f aca="false">IF(Lang="Français","Vitesse",IF(Lang="English","Velocity",""))</f>
        <v>Vitesse</v>
      </c>
    </row>
    <row r="141" customFormat="false" ht="12.75" hidden="false" customHeight="false" outlineLevel="0" collapsed="false">
      <c r="B141" s="0" t="str">
        <f aca="false">IF(Lang="Français","Vitesse [m/s]",IF(Lang="English","Velocity [m/s]",""))</f>
        <v>Vitesse [m/s]</v>
      </c>
    </row>
    <row r="143" customFormat="false" ht="12.75" hidden="false" customHeight="false" outlineLevel="0" collapsed="false">
      <c r="B143" s="0" t="s">
        <v>160</v>
      </c>
    </row>
    <row r="144" customFormat="false" ht="12.75" hidden="false" customHeight="false" outlineLevel="0" collapsed="false">
      <c r="B144" s="0" t="str">
        <f aca="false">IF(Lang="Français","Portée",IF(Lang="English","Range",""))</f>
        <v>Portée</v>
      </c>
    </row>
    <row r="146" customFormat="false" ht="12.75" hidden="false" customHeight="false" outlineLevel="0" collapsed="false">
      <c r="B146" s="0" t="str">
        <f aca="false">IF(Lang="Français","Temps [s]",IF(Lang="English","Time [s]",""))</f>
        <v>Temps [s]</v>
      </c>
    </row>
  </sheetData>
  <sheetProtection sheet="true" password="c6ac"/>
  <printOptions headings="false" gridLines="false" gridLinesSet="true" horizontalCentered="true" verticalCentered="tru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34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Z56" activeCellId="0" sqref="Z56"/>
    </sheetView>
  </sheetViews>
  <sheetFormatPr defaultColWidth="10.390625" defaultRowHeight="12.75" zeroHeight="false" outlineLevelRow="0" outlineLevelCol="0"/>
  <cols>
    <col collapsed="false" customWidth="true" hidden="false" outlineLevel="0" max="1" min="1" style="0" width="22.67"/>
  </cols>
  <sheetData>
    <row r="1" customFormat="false" ht="13.5" hidden="false" customHeight="false" outlineLevel="0" collapsed="false">
      <c r="A1" s="303" t="str">
        <f aca="false">IF(Lang="Français","Moteur sélectionné","Selected motor")</f>
        <v>Moteur sélectionné</v>
      </c>
      <c r="B1" s="303" t="s">
        <v>211</v>
      </c>
    </row>
    <row r="2" customFormat="false" ht="13.5" hidden="false" customHeight="false" outlineLevel="0" collapsed="false">
      <c r="A2" s="304" t="str">
        <f aca="false">Propu</f>
        <v>Pro54-5G WT</v>
      </c>
      <c r="B2" s="304" t="n">
        <f aca="false">VLOOKUP(A2,A26:B314,2,FALSE())</f>
        <v>284</v>
      </c>
      <c r="C2" s="305" t="s">
        <v>212</v>
      </c>
      <c r="D2" s="306" t="n">
        <f aca="true">INDIRECT(ADDRESS(B2,4))</f>
        <v>1998.2429</v>
      </c>
      <c r="E2" s="305" t="s">
        <v>213</v>
      </c>
      <c r="F2" s="307" t="n">
        <f aca="true">INDIRECT(ADDRESS(B2,6))</f>
        <v>207.42819268754</v>
      </c>
      <c r="G2" s="305" t="s">
        <v>214</v>
      </c>
      <c r="H2" s="308" t="n">
        <f aca="true">INDIRECT(ADDRESS(B2,8))</f>
        <v>1.632</v>
      </c>
      <c r="I2" s="305" t="s">
        <v>215</v>
      </c>
      <c r="J2" s="308" t="n">
        <f aca="true">INDIRECT(ADDRESS(B2,10))</f>
        <v>0.982</v>
      </c>
      <c r="K2" s="305" t="s">
        <v>216</v>
      </c>
      <c r="L2" s="308" t="n">
        <f aca="true">INDIRECT(ADDRESS(B2,12))</f>
        <v>0.65</v>
      </c>
      <c r="M2" s="305" t="s">
        <v>217</v>
      </c>
      <c r="N2" s="309" t="n">
        <f aca="true">INDIRECT(ADDRESS(B2,14))</f>
        <v>250</v>
      </c>
      <c r="O2" s="305" t="s">
        <v>218</v>
      </c>
      <c r="P2" s="309" t="n">
        <f aca="true">INDIRECT(ADDRESS(B2,16))</f>
        <v>240</v>
      </c>
      <c r="Q2" s="305" t="s">
        <v>219</v>
      </c>
      <c r="R2" s="309" t="n">
        <f aca="true">INDIRECT(ADDRESS(B2,18))</f>
        <v>488</v>
      </c>
      <c r="S2" s="305" t="s">
        <v>220</v>
      </c>
      <c r="T2" s="309" t="n">
        <f aca="true">INDIRECT(ADDRESS(B2,20))</f>
        <v>54</v>
      </c>
      <c r="U2" s="305" t="s">
        <v>8</v>
      </c>
      <c r="V2" s="310" t="str">
        <f aca="true">INDIRECT(ADDRESS(B2,22))</f>
        <v>Fusex</v>
      </c>
      <c r="W2" s="311" t="s">
        <v>221</v>
      </c>
      <c r="X2" s="312" t="n">
        <f aca="true">INDIRECT(ADDRESS(B2,24))</f>
        <v>0</v>
      </c>
      <c r="Y2" s="311" t="s">
        <v>222</v>
      </c>
      <c r="Z2" s="310" t="n">
        <f aca="true">INDIRECT(ADDRESS(B2,26))</f>
        <v>0</v>
      </c>
    </row>
    <row r="3" customFormat="false" ht="12.75" hidden="false" customHeight="false" outlineLevel="0" collapsed="false">
      <c r="A3" s="303" t="str">
        <f aca="false">IF(Lang="Français","Temps (en s)","Time (s)")</f>
        <v>Temps (en s)</v>
      </c>
      <c r="B3" s="313" t="n">
        <f aca="true">INDIRECT(ADDRESS($B2+1,COLUMN(B3)))</f>
        <v>0</v>
      </c>
      <c r="C3" s="314" t="n">
        <f aca="true">INDIRECT(ADDRESS($B2+1,COLUMN(C3)))</f>
        <v>0.01</v>
      </c>
      <c r="D3" s="314" t="n">
        <f aca="true">INDIRECT(ADDRESS($B2+1,COLUMN(D3)))</f>
        <v>0.02</v>
      </c>
      <c r="E3" s="314" t="n">
        <f aca="true">INDIRECT(ADDRESS($B2+1,COLUMN(E3)))</f>
        <v>0.05</v>
      </c>
      <c r="F3" s="314" t="n">
        <f aca="true">INDIRECT(ADDRESS($B2+1,COLUMN(F3)))</f>
        <v>0.1</v>
      </c>
      <c r="G3" s="314" t="n">
        <f aca="true">INDIRECT(ADDRESS($B2+1,COLUMN(G3)))</f>
        <v>0.2</v>
      </c>
      <c r="H3" s="314" t="n">
        <f aca="true">INDIRECT(ADDRESS($B2+1,COLUMN(H3)))</f>
        <v>0.4</v>
      </c>
      <c r="I3" s="314" t="n">
        <f aca="true">INDIRECT(ADDRESS($B2+1,COLUMN(I3)))</f>
        <v>0.8</v>
      </c>
      <c r="J3" s="314" t="n">
        <f aca="true">INDIRECT(ADDRESS($B2+1,COLUMN(J3)))</f>
        <v>0.9</v>
      </c>
      <c r="K3" s="314" t="n">
        <f aca="true">INDIRECT(ADDRESS($B2+1,COLUMN(K3)))</f>
        <v>1</v>
      </c>
      <c r="L3" s="314" t="n">
        <f aca="true">INDIRECT(ADDRESS($B2+1,COLUMN(L3)))</f>
        <v>1.1</v>
      </c>
      <c r="M3" s="314" t="n">
        <f aca="true">INDIRECT(ADDRESS($B2+1,COLUMN(M3)))</f>
        <v>1.2</v>
      </c>
      <c r="N3" s="314" t="n">
        <f aca="true">INDIRECT(ADDRESS($B2+1,COLUMN(N3)))</f>
        <v>1.3</v>
      </c>
      <c r="O3" s="314" t="n">
        <f aca="true">INDIRECT(ADDRESS($B2+1,COLUMN(O3)))</f>
        <v>1.4</v>
      </c>
      <c r="P3" s="314" t="n">
        <f aca="true">INDIRECT(ADDRESS($B2+1,COLUMN(P3)))</f>
        <v>1.55</v>
      </c>
      <c r="Q3" s="314" t="n">
        <f aca="true">INDIRECT(ADDRESS($B2+1,COLUMN(Q3)))</f>
        <v>1.6</v>
      </c>
      <c r="R3" s="314" t="n">
        <f aca="true">INDIRECT(ADDRESS($B2+1,COLUMN(R3)))</f>
        <v>1.62</v>
      </c>
      <c r="S3" s="314" t="n">
        <f aca="true">INDIRECT(ADDRESS($B2+1,COLUMN(S3)))</f>
        <v>1.64</v>
      </c>
      <c r="T3" s="314" t="n">
        <f aca="true">INDIRECT(ADDRESS($B2+1,COLUMN(T3)))</f>
        <v>1.66</v>
      </c>
      <c r="U3" s="314" t="n">
        <f aca="true">INDIRECT(ADDRESS($B2+1,COLUMN(U3)))</f>
        <v>1.67</v>
      </c>
      <c r="V3" s="314" t="n">
        <f aca="true">INDIRECT(ADDRESS($B2+1,COLUMN(V3)))</f>
        <v>1.68</v>
      </c>
      <c r="W3" s="314" t="n">
        <f aca="true">INDIRECT(ADDRESS($B2+1,COLUMN(W3)))</f>
        <v>1.69</v>
      </c>
      <c r="X3" s="314" t="n">
        <f aca="true">INDIRECT(ADDRESS($B2+1,COLUMN(X3)))</f>
        <v>1.7</v>
      </c>
      <c r="Y3" s="315" t="n">
        <f aca="true">INDIRECT(ADDRESS($B2+1,COLUMN(Y3)))</f>
        <v>1000</v>
      </c>
    </row>
    <row r="4" customFormat="false" ht="13.5" hidden="false" customHeight="false" outlineLevel="0" collapsed="false">
      <c r="A4" s="316" t="str">
        <f aca="false">IF(Lang="Français","Poussée (en N)","Thrust (N)")</f>
        <v>Poussée (en N)</v>
      </c>
      <c r="B4" s="317" t="n">
        <f aca="true">INDIRECT(ADDRESS($B2+2,COLUMN(B3)))</f>
        <v>0</v>
      </c>
      <c r="C4" s="318" t="n">
        <f aca="true">INDIRECT(ADDRESS($B2+2,COLUMN(C3)))</f>
        <v>492.25</v>
      </c>
      <c r="D4" s="318" t="n">
        <f aca="true">INDIRECT(ADDRESS($B2+2,COLUMN(D3)))</f>
        <v>1369.46</v>
      </c>
      <c r="E4" s="318" t="n">
        <f aca="true">INDIRECT(ADDRESS($B2+2,COLUMN(E3)))</f>
        <v>1236.01</v>
      </c>
      <c r="F4" s="318" t="n">
        <f aca="true">INDIRECT(ADDRESS($B2+2,COLUMN(F3)))</f>
        <v>1279.47</v>
      </c>
      <c r="G4" s="318" t="n">
        <f aca="true">INDIRECT(ADDRESS($B2+2,COLUMN(G3)))</f>
        <v>1311.39</v>
      </c>
      <c r="H4" s="318" t="n">
        <f aca="true">INDIRECT(ADDRESS($B2+2,COLUMN(H3)))</f>
        <v>1331.39</v>
      </c>
      <c r="I4" s="318" t="n">
        <f aca="true">INDIRECT(ADDRESS($B2+2,COLUMN(I3)))</f>
        <v>1304.08</v>
      </c>
      <c r="J4" s="318" t="n">
        <f aca="true">INDIRECT(ADDRESS($B2+2,COLUMN(J3)))</f>
        <v>1280.62</v>
      </c>
      <c r="K4" s="318" t="n">
        <f aca="true">INDIRECT(ADDRESS($B2+2,COLUMN(K3)))</f>
        <v>1249.86</v>
      </c>
      <c r="L4" s="318" t="n">
        <f aca="true">INDIRECT(ADDRESS($B2+2,COLUMN(L3)))</f>
        <v>1217.94</v>
      </c>
      <c r="M4" s="318" t="n">
        <f aca="true">INDIRECT(ADDRESS($B2+2,COLUMN(M3)))</f>
        <v>1199.29</v>
      </c>
      <c r="N4" s="318" t="n">
        <f aca="true">INDIRECT(ADDRESS($B2+2,COLUMN(N3)))</f>
        <v>1158.77</v>
      </c>
      <c r="O4" s="318" t="n">
        <f aca="true">INDIRECT(ADDRESS($B2+2,COLUMN(O3)))</f>
        <v>1112.56</v>
      </c>
      <c r="P4" s="318" t="n">
        <f aca="true">INDIRECT(ADDRESS($B2+2,COLUMN(P3)))</f>
        <v>941.81</v>
      </c>
      <c r="Q4" s="318" t="n">
        <f aca="true">INDIRECT(ADDRESS($B2+2,COLUMN(Q3)))</f>
        <v>726.07</v>
      </c>
      <c r="R4" s="318" t="n">
        <f aca="true">INDIRECT(ADDRESS($B2+2,COLUMN(R3)))</f>
        <v>559.17</v>
      </c>
      <c r="S4" s="318" t="n">
        <f aca="true">INDIRECT(ADDRESS($B2+2,COLUMN(S3)))</f>
        <v>399.95</v>
      </c>
      <c r="T4" s="318" t="n">
        <f aca="true">INDIRECT(ADDRESS($B2+2,COLUMN(T3)))</f>
        <v>317.66</v>
      </c>
      <c r="U4" s="318" t="n">
        <f aca="true">INDIRECT(ADDRESS($B2+2,COLUMN(U3)))</f>
        <v>247.28</v>
      </c>
      <c r="V4" s="318" t="n">
        <f aca="true">INDIRECT(ADDRESS($B2+2,COLUMN(V3)))</f>
        <v>198.05</v>
      </c>
      <c r="W4" s="318" t="n">
        <f aca="true">INDIRECT(ADDRESS($B2+2,COLUMN(W3)))</f>
        <v>67.3</v>
      </c>
      <c r="X4" s="318" t="n">
        <f aca="true">INDIRECT(ADDRESS($B2+2,COLUMN(X3)))</f>
        <v>0</v>
      </c>
      <c r="Y4" s="319" t="n">
        <f aca="true">INDIRECT(ADDRESS($B2+2,COLUMN(Y3)))</f>
        <v>0</v>
      </c>
    </row>
    <row r="5" customFormat="false" ht="12.75" hidden="false" customHeight="false" outlineLevel="0" collapsed="false">
      <c r="B5" s="320"/>
      <c r="C5" s="320"/>
      <c r="D5" s="320"/>
      <c r="E5" s="320"/>
      <c r="F5" s="320"/>
      <c r="G5" s="320"/>
      <c r="H5" s="320"/>
      <c r="I5" s="320"/>
      <c r="J5" s="320"/>
      <c r="K5" s="320"/>
      <c r="L5" s="320"/>
      <c r="M5" s="320"/>
      <c r="N5" s="320"/>
      <c r="O5" s="320"/>
      <c r="P5" s="320"/>
      <c r="Q5" s="320"/>
      <c r="R5" s="320"/>
      <c r="S5" s="320"/>
      <c r="T5" s="320"/>
      <c r="U5" s="320"/>
      <c r="V5" s="320"/>
      <c r="W5" s="320"/>
      <c r="X5" s="320"/>
      <c r="Y5" s="320"/>
    </row>
    <row r="6" customFormat="false" ht="12.75" hidden="false" customHeight="false" outlineLevel="0" collapsed="false">
      <c r="B6" s="320"/>
      <c r="C6" s="320"/>
      <c r="D6" s="320"/>
      <c r="E6" s="320"/>
      <c r="F6" s="320"/>
      <c r="G6" s="320"/>
      <c r="H6" s="320"/>
      <c r="I6" s="320"/>
      <c r="J6" s="320"/>
      <c r="K6" s="320"/>
      <c r="L6" s="320"/>
      <c r="M6" s="320"/>
      <c r="N6" s="320"/>
      <c r="O6" s="320"/>
      <c r="P6" s="320"/>
      <c r="Q6" s="320"/>
      <c r="R6" s="320"/>
      <c r="S6" s="320"/>
      <c r="T6" s="320"/>
      <c r="U6" s="320"/>
      <c r="V6" s="320"/>
      <c r="W6" s="320"/>
      <c r="X6" s="320"/>
      <c r="Y6" s="320"/>
    </row>
    <row r="7" customFormat="false" ht="12.75" hidden="false" customHeight="false" outlineLevel="0" collapsed="false">
      <c r="B7" s="320"/>
      <c r="C7" s="320"/>
      <c r="D7" s="320"/>
      <c r="E7" s="320"/>
      <c r="F7" s="320"/>
      <c r="G7" s="320"/>
      <c r="H7" s="320"/>
      <c r="I7" s="320"/>
      <c r="J7" s="320"/>
      <c r="K7" s="320"/>
      <c r="L7" s="320"/>
      <c r="M7" s="320"/>
    </row>
    <row r="8" customFormat="false" ht="12.75" hidden="false" customHeight="false" outlineLevel="0" collapsed="false">
      <c r="B8" s="320"/>
      <c r="C8" s="320"/>
      <c r="D8" s="320"/>
      <c r="E8" s="320"/>
      <c r="F8" s="320"/>
      <c r="G8" s="320"/>
      <c r="H8" s="320"/>
      <c r="I8" s="320"/>
      <c r="J8" s="320"/>
      <c r="K8" s="320"/>
      <c r="L8" s="320"/>
      <c r="M8" s="320"/>
    </row>
    <row r="9" customFormat="false" ht="12.75" hidden="false" customHeight="false" outlineLevel="0" collapsed="false">
      <c r="B9" s="320"/>
      <c r="C9" s="320"/>
      <c r="D9" s="320"/>
      <c r="E9" s="320"/>
      <c r="F9" s="320"/>
      <c r="G9" s="320"/>
      <c r="H9" s="320"/>
      <c r="I9" s="320"/>
      <c r="J9" s="320"/>
      <c r="K9" s="320"/>
      <c r="L9" s="320"/>
      <c r="M9" s="320"/>
    </row>
    <row r="10" customFormat="false" ht="12.75" hidden="false" customHeight="false" outlineLevel="0" collapsed="false">
      <c r="B10" s="320"/>
      <c r="C10" s="320"/>
      <c r="D10" s="320"/>
      <c r="E10" s="320"/>
      <c r="F10" s="320"/>
      <c r="G10" s="320"/>
      <c r="H10" s="320"/>
      <c r="I10" s="320"/>
      <c r="J10" s="320"/>
    </row>
    <row r="11" customFormat="false" ht="12.75" hidden="false" customHeight="false" outlineLevel="0" collapsed="false">
      <c r="B11" s="320"/>
      <c r="C11" s="320"/>
      <c r="D11" s="320"/>
      <c r="E11" s="320"/>
      <c r="F11" s="320"/>
      <c r="G11" s="320"/>
      <c r="H11" s="320"/>
      <c r="I11" s="320"/>
      <c r="J11" s="320"/>
    </row>
    <row r="12" customFormat="false" ht="12.75" hidden="false" customHeight="false" outlineLevel="0" collapsed="false">
      <c r="B12" s="320"/>
      <c r="C12" s="320"/>
      <c r="D12" s="320"/>
      <c r="E12" s="320"/>
      <c r="F12" s="320"/>
      <c r="G12" s="320"/>
      <c r="H12" s="320"/>
      <c r="I12" s="320"/>
      <c r="J12" s="320"/>
    </row>
    <row r="13" customFormat="false" ht="12.75" hidden="false" customHeight="false" outlineLevel="0" collapsed="false">
      <c r="B13" s="320"/>
      <c r="C13" s="320"/>
      <c r="D13" s="320"/>
      <c r="E13" s="320"/>
      <c r="F13" s="320"/>
      <c r="G13" s="320"/>
      <c r="H13" s="320"/>
      <c r="I13" s="320"/>
      <c r="J13" s="320"/>
    </row>
    <row r="14" customFormat="false" ht="12.75" hidden="false" customHeight="false" outlineLevel="0" collapsed="false">
      <c r="B14" s="320"/>
      <c r="C14" s="320"/>
      <c r="D14" s="320"/>
      <c r="E14" s="320"/>
      <c r="F14" s="320"/>
      <c r="G14" s="320"/>
      <c r="H14" s="320"/>
      <c r="I14" s="320"/>
      <c r="J14" s="320"/>
    </row>
    <row r="15" customFormat="false" ht="12.75" hidden="false" customHeight="false" outlineLevel="0" collapsed="false">
      <c r="B15" s="320"/>
      <c r="C15" s="320"/>
      <c r="D15" s="320"/>
      <c r="E15" s="320"/>
      <c r="F15" s="320"/>
      <c r="G15" s="320"/>
      <c r="H15" s="320"/>
      <c r="I15" s="320"/>
      <c r="J15" s="320"/>
      <c r="K15" s="320"/>
      <c r="L15" s="320"/>
      <c r="M15" s="320"/>
    </row>
    <row r="16" customFormat="false" ht="12.75" hidden="false" customHeight="false" outlineLevel="0" collapsed="false">
      <c r="B16" s="320"/>
      <c r="C16" s="320"/>
      <c r="D16" s="320"/>
      <c r="E16" s="320"/>
      <c r="F16" s="320"/>
      <c r="G16" s="320"/>
      <c r="H16" s="320"/>
      <c r="I16" s="320"/>
      <c r="J16" s="320"/>
      <c r="K16" s="320"/>
      <c r="L16" s="320"/>
      <c r="M16" s="320"/>
    </row>
    <row r="17" customFormat="false" ht="12.75" hidden="false" customHeight="false" outlineLevel="0" collapsed="false">
      <c r="B17" s="320"/>
      <c r="C17" s="320"/>
      <c r="D17" s="320"/>
      <c r="E17" s="320"/>
      <c r="F17" s="320"/>
      <c r="G17" s="320"/>
      <c r="H17" s="320"/>
      <c r="I17" s="320"/>
      <c r="J17" s="320"/>
      <c r="K17" s="320"/>
      <c r="L17" s="320"/>
      <c r="M17" s="320"/>
    </row>
    <row r="18" customFormat="false" ht="12.75" hidden="false" customHeight="false" outlineLevel="0" collapsed="false">
      <c r="B18" s="320"/>
      <c r="C18" s="320"/>
      <c r="D18" s="320"/>
      <c r="E18" s="320"/>
      <c r="F18" s="320"/>
      <c r="G18" s="320"/>
      <c r="H18" s="320"/>
      <c r="I18" s="320"/>
      <c r="J18" s="320"/>
      <c r="K18" s="320"/>
      <c r="L18" s="320"/>
      <c r="M18" s="320"/>
      <c r="N18" s="320"/>
      <c r="O18" s="320"/>
      <c r="P18" s="320"/>
      <c r="Q18" s="320"/>
      <c r="R18" s="320"/>
      <c r="S18" s="320"/>
      <c r="T18" s="320"/>
      <c r="U18" s="320"/>
      <c r="V18" s="320"/>
      <c r="W18" s="320"/>
      <c r="X18" s="320"/>
      <c r="Y18" s="320"/>
    </row>
    <row r="19" customFormat="false" ht="12.75" hidden="false" customHeight="false" outlineLevel="0" collapsed="false">
      <c r="B19" s="320"/>
      <c r="C19" s="320"/>
      <c r="D19" s="320"/>
      <c r="E19" s="320"/>
      <c r="F19" s="320"/>
      <c r="G19" s="320"/>
      <c r="H19" s="320"/>
      <c r="I19" s="320"/>
      <c r="J19" s="320"/>
      <c r="K19" s="320"/>
      <c r="L19" s="320"/>
      <c r="M19" s="320"/>
      <c r="N19" s="320"/>
      <c r="O19" s="320"/>
      <c r="P19" s="320"/>
      <c r="Q19" s="320"/>
      <c r="R19" s="320"/>
      <c r="S19" s="320"/>
      <c r="T19" s="320"/>
      <c r="U19" s="320"/>
      <c r="V19" s="320"/>
      <c r="W19" s="320"/>
      <c r="X19" s="320"/>
      <c r="Y19" s="320"/>
    </row>
    <row r="20" customFormat="false" ht="12.75" hidden="false" customHeight="false" outlineLevel="0" collapsed="false">
      <c r="B20" s="320"/>
      <c r="C20" s="320"/>
      <c r="D20" s="320"/>
      <c r="E20" s="320"/>
      <c r="F20" s="320"/>
      <c r="G20" s="320"/>
      <c r="H20" s="320"/>
      <c r="I20" s="320"/>
      <c r="J20" s="320"/>
      <c r="K20" s="320"/>
      <c r="L20" s="320"/>
      <c r="M20" s="320"/>
      <c r="N20" s="320"/>
      <c r="O20" s="320"/>
      <c r="P20" s="320"/>
      <c r="Q20" s="320"/>
      <c r="R20" s="320"/>
      <c r="S20" s="320"/>
      <c r="T20" s="320"/>
      <c r="U20" s="320"/>
      <c r="V20" s="320"/>
      <c r="W20" s="320"/>
      <c r="X20" s="320"/>
      <c r="Y20" s="320"/>
    </row>
    <row r="21" customFormat="false" ht="12.75" hidden="false" customHeight="false" outlineLevel="0" collapsed="false">
      <c r="B21" s="320"/>
      <c r="C21" s="320"/>
      <c r="D21" s="320"/>
      <c r="E21" s="320"/>
      <c r="F21" s="320"/>
      <c r="G21" s="320"/>
      <c r="H21" s="320"/>
      <c r="I21" s="320"/>
      <c r="J21" s="320"/>
      <c r="K21" s="320"/>
      <c r="L21" s="320"/>
      <c r="M21" s="320"/>
      <c r="N21" s="320"/>
      <c r="O21" s="320"/>
      <c r="P21" s="320"/>
      <c r="Q21" s="320"/>
      <c r="R21" s="320"/>
      <c r="S21" s="320"/>
      <c r="T21" s="320"/>
      <c r="U21" s="320"/>
      <c r="V21" s="320"/>
      <c r="W21" s="320"/>
      <c r="X21" s="320"/>
      <c r="Y21" s="320"/>
    </row>
    <row r="22" customFormat="false" ht="12.75" hidden="false" customHeight="false" outlineLevel="0" collapsed="false">
      <c r="B22" s="320"/>
      <c r="C22" s="320"/>
      <c r="D22" s="320"/>
      <c r="E22" s="320"/>
      <c r="F22" s="320"/>
      <c r="G22" s="320"/>
      <c r="H22" s="320"/>
      <c r="I22" s="320"/>
      <c r="J22" s="320"/>
      <c r="K22" s="320"/>
      <c r="L22" s="320"/>
      <c r="M22" s="320"/>
      <c r="N22" s="320"/>
      <c r="O22" s="320"/>
      <c r="P22" s="320"/>
      <c r="Q22" s="320"/>
      <c r="R22" s="320"/>
      <c r="S22" s="320"/>
      <c r="T22" s="320"/>
      <c r="U22" s="320"/>
      <c r="V22" s="320"/>
      <c r="W22" s="320"/>
      <c r="X22" s="320"/>
      <c r="Y22" s="320"/>
    </row>
    <row r="23" customFormat="false" ht="12.75" hidden="false" customHeight="false" outlineLevel="0" collapsed="false">
      <c r="B23" s="320"/>
      <c r="C23" s="320"/>
      <c r="D23" s="320"/>
      <c r="E23" s="320"/>
      <c r="F23" s="320"/>
      <c r="G23" s="320"/>
      <c r="H23" s="320"/>
      <c r="I23" s="320"/>
      <c r="J23" s="320"/>
      <c r="K23" s="320"/>
      <c r="L23" s="320"/>
      <c r="M23" s="320"/>
      <c r="N23" s="320"/>
      <c r="O23" s="320"/>
      <c r="P23" s="320"/>
      <c r="Q23" s="320"/>
      <c r="R23" s="320"/>
      <c r="S23" s="320"/>
      <c r="T23" s="320"/>
      <c r="U23" s="320"/>
      <c r="V23" s="320"/>
      <c r="W23" s="320"/>
      <c r="X23" s="320"/>
      <c r="Y23" s="320"/>
    </row>
    <row r="25" customFormat="false" ht="13.5" hidden="false" customHeight="false" outlineLevel="0" collapsed="false">
      <c r="A25" s="160" t="s">
        <v>223</v>
      </c>
    </row>
    <row r="26" customFormat="false" ht="13.5" hidden="false" customHeight="false" outlineLevel="0" collapsed="false">
      <c r="A26" s="321" t="s">
        <v>224</v>
      </c>
      <c r="B26" s="322" t="n">
        <f aca="false">ROW(A26)</f>
        <v>26</v>
      </c>
      <c r="C26" s="305" t="s">
        <v>212</v>
      </c>
      <c r="D26" s="306" t="n">
        <f aca="false">SUM(B29:Y29)</f>
        <v>9.845</v>
      </c>
      <c r="E26" s="305" t="s">
        <v>213</v>
      </c>
      <c r="F26" s="312" t="n">
        <f aca="false">D26/g/J26</f>
        <v>3.34522595990486</v>
      </c>
      <c r="G26" s="305" t="s">
        <v>214</v>
      </c>
      <c r="H26" s="323" t="n">
        <v>0.3</v>
      </c>
      <c r="I26" s="305" t="s">
        <v>225</v>
      </c>
      <c r="J26" s="308" t="n">
        <f aca="false">H26-L26</f>
        <v>0.3</v>
      </c>
      <c r="K26" s="305" t="s">
        <v>226</v>
      </c>
      <c r="L26" s="323" t="n">
        <v>0</v>
      </c>
      <c r="M26" s="305" t="s">
        <v>217</v>
      </c>
      <c r="N26" s="324" t="n">
        <f aca="false">0.2*R26</f>
        <v>60</v>
      </c>
      <c r="O26" s="305" t="s">
        <v>218</v>
      </c>
      <c r="P26" s="324" t="n">
        <v>150</v>
      </c>
      <c r="Q26" s="305" t="s">
        <v>219</v>
      </c>
      <c r="R26" s="324" t="n">
        <v>300</v>
      </c>
      <c r="S26" s="305" t="s">
        <v>220</v>
      </c>
      <c r="T26" s="324" t="n">
        <v>90</v>
      </c>
      <c r="U26" s="305" t="s">
        <v>8</v>
      </c>
      <c r="V26" s="325" t="s">
        <v>223</v>
      </c>
      <c r="W26" s="320"/>
      <c r="X26" s="320"/>
      <c r="Y26" s="320"/>
    </row>
    <row r="27" customFormat="false" ht="12.75" hidden="false" customHeight="false" outlineLevel="0" collapsed="false">
      <c r="A27" s="303" t="s">
        <v>227</v>
      </c>
      <c r="B27" s="326" t="n">
        <v>0</v>
      </c>
      <c r="C27" s="327" t="n">
        <v>0.001</v>
      </c>
      <c r="D27" s="327" t="n">
        <v>0.02</v>
      </c>
      <c r="E27" s="327" t="n">
        <v>0.038</v>
      </c>
      <c r="F27" s="327" t="n">
        <v>0.04</v>
      </c>
      <c r="G27" s="327" t="n">
        <v>0.04</v>
      </c>
      <c r="H27" s="327" t="n">
        <v>0.04</v>
      </c>
      <c r="I27" s="327" t="n">
        <v>0.04</v>
      </c>
      <c r="J27" s="327" t="n">
        <v>0.04</v>
      </c>
      <c r="K27" s="327" t="n">
        <v>0.04</v>
      </c>
      <c r="L27" s="327" t="n">
        <v>0.04</v>
      </c>
      <c r="M27" s="327" t="n">
        <v>0.04</v>
      </c>
      <c r="N27" s="327" t="n">
        <v>0.04</v>
      </c>
      <c r="O27" s="327" t="n">
        <v>0.04</v>
      </c>
      <c r="P27" s="327" t="n">
        <v>0.04</v>
      </c>
      <c r="Q27" s="327" t="n">
        <v>0.04</v>
      </c>
      <c r="R27" s="327" t="n">
        <v>0.04</v>
      </c>
      <c r="S27" s="327" t="n">
        <v>0.04</v>
      </c>
      <c r="T27" s="327" t="n">
        <v>0.04</v>
      </c>
      <c r="U27" s="327" t="n">
        <v>0.04</v>
      </c>
      <c r="V27" s="327" t="n">
        <v>0.04</v>
      </c>
      <c r="W27" s="327" t="n">
        <v>0.04</v>
      </c>
      <c r="X27" s="327" t="n">
        <v>0.04</v>
      </c>
      <c r="Y27" s="315" t="n">
        <v>1000</v>
      </c>
    </row>
    <row r="28" customFormat="false" ht="12.75" hidden="false" customHeight="false" outlineLevel="0" collapsed="false">
      <c r="A28" s="328" t="s">
        <v>228</v>
      </c>
      <c r="B28" s="329" t="n">
        <v>0</v>
      </c>
      <c r="C28" s="330" t="n">
        <v>310</v>
      </c>
      <c r="D28" s="330" t="n">
        <v>250</v>
      </c>
      <c r="E28" s="330" t="n">
        <v>212</v>
      </c>
      <c r="F28" s="330" t="n">
        <v>0</v>
      </c>
      <c r="G28" s="330" t="n">
        <v>0</v>
      </c>
      <c r="H28" s="330" t="n">
        <v>0</v>
      </c>
      <c r="I28" s="330" t="n">
        <v>0</v>
      </c>
      <c r="J28" s="330" t="n">
        <v>0</v>
      </c>
      <c r="K28" s="330" t="n">
        <v>0</v>
      </c>
      <c r="L28" s="330" t="n">
        <v>0</v>
      </c>
      <c r="M28" s="330" t="n">
        <v>0</v>
      </c>
      <c r="N28" s="330" t="n">
        <v>0</v>
      </c>
      <c r="O28" s="330" t="n">
        <v>0</v>
      </c>
      <c r="P28" s="330" t="n">
        <v>0</v>
      </c>
      <c r="Q28" s="330" t="n">
        <v>0</v>
      </c>
      <c r="R28" s="330" t="n">
        <v>0</v>
      </c>
      <c r="S28" s="330" t="n">
        <v>0</v>
      </c>
      <c r="T28" s="330" t="n">
        <v>0</v>
      </c>
      <c r="U28" s="330" t="n">
        <v>0</v>
      </c>
      <c r="V28" s="330" t="n">
        <v>0</v>
      </c>
      <c r="W28" s="330" t="n">
        <v>0</v>
      </c>
      <c r="X28" s="330" t="n">
        <v>0</v>
      </c>
      <c r="Y28" s="331" t="n">
        <v>0</v>
      </c>
    </row>
    <row r="29" customFormat="false" ht="13.5" hidden="false" customHeight="false" outlineLevel="0" collapsed="false">
      <c r="A29" s="316" t="s">
        <v>229</v>
      </c>
      <c r="B29" s="332" t="n">
        <f aca="false">(C28+B28)*(C27-B27)/2</f>
        <v>0.155</v>
      </c>
      <c r="C29" s="333" t="n">
        <f aca="false">(D28+C28)*(D27-C27)/2</f>
        <v>5.32</v>
      </c>
      <c r="D29" s="333" t="n">
        <f aca="false">(E28+D28)*(E27-D27)/2</f>
        <v>4.158</v>
      </c>
      <c r="E29" s="333" t="n">
        <f aca="false">(F28+E28)*(F27-E27)/2</f>
        <v>0.212</v>
      </c>
      <c r="F29" s="333" t="n">
        <f aca="false">(G28+F28)*(G27-F27)/2</f>
        <v>0</v>
      </c>
      <c r="G29" s="333" t="n">
        <f aca="false">(H28+G28)*(H27-G27)/2</f>
        <v>0</v>
      </c>
      <c r="H29" s="333" t="n">
        <f aca="false">(I28+H28)*(I27-H27)/2</f>
        <v>0</v>
      </c>
      <c r="I29" s="333" t="n">
        <f aca="false">(J28+I28)*(J27-I27)/2</f>
        <v>0</v>
      </c>
      <c r="J29" s="333" t="n">
        <f aca="false">(K28+J28)*(K27-J27)/2</f>
        <v>0</v>
      </c>
      <c r="K29" s="333" t="n">
        <f aca="false">(L28+K28)*(L27-K27)/2</f>
        <v>0</v>
      </c>
      <c r="L29" s="333" t="n">
        <f aca="false">(M28+L28)*(M27-L27)/2</f>
        <v>0</v>
      </c>
      <c r="M29" s="333" t="n">
        <f aca="false">(N28+M28)*(N27-M27)/2</f>
        <v>0</v>
      </c>
      <c r="N29" s="333" t="n">
        <f aca="false">(O28+N28)*(O27-N27)/2</f>
        <v>0</v>
      </c>
      <c r="O29" s="333" t="n">
        <f aca="false">(P28+O28)*(P27-O27)/2</f>
        <v>0</v>
      </c>
      <c r="P29" s="333" t="n">
        <f aca="false">(Q28+P28)*(Q27-P27)/2</f>
        <v>0</v>
      </c>
      <c r="Q29" s="333" t="n">
        <f aca="false">(R28+Q28)*(R27-Q27)/2</f>
        <v>0</v>
      </c>
      <c r="R29" s="333" t="n">
        <f aca="false">(S28+R28)*(S27-R27)/2</f>
        <v>0</v>
      </c>
      <c r="S29" s="333" t="n">
        <f aca="false">(T28+S28)*(T27-S27)/2</f>
        <v>0</v>
      </c>
      <c r="T29" s="333" t="n">
        <f aca="false">(U28+T28)*(U27-T27)/2</f>
        <v>0</v>
      </c>
      <c r="U29" s="333" t="n">
        <f aca="false">(V28+U28)*(V27-U27)/2</f>
        <v>0</v>
      </c>
      <c r="V29" s="333" t="n">
        <f aca="false">(W28+V28)*(W27-V27)/2</f>
        <v>0</v>
      </c>
      <c r="W29" s="333" t="n">
        <f aca="false">(X28+W28)*(X27-W27)/2</f>
        <v>0</v>
      </c>
      <c r="X29" s="333" t="n">
        <f aca="false">(Y28+X28)*(Y27-X27)/2</f>
        <v>0</v>
      </c>
      <c r="Y29" s="319"/>
    </row>
    <row r="30" customFormat="false" ht="13.5" hidden="false" customHeight="false" outlineLevel="0" collapsed="false">
      <c r="A30" s="320"/>
      <c r="L30" s="320"/>
      <c r="M30" s="320"/>
      <c r="N30" s="320"/>
      <c r="O30" s="320"/>
      <c r="P30" s="320"/>
      <c r="Q30" s="320"/>
      <c r="R30" s="320"/>
      <c r="S30" s="320"/>
      <c r="T30" s="320"/>
      <c r="U30" s="320"/>
      <c r="V30" s="320"/>
      <c r="W30" s="320"/>
      <c r="X30" s="320"/>
      <c r="Y30" s="320"/>
    </row>
    <row r="31" customFormat="false" ht="13.5" hidden="false" customHeight="false" outlineLevel="0" collapsed="false">
      <c r="A31" s="321" t="s">
        <v>230</v>
      </c>
      <c r="B31" s="322" t="n">
        <f aca="false">ROW(A31)</f>
        <v>31</v>
      </c>
      <c r="C31" s="305" t="s">
        <v>212</v>
      </c>
      <c r="D31" s="306" t="n">
        <f aca="false">SUM(B34:Y34)</f>
        <v>13.8145</v>
      </c>
      <c r="E31" s="305" t="s">
        <v>213</v>
      </c>
      <c r="F31" s="312" t="n">
        <f aca="false">D31/g/J31</f>
        <v>3.12934647185412</v>
      </c>
      <c r="G31" s="305" t="s">
        <v>214</v>
      </c>
      <c r="H31" s="323" t="n">
        <v>0.45</v>
      </c>
      <c r="I31" s="305" t="s">
        <v>225</v>
      </c>
      <c r="J31" s="308" t="n">
        <f aca="false">H31-L31</f>
        <v>0.45</v>
      </c>
      <c r="K31" s="305" t="s">
        <v>226</v>
      </c>
      <c r="L31" s="323" t="n">
        <v>0</v>
      </c>
      <c r="M31" s="305" t="s">
        <v>217</v>
      </c>
      <c r="N31" s="324" t="n">
        <f aca="false">0.3*R31</f>
        <v>90</v>
      </c>
      <c r="O31" s="305" t="s">
        <v>218</v>
      </c>
      <c r="P31" s="324" t="n">
        <v>150</v>
      </c>
      <c r="Q31" s="305" t="s">
        <v>219</v>
      </c>
      <c r="R31" s="324" t="n">
        <v>300</v>
      </c>
      <c r="S31" s="305" t="s">
        <v>220</v>
      </c>
      <c r="T31" s="324" t="n">
        <v>90</v>
      </c>
      <c r="U31" s="305" t="s">
        <v>8</v>
      </c>
      <c r="V31" s="325" t="s">
        <v>223</v>
      </c>
      <c r="W31" s="320"/>
      <c r="X31" s="320"/>
      <c r="Y31" s="320"/>
    </row>
    <row r="32" customFormat="false" ht="12.75" hidden="false" customHeight="false" outlineLevel="0" collapsed="false">
      <c r="A32" s="303" t="s">
        <v>227</v>
      </c>
      <c r="B32" s="326" t="n">
        <v>0</v>
      </c>
      <c r="C32" s="327" t="n">
        <v>0.001</v>
      </c>
      <c r="D32" s="327" t="n">
        <v>0.02</v>
      </c>
      <c r="E32" s="327" t="n">
        <v>0.04</v>
      </c>
      <c r="F32" s="327" t="n">
        <v>0.061</v>
      </c>
      <c r="G32" s="327" t="n">
        <v>0.062</v>
      </c>
      <c r="H32" s="327" t="n">
        <v>0.062</v>
      </c>
      <c r="I32" s="327" t="n">
        <v>0.062</v>
      </c>
      <c r="J32" s="327" t="n">
        <v>0.062</v>
      </c>
      <c r="K32" s="327" t="n">
        <v>0.062</v>
      </c>
      <c r="L32" s="327" t="n">
        <v>0.062</v>
      </c>
      <c r="M32" s="327" t="n">
        <v>0.062</v>
      </c>
      <c r="N32" s="327" t="n">
        <v>0.062</v>
      </c>
      <c r="O32" s="327" t="n">
        <v>0.062</v>
      </c>
      <c r="P32" s="327" t="n">
        <v>0.062</v>
      </c>
      <c r="Q32" s="327" t="n">
        <v>0.062</v>
      </c>
      <c r="R32" s="327" t="n">
        <v>0.062</v>
      </c>
      <c r="S32" s="327" t="n">
        <v>0.062</v>
      </c>
      <c r="T32" s="327" t="n">
        <v>0.062</v>
      </c>
      <c r="U32" s="327" t="n">
        <v>0.062</v>
      </c>
      <c r="V32" s="327" t="n">
        <v>0.062</v>
      </c>
      <c r="W32" s="327" t="n">
        <v>0.062</v>
      </c>
      <c r="X32" s="327" t="n">
        <v>0.062</v>
      </c>
      <c r="Y32" s="315" t="n">
        <v>1000</v>
      </c>
    </row>
    <row r="33" customFormat="false" ht="12.75" hidden="false" customHeight="false" outlineLevel="0" collapsed="false">
      <c r="A33" s="328" t="s">
        <v>228</v>
      </c>
      <c r="B33" s="329" t="n">
        <v>0</v>
      </c>
      <c r="C33" s="330" t="n">
        <v>310</v>
      </c>
      <c r="D33" s="330" t="n">
        <v>245</v>
      </c>
      <c r="E33" s="330" t="n">
        <v>200</v>
      </c>
      <c r="F33" s="330" t="n">
        <v>167</v>
      </c>
      <c r="G33" s="330" t="n">
        <v>0</v>
      </c>
      <c r="H33" s="330" t="n">
        <v>0</v>
      </c>
      <c r="I33" s="330" t="n">
        <v>0</v>
      </c>
      <c r="J33" s="330" t="n">
        <v>0</v>
      </c>
      <c r="K33" s="330" t="n">
        <v>0</v>
      </c>
      <c r="L33" s="330" t="n">
        <v>0</v>
      </c>
      <c r="M33" s="330" t="n">
        <v>0</v>
      </c>
      <c r="N33" s="330" t="n">
        <v>0</v>
      </c>
      <c r="O33" s="330" t="n">
        <v>0</v>
      </c>
      <c r="P33" s="330" t="n">
        <v>0</v>
      </c>
      <c r="Q33" s="330" t="n">
        <v>0</v>
      </c>
      <c r="R33" s="330" t="n">
        <v>0</v>
      </c>
      <c r="S33" s="330" t="n">
        <v>0</v>
      </c>
      <c r="T33" s="330" t="n">
        <v>0</v>
      </c>
      <c r="U33" s="330" t="n">
        <v>0</v>
      </c>
      <c r="V33" s="330" t="n">
        <v>0</v>
      </c>
      <c r="W33" s="330" t="n">
        <v>0</v>
      </c>
      <c r="X33" s="330" t="n">
        <v>0</v>
      </c>
      <c r="Y33" s="331" t="n">
        <v>0</v>
      </c>
    </row>
    <row r="34" customFormat="false" ht="13.5" hidden="false" customHeight="false" outlineLevel="0" collapsed="false">
      <c r="A34" s="316" t="s">
        <v>229</v>
      </c>
      <c r="B34" s="332" t="n">
        <f aca="false">(C33+B33)*(C32-B32)/2</f>
        <v>0.155</v>
      </c>
      <c r="C34" s="333" t="n">
        <f aca="false">(D33+C33)*(D32-C32)/2</f>
        <v>5.2725</v>
      </c>
      <c r="D34" s="333" t="n">
        <f aca="false">(E33+D33)*(E32-D32)/2</f>
        <v>4.45</v>
      </c>
      <c r="E34" s="333" t="n">
        <f aca="false">(F33+E33)*(F32-E32)/2</f>
        <v>3.8535</v>
      </c>
      <c r="F34" s="333" t="n">
        <f aca="false">(G33+F33)*(G32-F32)/2</f>
        <v>0.0835000000000001</v>
      </c>
      <c r="G34" s="333" t="n">
        <f aca="false">(H33+G33)*(H32-G32)/2</f>
        <v>0</v>
      </c>
      <c r="H34" s="333" t="n">
        <f aca="false">(I33+H33)*(I32-H32)/2</f>
        <v>0</v>
      </c>
      <c r="I34" s="333" t="n">
        <f aca="false">(J33+I33)*(J32-I32)/2</f>
        <v>0</v>
      </c>
      <c r="J34" s="333" t="n">
        <f aca="false">(K33+J33)*(K32-J32)/2</f>
        <v>0</v>
      </c>
      <c r="K34" s="333" t="n">
        <f aca="false">(L33+K33)*(L32-K32)/2</f>
        <v>0</v>
      </c>
      <c r="L34" s="333" t="n">
        <f aca="false">(M33+L33)*(M32-L32)/2</f>
        <v>0</v>
      </c>
      <c r="M34" s="333" t="n">
        <f aca="false">(N33+M33)*(N32-M32)/2</f>
        <v>0</v>
      </c>
      <c r="N34" s="333" t="n">
        <f aca="false">(O33+N33)*(O32-N32)/2</f>
        <v>0</v>
      </c>
      <c r="O34" s="333" t="n">
        <f aca="false">(P33+O33)*(P32-O32)/2</f>
        <v>0</v>
      </c>
      <c r="P34" s="333" t="n">
        <f aca="false">(Q33+P33)*(Q32-P32)/2</f>
        <v>0</v>
      </c>
      <c r="Q34" s="333" t="n">
        <f aca="false">(R33+Q33)*(R32-Q32)/2</f>
        <v>0</v>
      </c>
      <c r="R34" s="333" t="n">
        <f aca="false">(S33+R33)*(S32-R32)/2</f>
        <v>0</v>
      </c>
      <c r="S34" s="333" t="n">
        <f aca="false">(T33+S33)*(T32-S32)/2</f>
        <v>0</v>
      </c>
      <c r="T34" s="333" t="n">
        <f aca="false">(U33+T33)*(U32-T32)/2</f>
        <v>0</v>
      </c>
      <c r="U34" s="333" t="n">
        <f aca="false">(V33+U33)*(V32-U32)/2</f>
        <v>0</v>
      </c>
      <c r="V34" s="333" t="n">
        <f aca="false">(W33+V33)*(W32-V32)/2</f>
        <v>0</v>
      </c>
      <c r="W34" s="333" t="n">
        <f aca="false">(X33+W33)*(X32-W32)/2</f>
        <v>0</v>
      </c>
      <c r="X34" s="333" t="n">
        <f aca="false">(Y33+X33)*(Y32-X32)/2</f>
        <v>0</v>
      </c>
      <c r="Y34" s="319"/>
    </row>
    <row r="35" customFormat="false" ht="13.5" hidden="false" customHeight="false" outlineLevel="0" collapsed="false">
      <c r="B35" s="320"/>
      <c r="C35" s="320"/>
      <c r="D35" s="320"/>
      <c r="E35" s="320"/>
      <c r="F35" s="320"/>
      <c r="G35" s="320"/>
      <c r="H35" s="320"/>
      <c r="I35" s="320"/>
      <c r="J35" s="320"/>
      <c r="K35" s="320"/>
      <c r="L35" s="320"/>
      <c r="M35" s="320"/>
      <c r="N35" s="320"/>
      <c r="O35" s="320"/>
      <c r="P35" s="320"/>
      <c r="Q35" s="320"/>
      <c r="R35" s="320"/>
      <c r="S35" s="320"/>
      <c r="T35" s="320"/>
      <c r="U35" s="320"/>
      <c r="V35" s="320"/>
      <c r="W35" s="320"/>
      <c r="X35" s="320"/>
      <c r="Y35" s="320"/>
    </row>
    <row r="36" customFormat="false" ht="13.5" hidden="false" customHeight="false" outlineLevel="0" collapsed="false">
      <c r="A36" s="321" t="s">
        <v>231</v>
      </c>
      <c r="B36" s="322" t="n">
        <f aca="false">ROW(A36)</f>
        <v>36</v>
      </c>
      <c r="C36" s="305" t="s">
        <v>212</v>
      </c>
      <c r="D36" s="306" t="n">
        <f aca="false">SUM(B39:Y39)</f>
        <v>17.1445</v>
      </c>
      <c r="E36" s="305" t="s">
        <v>213</v>
      </c>
      <c r="F36" s="312" t="n">
        <f aca="false">D36/g/J36</f>
        <v>2.91275908936459</v>
      </c>
      <c r="G36" s="305" t="s">
        <v>214</v>
      </c>
      <c r="H36" s="323" t="n">
        <v>0.6</v>
      </c>
      <c r="I36" s="305" t="s">
        <v>225</v>
      </c>
      <c r="J36" s="308" t="n">
        <f aca="false">H36-L36</f>
        <v>0.6</v>
      </c>
      <c r="K36" s="305" t="s">
        <v>226</v>
      </c>
      <c r="L36" s="323" t="n">
        <v>0</v>
      </c>
      <c r="M36" s="305" t="s">
        <v>217</v>
      </c>
      <c r="N36" s="324" t="n">
        <f aca="false">0.4*R36</f>
        <v>120</v>
      </c>
      <c r="O36" s="305" t="s">
        <v>218</v>
      </c>
      <c r="P36" s="324" t="n">
        <v>150</v>
      </c>
      <c r="Q36" s="305" t="s">
        <v>219</v>
      </c>
      <c r="R36" s="324" t="n">
        <v>300</v>
      </c>
      <c r="S36" s="305" t="s">
        <v>220</v>
      </c>
      <c r="T36" s="324" t="n">
        <v>90</v>
      </c>
      <c r="U36" s="305" t="s">
        <v>8</v>
      </c>
      <c r="V36" s="325" t="s">
        <v>223</v>
      </c>
      <c r="W36" s="320"/>
      <c r="X36" s="320"/>
      <c r="Y36" s="320"/>
    </row>
    <row r="37" customFormat="false" ht="12.75" hidden="false" customHeight="false" outlineLevel="0" collapsed="false">
      <c r="A37" s="303" t="s">
        <v>227</v>
      </c>
      <c r="B37" s="326" t="n">
        <v>0</v>
      </c>
      <c r="C37" s="327" t="n">
        <v>0.001</v>
      </c>
      <c r="D37" s="327" t="n">
        <v>0.02</v>
      </c>
      <c r="E37" s="327" t="n">
        <v>0.04</v>
      </c>
      <c r="F37" s="327" t="n">
        <v>0.06</v>
      </c>
      <c r="G37" s="327" t="n">
        <v>0.08</v>
      </c>
      <c r="H37" s="327" t="n">
        <v>0.088</v>
      </c>
      <c r="I37" s="327" t="n">
        <v>0.089</v>
      </c>
      <c r="J37" s="327" t="n">
        <v>0.089</v>
      </c>
      <c r="K37" s="327" t="n">
        <v>0.089</v>
      </c>
      <c r="L37" s="327" t="n">
        <v>0.089</v>
      </c>
      <c r="M37" s="327" t="n">
        <v>0.089</v>
      </c>
      <c r="N37" s="327" t="n">
        <v>0.089</v>
      </c>
      <c r="O37" s="327" t="n">
        <v>0.089</v>
      </c>
      <c r="P37" s="327" t="n">
        <v>0.089</v>
      </c>
      <c r="Q37" s="327" t="n">
        <v>0.089</v>
      </c>
      <c r="R37" s="327" t="n">
        <v>0.089</v>
      </c>
      <c r="S37" s="327" t="n">
        <v>0.089</v>
      </c>
      <c r="T37" s="327" t="n">
        <v>0.089</v>
      </c>
      <c r="U37" s="327" t="n">
        <v>0.089</v>
      </c>
      <c r="V37" s="327" t="n">
        <v>0.089</v>
      </c>
      <c r="W37" s="327" t="n">
        <v>0.089</v>
      </c>
      <c r="X37" s="327" t="n">
        <v>0.089</v>
      </c>
      <c r="Y37" s="315" t="n">
        <v>1000</v>
      </c>
    </row>
    <row r="38" customFormat="false" ht="12.75" hidden="false" customHeight="false" outlineLevel="0" collapsed="false">
      <c r="A38" s="328" t="s">
        <v>228</v>
      </c>
      <c r="B38" s="329" t="n">
        <v>0</v>
      </c>
      <c r="C38" s="330" t="n">
        <v>310</v>
      </c>
      <c r="D38" s="330" t="n">
        <v>240</v>
      </c>
      <c r="E38" s="330" t="n">
        <v>190</v>
      </c>
      <c r="F38" s="330" t="n">
        <v>157</v>
      </c>
      <c r="G38" s="330" t="n">
        <v>133</v>
      </c>
      <c r="H38" s="330" t="n">
        <v>125</v>
      </c>
      <c r="I38" s="330" t="n">
        <v>0</v>
      </c>
      <c r="J38" s="330" t="n">
        <v>0</v>
      </c>
      <c r="K38" s="330" t="n">
        <v>0</v>
      </c>
      <c r="L38" s="330" t="n">
        <v>0</v>
      </c>
      <c r="M38" s="330" t="n">
        <v>0</v>
      </c>
      <c r="N38" s="330" t="n">
        <v>0</v>
      </c>
      <c r="O38" s="330" t="n">
        <v>0</v>
      </c>
      <c r="P38" s="330" t="n">
        <v>0</v>
      </c>
      <c r="Q38" s="330" t="n">
        <v>0</v>
      </c>
      <c r="R38" s="330" t="n">
        <v>0</v>
      </c>
      <c r="S38" s="330" t="n">
        <v>0</v>
      </c>
      <c r="T38" s="330" t="n">
        <v>0</v>
      </c>
      <c r="U38" s="330" t="n">
        <v>0</v>
      </c>
      <c r="V38" s="330" t="n">
        <v>0</v>
      </c>
      <c r="W38" s="330" t="n">
        <v>0</v>
      </c>
      <c r="X38" s="330" t="n">
        <v>0</v>
      </c>
      <c r="Y38" s="331" t="n">
        <v>0</v>
      </c>
    </row>
    <row r="39" customFormat="false" ht="13.5" hidden="false" customHeight="false" outlineLevel="0" collapsed="false">
      <c r="A39" s="316" t="s">
        <v>229</v>
      </c>
      <c r="B39" s="332" t="n">
        <f aca="false">(C38+B38)*(C37-B37)/2</f>
        <v>0.155</v>
      </c>
      <c r="C39" s="333" t="n">
        <f aca="false">(D38+C38)*(D37-C37)/2</f>
        <v>5.225</v>
      </c>
      <c r="D39" s="333" t="n">
        <f aca="false">(E38+D38)*(E37-D37)/2</f>
        <v>4.3</v>
      </c>
      <c r="E39" s="333" t="n">
        <f aca="false">(F38+E38)*(F37-E37)/2</f>
        <v>3.47</v>
      </c>
      <c r="F39" s="333" t="n">
        <f aca="false">(G38+F38)*(G37-F37)/2</f>
        <v>2.9</v>
      </c>
      <c r="G39" s="333" t="n">
        <f aca="false">(H38+G38)*(H37-G37)/2</f>
        <v>1.032</v>
      </c>
      <c r="H39" s="333" t="n">
        <f aca="false">(I38+H38)*(I37-H37)/2</f>
        <v>0.0625000000000001</v>
      </c>
      <c r="I39" s="333" t="n">
        <f aca="false">(J38+I38)*(J37-I37)/2</f>
        <v>0</v>
      </c>
      <c r="J39" s="333" t="n">
        <f aca="false">(K38+J38)*(K37-J37)/2</f>
        <v>0</v>
      </c>
      <c r="K39" s="333" t="n">
        <f aca="false">(L38+K38)*(L37-K37)/2</f>
        <v>0</v>
      </c>
      <c r="L39" s="333" t="n">
        <f aca="false">(M38+L38)*(M37-L37)/2</f>
        <v>0</v>
      </c>
      <c r="M39" s="333" t="n">
        <f aca="false">(N38+M38)*(N37-M37)/2</f>
        <v>0</v>
      </c>
      <c r="N39" s="333" t="n">
        <f aca="false">(O38+N38)*(O37-N37)/2</f>
        <v>0</v>
      </c>
      <c r="O39" s="333" t="n">
        <f aca="false">(P38+O38)*(P37-O37)/2</f>
        <v>0</v>
      </c>
      <c r="P39" s="333" t="n">
        <f aca="false">(Q38+P38)*(Q37-P37)/2</f>
        <v>0</v>
      </c>
      <c r="Q39" s="333" t="n">
        <f aca="false">(R38+Q38)*(R37-Q37)/2</f>
        <v>0</v>
      </c>
      <c r="R39" s="333" t="n">
        <f aca="false">(S38+R38)*(S37-R37)/2</f>
        <v>0</v>
      </c>
      <c r="S39" s="333" t="n">
        <f aca="false">(T38+S38)*(T37-S37)/2</f>
        <v>0</v>
      </c>
      <c r="T39" s="333" t="n">
        <f aca="false">(U38+T38)*(U37-T37)/2</f>
        <v>0</v>
      </c>
      <c r="U39" s="333" t="n">
        <f aca="false">(V38+U38)*(V37-U37)/2</f>
        <v>0</v>
      </c>
      <c r="V39" s="333" t="n">
        <f aca="false">(W38+V38)*(W37-V37)/2</f>
        <v>0</v>
      </c>
      <c r="W39" s="333" t="n">
        <f aca="false">(X38+W38)*(X37-W37)/2</f>
        <v>0</v>
      </c>
      <c r="X39" s="333" t="n">
        <f aca="false">(Y38+X38)*(Y37-X37)/2</f>
        <v>0</v>
      </c>
      <c r="Y39" s="319"/>
    </row>
    <row r="40" customFormat="false" ht="13.5" hidden="false" customHeight="false" outlineLevel="0" collapsed="false">
      <c r="A40" s="320"/>
      <c r="L40" s="320"/>
      <c r="M40" s="320"/>
      <c r="N40" s="320"/>
      <c r="O40" s="320"/>
      <c r="P40" s="320"/>
      <c r="Q40" s="320"/>
      <c r="R40" s="320"/>
      <c r="S40" s="320"/>
      <c r="T40" s="320"/>
      <c r="U40" s="320"/>
      <c r="V40" s="320"/>
      <c r="W40" s="320"/>
      <c r="X40" s="320"/>
      <c r="Y40" s="320"/>
    </row>
    <row r="41" customFormat="false" ht="13.5" hidden="false" customHeight="false" outlineLevel="0" collapsed="false">
      <c r="A41" s="321" t="s">
        <v>232</v>
      </c>
      <c r="B41" s="322" t="n">
        <f aca="false">ROW(A41)</f>
        <v>41</v>
      </c>
      <c r="C41" s="305" t="s">
        <v>212</v>
      </c>
      <c r="D41" s="306" t="n">
        <f aca="false">SUM(B44:Y44)</f>
        <v>19.415</v>
      </c>
      <c r="E41" s="305" t="s">
        <v>213</v>
      </c>
      <c r="F41" s="312" t="n">
        <f aca="false">D41/g/J41</f>
        <v>2.63880394155624</v>
      </c>
      <c r="G41" s="305" t="s">
        <v>214</v>
      </c>
      <c r="H41" s="323" t="n">
        <v>0.75</v>
      </c>
      <c r="I41" s="305" t="s">
        <v>225</v>
      </c>
      <c r="J41" s="308" t="n">
        <f aca="false">H41-L41</f>
        <v>0.75</v>
      </c>
      <c r="K41" s="305" t="s">
        <v>226</v>
      </c>
      <c r="L41" s="323" t="n">
        <v>0</v>
      </c>
      <c r="M41" s="305" t="s">
        <v>217</v>
      </c>
      <c r="N41" s="324" t="n">
        <f aca="false">0.5*R41</f>
        <v>150</v>
      </c>
      <c r="O41" s="305" t="s">
        <v>218</v>
      </c>
      <c r="P41" s="324" t="n">
        <v>150</v>
      </c>
      <c r="Q41" s="305" t="s">
        <v>219</v>
      </c>
      <c r="R41" s="324" t="n">
        <v>300</v>
      </c>
      <c r="S41" s="305" t="s">
        <v>220</v>
      </c>
      <c r="T41" s="324" t="n">
        <v>90</v>
      </c>
      <c r="U41" s="305" t="s">
        <v>8</v>
      </c>
      <c r="V41" s="325" t="s">
        <v>223</v>
      </c>
      <c r="W41" s="320"/>
      <c r="X41" s="320"/>
      <c r="Y41" s="320"/>
    </row>
    <row r="42" customFormat="false" ht="12.75" hidden="false" customHeight="false" outlineLevel="0" collapsed="false">
      <c r="A42" s="303" t="s">
        <v>227</v>
      </c>
      <c r="B42" s="326" t="n">
        <v>0</v>
      </c>
      <c r="C42" s="327" t="n">
        <v>0.001</v>
      </c>
      <c r="D42" s="327" t="n">
        <v>0.02</v>
      </c>
      <c r="E42" s="327" t="n">
        <v>0.04</v>
      </c>
      <c r="F42" s="327" t="n">
        <v>0.06</v>
      </c>
      <c r="G42" s="327" t="n">
        <v>0.08</v>
      </c>
      <c r="H42" s="327" t="n">
        <v>0.1</v>
      </c>
      <c r="I42" s="327" t="n">
        <v>0.123</v>
      </c>
      <c r="J42" s="327" t="n">
        <v>0.124</v>
      </c>
      <c r="K42" s="327" t="n">
        <v>0.124</v>
      </c>
      <c r="L42" s="327" t="n">
        <v>0.124</v>
      </c>
      <c r="M42" s="327" t="n">
        <v>0.124</v>
      </c>
      <c r="N42" s="327" t="n">
        <v>0.124</v>
      </c>
      <c r="O42" s="327" t="n">
        <v>0.124</v>
      </c>
      <c r="P42" s="327" t="n">
        <v>0.124</v>
      </c>
      <c r="Q42" s="327" t="n">
        <v>0.124</v>
      </c>
      <c r="R42" s="327" t="n">
        <v>0.124</v>
      </c>
      <c r="S42" s="327" t="n">
        <v>0.124</v>
      </c>
      <c r="T42" s="327" t="n">
        <v>0.124</v>
      </c>
      <c r="U42" s="327" t="n">
        <v>0.124</v>
      </c>
      <c r="V42" s="327" t="n">
        <v>0.124</v>
      </c>
      <c r="W42" s="327" t="n">
        <v>0.124</v>
      </c>
      <c r="X42" s="327" t="n">
        <v>0.124</v>
      </c>
      <c r="Y42" s="315" t="n">
        <v>1000</v>
      </c>
    </row>
    <row r="43" customFormat="false" ht="12.75" hidden="false" customHeight="false" outlineLevel="0" collapsed="false">
      <c r="A43" s="328" t="s">
        <v>228</v>
      </c>
      <c r="B43" s="329" t="n">
        <v>0</v>
      </c>
      <c r="C43" s="330" t="n">
        <v>310</v>
      </c>
      <c r="D43" s="330" t="n">
        <v>230</v>
      </c>
      <c r="E43" s="330" t="n">
        <v>175</v>
      </c>
      <c r="F43" s="330" t="n">
        <v>140</v>
      </c>
      <c r="G43" s="330" t="n">
        <v>118</v>
      </c>
      <c r="H43" s="330" t="n">
        <v>100</v>
      </c>
      <c r="I43" s="330" t="n">
        <v>85</v>
      </c>
      <c r="J43" s="330" t="n">
        <v>0</v>
      </c>
      <c r="K43" s="330" t="n">
        <v>0</v>
      </c>
      <c r="L43" s="330" t="n">
        <v>0</v>
      </c>
      <c r="M43" s="330" t="n">
        <v>0</v>
      </c>
      <c r="N43" s="330" t="n">
        <v>0</v>
      </c>
      <c r="O43" s="330" t="n">
        <v>0</v>
      </c>
      <c r="P43" s="330" t="n">
        <v>0</v>
      </c>
      <c r="Q43" s="330" t="n">
        <v>0</v>
      </c>
      <c r="R43" s="330" t="n">
        <v>0</v>
      </c>
      <c r="S43" s="330" t="n">
        <v>0</v>
      </c>
      <c r="T43" s="330" t="n">
        <v>0</v>
      </c>
      <c r="U43" s="330" t="n">
        <v>0</v>
      </c>
      <c r="V43" s="330" t="n">
        <v>0</v>
      </c>
      <c r="W43" s="330" t="n">
        <v>0</v>
      </c>
      <c r="X43" s="330" t="n">
        <v>0</v>
      </c>
      <c r="Y43" s="331" t="n">
        <v>0</v>
      </c>
    </row>
    <row r="44" customFormat="false" ht="13.5" hidden="false" customHeight="false" outlineLevel="0" collapsed="false">
      <c r="A44" s="316" t="s">
        <v>229</v>
      </c>
      <c r="B44" s="332" t="n">
        <f aca="false">(C43+B43)*(C42-B42)/2</f>
        <v>0.155</v>
      </c>
      <c r="C44" s="333" t="n">
        <f aca="false">(D43+C43)*(D42-C42)/2</f>
        <v>5.13</v>
      </c>
      <c r="D44" s="333" t="n">
        <f aca="false">(E43+D43)*(E42-D42)/2</f>
        <v>4.05</v>
      </c>
      <c r="E44" s="333" t="n">
        <f aca="false">(F43+E43)*(F42-E42)/2</f>
        <v>3.15</v>
      </c>
      <c r="F44" s="333" t="n">
        <f aca="false">(G43+F43)*(G42-F42)/2</f>
        <v>2.58</v>
      </c>
      <c r="G44" s="333" t="n">
        <f aca="false">(H43+G43)*(H42-G42)/2</f>
        <v>2.18</v>
      </c>
      <c r="H44" s="333" t="n">
        <f aca="false">(I43+H43)*(I42-H42)/2</f>
        <v>2.1275</v>
      </c>
      <c r="I44" s="333" t="n">
        <f aca="false">(J43+I43)*(J42-I42)/2</f>
        <v>0.0425</v>
      </c>
      <c r="J44" s="333" t="n">
        <f aca="false">(K43+J43)*(K42-J42)/2</f>
        <v>0</v>
      </c>
      <c r="K44" s="333" t="n">
        <f aca="false">(L43+K43)*(L42-K42)/2</f>
        <v>0</v>
      </c>
      <c r="L44" s="333" t="n">
        <f aca="false">(M43+L43)*(M42-L42)/2</f>
        <v>0</v>
      </c>
      <c r="M44" s="333" t="n">
        <f aca="false">(N43+M43)*(N42-M42)/2</f>
        <v>0</v>
      </c>
      <c r="N44" s="333" t="n">
        <f aca="false">(O43+N43)*(O42-N42)/2</f>
        <v>0</v>
      </c>
      <c r="O44" s="333" t="n">
        <f aca="false">(P43+O43)*(P42-O42)/2</f>
        <v>0</v>
      </c>
      <c r="P44" s="333" t="n">
        <f aca="false">(Q43+P43)*(Q42-P42)/2</f>
        <v>0</v>
      </c>
      <c r="Q44" s="333" t="n">
        <f aca="false">(R43+Q43)*(R42-Q42)/2</f>
        <v>0</v>
      </c>
      <c r="R44" s="333" t="n">
        <f aca="false">(S43+R43)*(S42-R42)/2</f>
        <v>0</v>
      </c>
      <c r="S44" s="333" t="n">
        <f aca="false">(T43+S43)*(T42-S42)/2</f>
        <v>0</v>
      </c>
      <c r="T44" s="333" t="n">
        <f aca="false">(U43+T43)*(U42-T42)/2</f>
        <v>0</v>
      </c>
      <c r="U44" s="333" t="n">
        <f aca="false">(V43+U43)*(V42-U42)/2</f>
        <v>0</v>
      </c>
      <c r="V44" s="333" t="n">
        <f aca="false">(W43+V43)*(W42-V42)/2</f>
        <v>0</v>
      </c>
      <c r="W44" s="333" t="n">
        <f aca="false">(X43+W43)*(X42-W42)/2</f>
        <v>0</v>
      </c>
      <c r="X44" s="333" t="n">
        <f aca="false">(Y43+X43)*(Y42-X42)/2</f>
        <v>0</v>
      </c>
      <c r="Y44" s="319"/>
    </row>
    <row r="45" customFormat="false" ht="13.5" hidden="false" customHeight="false" outlineLevel="0" collapsed="false"/>
    <row r="46" customFormat="false" ht="13.5" hidden="false" customHeight="false" outlineLevel="0" collapsed="false">
      <c r="A46" s="321" t="s">
        <v>233</v>
      </c>
      <c r="B46" s="322" t="n">
        <f aca="false">ROW(A46)</f>
        <v>46</v>
      </c>
      <c r="C46" s="305" t="s">
        <v>212</v>
      </c>
      <c r="D46" s="306" t="n">
        <f aca="false">SUM(B49:Y49)</f>
        <v>12.8695</v>
      </c>
      <c r="E46" s="305" t="s">
        <v>213</v>
      </c>
      <c r="F46" s="312" t="n">
        <f aca="false">D46/g/J46</f>
        <v>3.27968909276249</v>
      </c>
      <c r="G46" s="305" t="s">
        <v>214</v>
      </c>
      <c r="H46" s="323" t="n">
        <v>0.5</v>
      </c>
      <c r="I46" s="305" t="s">
        <v>225</v>
      </c>
      <c r="J46" s="308" t="n">
        <f aca="false">H46-L46</f>
        <v>0.4</v>
      </c>
      <c r="K46" s="305" t="s">
        <v>226</v>
      </c>
      <c r="L46" s="323" t="n">
        <v>0.1</v>
      </c>
      <c r="M46" s="305" t="s">
        <v>217</v>
      </c>
      <c r="N46" s="324" t="n">
        <f aca="false">0.2*R46</f>
        <v>60</v>
      </c>
      <c r="O46" s="305" t="s">
        <v>218</v>
      </c>
      <c r="P46" s="324" t="n">
        <v>150</v>
      </c>
      <c r="Q46" s="305" t="s">
        <v>219</v>
      </c>
      <c r="R46" s="324" t="n">
        <v>300</v>
      </c>
      <c r="S46" s="305" t="s">
        <v>220</v>
      </c>
      <c r="T46" s="324" t="n">
        <v>98</v>
      </c>
      <c r="U46" s="305" t="s">
        <v>8</v>
      </c>
      <c r="V46" s="325" t="s">
        <v>223</v>
      </c>
      <c r="W46" s="320"/>
      <c r="X46" s="320"/>
      <c r="Y46" s="320"/>
    </row>
    <row r="47" customFormat="false" ht="12.75" hidden="false" customHeight="false" outlineLevel="0" collapsed="false">
      <c r="A47" s="303" t="s">
        <v>227</v>
      </c>
      <c r="B47" s="326" t="n">
        <v>0</v>
      </c>
      <c r="C47" s="327" t="n">
        <v>0.001</v>
      </c>
      <c r="D47" s="327" t="n">
        <v>0.02</v>
      </c>
      <c r="E47" s="327" t="n">
        <v>0.04</v>
      </c>
      <c r="F47" s="327" t="n">
        <v>0.05</v>
      </c>
      <c r="G47" s="327" t="n">
        <v>0.051</v>
      </c>
      <c r="H47" s="327" t="n">
        <v>0.051</v>
      </c>
      <c r="I47" s="327" t="n">
        <v>0.051</v>
      </c>
      <c r="J47" s="327" t="n">
        <v>0.051</v>
      </c>
      <c r="K47" s="327" t="n">
        <v>0.051</v>
      </c>
      <c r="L47" s="327" t="n">
        <v>0.051</v>
      </c>
      <c r="M47" s="327" t="n">
        <v>0.051</v>
      </c>
      <c r="N47" s="327" t="n">
        <v>0.051</v>
      </c>
      <c r="O47" s="327" t="n">
        <v>0.051</v>
      </c>
      <c r="P47" s="327" t="n">
        <v>0.051</v>
      </c>
      <c r="Q47" s="327" t="n">
        <v>0.051</v>
      </c>
      <c r="R47" s="327" t="n">
        <v>0.051</v>
      </c>
      <c r="S47" s="327" t="n">
        <v>0.051</v>
      </c>
      <c r="T47" s="327" t="n">
        <v>0.051</v>
      </c>
      <c r="U47" s="327" t="n">
        <v>0.051</v>
      </c>
      <c r="V47" s="327" t="n">
        <v>0.051</v>
      </c>
      <c r="W47" s="327" t="n">
        <v>0.051</v>
      </c>
      <c r="X47" s="327" t="n">
        <v>0.051</v>
      </c>
      <c r="Y47" s="315" t="n">
        <v>1000</v>
      </c>
    </row>
    <row r="48" customFormat="false" ht="12.75" hidden="false" customHeight="false" outlineLevel="0" collapsed="false">
      <c r="A48" s="328" t="s">
        <v>228</v>
      </c>
      <c r="B48" s="329" t="n">
        <v>0</v>
      </c>
      <c r="C48" s="330" t="n">
        <v>310</v>
      </c>
      <c r="D48" s="330" t="n">
        <v>264</v>
      </c>
      <c r="E48" s="330" t="n">
        <v>230</v>
      </c>
      <c r="F48" s="330" t="n">
        <v>213</v>
      </c>
      <c r="G48" s="330" t="n">
        <v>0</v>
      </c>
      <c r="H48" s="330" t="n">
        <v>0</v>
      </c>
      <c r="I48" s="330" t="n">
        <v>0</v>
      </c>
      <c r="J48" s="330" t="n">
        <v>0</v>
      </c>
      <c r="K48" s="330" t="n">
        <v>0</v>
      </c>
      <c r="L48" s="330" t="n">
        <v>0</v>
      </c>
      <c r="M48" s="330" t="n">
        <v>0</v>
      </c>
      <c r="N48" s="330" t="n">
        <v>0</v>
      </c>
      <c r="O48" s="330" t="n">
        <v>0</v>
      </c>
      <c r="P48" s="330" t="n">
        <v>0</v>
      </c>
      <c r="Q48" s="330" t="n">
        <v>0</v>
      </c>
      <c r="R48" s="330" t="n">
        <v>0</v>
      </c>
      <c r="S48" s="330" t="n">
        <v>0</v>
      </c>
      <c r="T48" s="330" t="n">
        <v>0</v>
      </c>
      <c r="U48" s="330" t="n">
        <v>0</v>
      </c>
      <c r="V48" s="330" t="n">
        <v>0</v>
      </c>
      <c r="W48" s="330" t="n">
        <v>0</v>
      </c>
      <c r="X48" s="330" t="n">
        <v>0</v>
      </c>
      <c r="Y48" s="331" t="n">
        <v>0</v>
      </c>
    </row>
    <row r="49" customFormat="false" ht="13.5" hidden="false" customHeight="false" outlineLevel="0" collapsed="false">
      <c r="A49" s="316" t="s">
        <v>229</v>
      </c>
      <c r="B49" s="332" t="n">
        <f aca="false">(C48+B48)*(C47-B47)/2</f>
        <v>0.155</v>
      </c>
      <c r="C49" s="333" t="n">
        <f aca="false">(D48+C48)*(D47-C47)/2</f>
        <v>5.453</v>
      </c>
      <c r="D49" s="333" t="n">
        <f aca="false">(E48+D48)*(E47-D47)/2</f>
        <v>4.94</v>
      </c>
      <c r="E49" s="333" t="n">
        <f aca="false">(F48+E48)*(F47-E47)/2</f>
        <v>2.215</v>
      </c>
      <c r="F49" s="333" t="n">
        <f aca="false">(G48+F48)*(G47-F47)/2</f>
        <v>0.106499999999999</v>
      </c>
      <c r="G49" s="333" t="n">
        <f aca="false">(H48+G48)*(H47-G47)/2</f>
        <v>0</v>
      </c>
      <c r="H49" s="333" t="n">
        <f aca="false">(I48+H48)*(I47-H47)/2</f>
        <v>0</v>
      </c>
      <c r="I49" s="333" t="n">
        <f aca="false">(J48+I48)*(J47-I47)/2</f>
        <v>0</v>
      </c>
      <c r="J49" s="333" t="n">
        <f aca="false">(K48+J48)*(K47-J47)/2</f>
        <v>0</v>
      </c>
      <c r="K49" s="333" t="n">
        <f aca="false">(L48+K48)*(L47-K47)/2</f>
        <v>0</v>
      </c>
      <c r="L49" s="333" t="n">
        <f aca="false">(M48+L48)*(M47-L47)/2</f>
        <v>0</v>
      </c>
      <c r="M49" s="333" t="n">
        <f aca="false">(N48+M48)*(N47-M47)/2</f>
        <v>0</v>
      </c>
      <c r="N49" s="333" t="n">
        <f aca="false">(O48+N48)*(O47-N47)/2</f>
        <v>0</v>
      </c>
      <c r="O49" s="333" t="n">
        <f aca="false">(P48+O48)*(P47-O47)/2</f>
        <v>0</v>
      </c>
      <c r="P49" s="333" t="n">
        <f aca="false">(Q48+P48)*(Q47-P47)/2</f>
        <v>0</v>
      </c>
      <c r="Q49" s="333" t="n">
        <f aca="false">(R48+Q48)*(R47-Q47)/2</f>
        <v>0</v>
      </c>
      <c r="R49" s="333" t="n">
        <f aca="false">(S48+R48)*(S47-R47)/2</f>
        <v>0</v>
      </c>
      <c r="S49" s="333" t="n">
        <f aca="false">(T48+S48)*(T47-S47)/2</f>
        <v>0</v>
      </c>
      <c r="T49" s="333" t="n">
        <f aca="false">(U48+T48)*(U47-T47)/2</f>
        <v>0</v>
      </c>
      <c r="U49" s="333" t="n">
        <f aca="false">(V48+U48)*(V47-U47)/2</f>
        <v>0</v>
      </c>
      <c r="V49" s="333" t="n">
        <f aca="false">(W48+V48)*(W47-V47)/2</f>
        <v>0</v>
      </c>
      <c r="W49" s="333" t="n">
        <f aca="false">(X48+W48)*(X47-W47)/2</f>
        <v>0</v>
      </c>
      <c r="X49" s="333" t="n">
        <f aca="false">(Y48+X48)*(Y47-X47)/2</f>
        <v>0</v>
      </c>
      <c r="Y49" s="319"/>
    </row>
    <row r="50" customFormat="false" ht="13.5" hidden="false" customHeight="false" outlineLevel="0" collapsed="false">
      <c r="A50" s="320"/>
      <c r="L50" s="320"/>
      <c r="M50" s="320"/>
      <c r="N50" s="320"/>
      <c r="O50" s="320"/>
      <c r="P50" s="320"/>
      <c r="Q50" s="320"/>
      <c r="R50" s="320"/>
      <c r="S50" s="320"/>
      <c r="T50" s="320"/>
      <c r="U50" s="320"/>
      <c r="V50" s="320"/>
      <c r="W50" s="320"/>
      <c r="X50" s="320"/>
      <c r="Y50" s="320"/>
    </row>
    <row r="51" customFormat="false" ht="13.5" hidden="false" customHeight="false" outlineLevel="0" collapsed="false">
      <c r="A51" s="321" t="s">
        <v>234</v>
      </c>
      <c r="B51" s="322" t="n">
        <f aca="false">ROW(A51)</f>
        <v>51</v>
      </c>
      <c r="C51" s="305" t="s">
        <v>212</v>
      </c>
      <c r="D51" s="306" t="n">
        <f aca="false">SUM(B54:Y54)</f>
        <v>18.1235</v>
      </c>
      <c r="E51" s="305" t="s">
        <v>213</v>
      </c>
      <c r="F51" s="312" t="n">
        <f aca="false">D51/g/J51</f>
        <v>3.07908596670065</v>
      </c>
      <c r="G51" s="305" t="s">
        <v>214</v>
      </c>
      <c r="H51" s="323" t="n">
        <v>0.7</v>
      </c>
      <c r="I51" s="305" t="s">
        <v>225</v>
      </c>
      <c r="J51" s="308" t="n">
        <f aca="false">H51-L51</f>
        <v>0.6</v>
      </c>
      <c r="K51" s="305" t="s">
        <v>226</v>
      </c>
      <c r="L51" s="323" t="n">
        <v>0.1</v>
      </c>
      <c r="M51" s="305" t="s">
        <v>217</v>
      </c>
      <c r="N51" s="324" t="n">
        <f aca="false">0.3*R51</f>
        <v>90</v>
      </c>
      <c r="O51" s="305" t="s">
        <v>218</v>
      </c>
      <c r="P51" s="324" t="n">
        <v>150</v>
      </c>
      <c r="Q51" s="305" t="s">
        <v>219</v>
      </c>
      <c r="R51" s="324" t="n">
        <v>300</v>
      </c>
      <c r="S51" s="305" t="s">
        <v>220</v>
      </c>
      <c r="T51" s="324" t="n">
        <v>98</v>
      </c>
      <c r="U51" s="305" t="s">
        <v>8</v>
      </c>
      <c r="V51" s="325" t="s">
        <v>223</v>
      </c>
      <c r="W51" s="320"/>
      <c r="X51" s="320"/>
      <c r="Y51" s="320"/>
    </row>
    <row r="52" customFormat="false" ht="12.75" hidden="false" customHeight="false" outlineLevel="0" collapsed="false">
      <c r="A52" s="303" t="s">
        <v>227</v>
      </c>
      <c r="B52" s="326" t="n">
        <v>0</v>
      </c>
      <c r="C52" s="327" t="n">
        <v>0.001</v>
      </c>
      <c r="D52" s="327" t="n">
        <v>0.02</v>
      </c>
      <c r="E52" s="327" t="n">
        <v>0.04</v>
      </c>
      <c r="F52" s="327" t="n">
        <v>0.06</v>
      </c>
      <c r="G52" s="327" t="n">
        <v>0.08</v>
      </c>
      <c r="H52" s="327" t="n">
        <v>0.081</v>
      </c>
      <c r="I52" s="327" t="n">
        <v>0.081</v>
      </c>
      <c r="J52" s="327" t="n">
        <v>0.081</v>
      </c>
      <c r="K52" s="327" t="n">
        <v>0.081</v>
      </c>
      <c r="L52" s="327" t="n">
        <v>0.081</v>
      </c>
      <c r="M52" s="327" t="n">
        <v>0.081</v>
      </c>
      <c r="N52" s="327" t="n">
        <v>0.081</v>
      </c>
      <c r="O52" s="327" t="n">
        <v>0.081</v>
      </c>
      <c r="P52" s="327" t="n">
        <v>0.081</v>
      </c>
      <c r="Q52" s="327" t="n">
        <v>0.081</v>
      </c>
      <c r="R52" s="327" t="n">
        <v>0.081</v>
      </c>
      <c r="S52" s="327" t="n">
        <v>0.081</v>
      </c>
      <c r="T52" s="327" t="n">
        <v>0.081</v>
      </c>
      <c r="U52" s="327" t="n">
        <v>0.081</v>
      </c>
      <c r="V52" s="327" t="n">
        <v>0.081</v>
      </c>
      <c r="W52" s="327" t="n">
        <v>0.081</v>
      </c>
      <c r="X52" s="327" t="n">
        <v>0.081</v>
      </c>
      <c r="Y52" s="315" t="n">
        <v>1000</v>
      </c>
    </row>
    <row r="53" customFormat="false" ht="12.75" hidden="false" customHeight="false" outlineLevel="0" collapsed="false">
      <c r="A53" s="328" t="s">
        <v>228</v>
      </c>
      <c r="B53" s="329" t="n">
        <v>0</v>
      </c>
      <c r="C53" s="330" t="n">
        <v>310</v>
      </c>
      <c r="D53" s="330" t="n">
        <v>260</v>
      </c>
      <c r="E53" s="330" t="n">
        <v>220</v>
      </c>
      <c r="F53" s="330" t="n">
        <v>190</v>
      </c>
      <c r="G53" s="330" t="n">
        <v>167</v>
      </c>
      <c r="H53" s="330" t="n">
        <v>0</v>
      </c>
      <c r="I53" s="330" t="n">
        <v>0</v>
      </c>
      <c r="J53" s="330" t="n">
        <v>0</v>
      </c>
      <c r="K53" s="330" t="n">
        <v>0</v>
      </c>
      <c r="L53" s="330" t="n">
        <v>0</v>
      </c>
      <c r="M53" s="330" t="n">
        <v>0</v>
      </c>
      <c r="N53" s="330" t="n">
        <v>0</v>
      </c>
      <c r="O53" s="330" t="n">
        <v>0</v>
      </c>
      <c r="P53" s="330" t="n">
        <v>0</v>
      </c>
      <c r="Q53" s="330" t="n">
        <v>0</v>
      </c>
      <c r="R53" s="330" t="n">
        <v>0</v>
      </c>
      <c r="S53" s="330" t="n">
        <v>0</v>
      </c>
      <c r="T53" s="330" t="n">
        <v>0</v>
      </c>
      <c r="U53" s="330" t="n">
        <v>0</v>
      </c>
      <c r="V53" s="330" t="n">
        <v>0</v>
      </c>
      <c r="W53" s="330" t="n">
        <v>0</v>
      </c>
      <c r="X53" s="330" t="n">
        <v>0</v>
      </c>
      <c r="Y53" s="331" t="n">
        <v>0</v>
      </c>
    </row>
    <row r="54" customFormat="false" ht="13.5" hidden="false" customHeight="false" outlineLevel="0" collapsed="false">
      <c r="A54" s="316" t="s">
        <v>229</v>
      </c>
      <c r="B54" s="332" t="n">
        <f aca="false">(C53+B53)*(C52-B52)/2</f>
        <v>0.155</v>
      </c>
      <c r="C54" s="333" t="n">
        <f aca="false">(D53+C53)*(D52-C52)/2</f>
        <v>5.415</v>
      </c>
      <c r="D54" s="333" t="n">
        <f aca="false">(E53+D53)*(E52-D52)/2</f>
        <v>4.8</v>
      </c>
      <c r="E54" s="333" t="n">
        <f aca="false">(F53+E53)*(F52-E52)/2</f>
        <v>4.1</v>
      </c>
      <c r="F54" s="333" t="n">
        <f aca="false">(G53+F53)*(G52-F52)/2</f>
        <v>3.57</v>
      </c>
      <c r="G54" s="333" t="n">
        <f aca="false">(H53+G53)*(H52-G52)/2</f>
        <v>0.0835000000000001</v>
      </c>
      <c r="H54" s="333" t="n">
        <f aca="false">(I53+H53)*(I52-H52)/2</f>
        <v>0</v>
      </c>
      <c r="I54" s="333" t="n">
        <f aca="false">(J53+I53)*(J52-I52)/2</f>
        <v>0</v>
      </c>
      <c r="J54" s="333" t="n">
        <f aca="false">(K53+J53)*(K52-J52)/2</f>
        <v>0</v>
      </c>
      <c r="K54" s="333" t="n">
        <f aca="false">(L53+K53)*(L52-K52)/2</f>
        <v>0</v>
      </c>
      <c r="L54" s="333" t="n">
        <f aca="false">(M53+L53)*(M52-L52)/2</f>
        <v>0</v>
      </c>
      <c r="M54" s="333" t="n">
        <f aca="false">(N53+M53)*(N52-M52)/2</f>
        <v>0</v>
      </c>
      <c r="N54" s="333" t="n">
        <f aca="false">(O53+N53)*(O52-N52)/2</f>
        <v>0</v>
      </c>
      <c r="O54" s="333" t="n">
        <f aca="false">(P53+O53)*(P52-O52)/2</f>
        <v>0</v>
      </c>
      <c r="P54" s="333" t="n">
        <f aca="false">(Q53+P53)*(Q52-P52)/2</f>
        <v>0</v>
      </c>
      <c r="Q54" s="333" t="n">
        <f aca="false">(R53+Q53)*(R52-Q52)/2</f>
        <v>0</v>
      </c>
      <c r="R54" s="333" t="n">
        <f aca="false">(S53+R53)*(S52-R52)/2</f>
        <v>0</v>
      </c>
      <c r="S54" s="333" t="n">
        <f aca="false">(T53+S53)*(T52-S52)/2</f>
        <v>0</v>
      </c>
      <c r="T54" s="333" t="n">
        <f aca="false">(U53+T53)*(U52-T52)/2</f>
        <v>0</v>
      </c>
      <c r="U54" s="333" t="n">
        <f aca="false">(V53+U53)*(V52-U52)/2</f>
        <v>0</v>
      </c>
      <c r="V54" s="333" t="n">
        <f aca="false">(W53+V53)*(W52-V52)/2</f>
        <v>0</v>
      </c>
      <c r="W54" s="333" t="n">
        <f aca="false">(X53+W53)*(X52-W52)/2</f>
        <v>0</v>
      </c>
      <c r="X54" s="333" t="n">
        <f aca="false">(Y53+X53)*(Y52-X52)/2</f>
        <v>0</v>
      </c>
      <c r="Y54" s="319"/>
    </row>
    <row r="55" customFormat="false" ht="13.5" hidden="false" customHeight="false" outlineLevel="0" collapsed="false">
      <c r="B55" s="320"/>
      <c r="C55" s="320"/>
      <c r="D55" s="320"/>
      <c r="E55" s="320"/>
      <c r="F55" s="320"/>
      <c r="G55" s="320"/>
      <c r="H55" s="320"/>
      <c r="I55" s="320"/>
      <c r="J55" s="320"/>
      <c r="K55" s="320"/>
      <c r="L55" s="320"/>
      <c r="M55" s="320"/>
      <c r="N55" s="320"/>
      <c r="O55" s="320"/>
      <c r="P55" s="320"/>
      <c r="Q55" s="320"/>
      <c r="R55" s="320"/>
      <c r="S55" s="320"/>
      <c r="T55" s="320"/>
      <c r="U55" s="320"/>
      <c r="V55" s="320"/>
      <c r="W55" s="320"/>
      <c r="X55" s="320"/>
      <c r="Y55" s="320"/>
    </row>
    <row r="56" customFormat="false" ht="13.5" hidden="false" customHeight="false" outlineLevel="0" collapsed="false">
      <c r="A56" s="321" t="s">
        <v>235</v>
      </c>
      <c r="B56" s="322" t="n">
        <f aca="false">ROW(A56)</f>
        <v>56</v>
      </c>
      <c r="C56" s="305" t="s">
        <v>212</v>
      </c>
      <c r="D56" s="306" t="n">
        <f aca="false">SUM(B59:Y59)</f>
        <v>22.61</v>
      </c>
      <c r="E56" s="305" t="s">
        <v>213</v>
      </c>
      <c r="F56" s="312" t="n">
        <f aca="false">D56/g/J56</f>
        <v>2.88098878695209</v>
      </c>
      <c r="G56" s="305" t="s">
        <v>214</v>
      </c>
      <c r="H56" s="323" t="n">
        <v>0.9</v>
      </c>
      <c r="I56" s="305" t="s">
        <v>225</v>
      </c>
      <c r="J56" s="308" t="n">
        <f aca="false">H56-L56</f>
        <v>0.8</v>
      </c>
      <c r="K56" s="305" t="s">
        <v>226</v>
      </c>
      <c r="L56" s="323" t="n">
        <v>0.1</v>
      </c>
      <c r="M56" s="305" t="s">
        <v>217</v>
      </c>
      <c r="N56" s="324" t="n">
        <f aca="false">0.4*R56</f>
        <v>120</v>
      </c>
      <c r="O56" s="305" t="s">
        <v>218</v>
      </c>
      <c r="P56" s="324" t="n">
        <v>150</v>
      </c>
      <c r="Q56" s="305" t="s">
        <v>219</v>
      </c>
      <c r="R56" s="324" t="n">
        <v>300</v>
      </c>
      <c r="S56" s="305" t="s">
        <v>220</v>
      </c>
      <c r="T56" s="324" t="n">
        <v>98</v>
      </c>
      <c r="U56" s="305" t="s">
        <v>8</v>
      </c>
      <c r="V56" s="325" t="s">
        <v>223</v>
      </c>
      <c r="W56" s="320"/>
      <c r="X56" s="320"/>
      <c r="Y56" s="320"/>
    </row>
    <row r="57" customFormat="false" ht="12.75" hidden="false" customHeight="false" outlineLevel="0" collapsed="false">
      <c r="A57" s="303" t="s">
        <v>227</v>
      </c>
      <c r="B57" s="326" t="n">
        <v>0</v>
      </c>
      <c r="C57" s="327" t="n">
        <v>0.001</v>
      </c>
      <c r="D57" s="327" t="n">
        <v>0.02</v>
      </c>
      <c r="E57" s="327" t="n">
        <v>0.04</v>
      </c>
      <c r="F57" s="327" t="n">
        <v>0.06</v>
      </c>
      <c r="G57" s="327" t="n">
        <v>0.08</v>
      </c>
      <c r="H57" s="327" t="n">
        <v>0.1</v>
      </c>
      <c r="I57" s="327" t="n">
        <v>0.117</v>
      </c>
      <c r="J57" s="327" t="n">
        <v>0.118</v>
      </c>
      <c r="K57" s="327" t="n">
        <v>0.118</v>
      </c>
      <c r="L57" s="327" t="n">
        <v>0.118</v>
      </c>
      <c r="M57" s="327" t="n">
        <v>0.118</v>
      </c>
      <c r="N57" s="327" t="n">
        <v>0.118</v>
      </c>
      <c r="O57" s="327" t="n">
        <v>0.118</v>
      </c>
      <c r="P57" s="327" t="n">
        <v>0.118</v>
      </c>
      <c r="Q57" s="327" t="n">
        <v>0.118</v>
      </c>
      <c r="R57" s="327" t="n">
        <v>0.118</v>
      </c>
      <c r="S57" s="327" t="n">
        <v>0.118</v>
      </c>
      <c r="T57" s="327" t="n">
        <v>0.118</v>
      </c>
      <c r="U57" s="327" t="n">
        <v>0.118</v>
      </c>
      <c r="V57" s="327" t="n">
        <v>0.118</v>
      </c>
      <c r="W57" s="327" t="n">
        <v>0.118</v>
      </c>
      <c r="X57" s="327" t="n">
        <v>0.118</v>
      </c>
      <c r="Y57" s="315" t="n">
        <v>1000</v>
      </c>
    </row>
    <row r="58" customFormat="false" ht="12.75" hidden="false" customHeight="false" outlineLevel="0" collapsed="false">
      <c r="A58" s="328" t="s">
        <v>228</v>
      </c>
      <c r="B58" s="329" t="n">
        <v>0</v>
      </c>
      <c r="C58" s="330" t="n">
        <v>310</v>
      </c>
      <c r="D58" s="330" t="n">
        <v>250</v>
      </c>
      <c r="E58" s="330" t="n">
        <v>210</v>
      </c>
      <c r="F58" s="330" t="n">
        <v>180</v>
      </c>
      <c r="G58" s="330" t="n">
        <v>156</v>
      </c>
      <c r="H58" s="330" t="n">
        <v>140</v>
      </c>
      <c r="I58" s="330" t="n">
        <v>125</v>
      </c>
      <c r="J58" s="330" t="n">
        <v>0</v>
      </c>
      <c r="K58" s="330" t="n">
        <v>0</v>
      </c>
      <c r="L58" s="330" t="n">
        <v>0</v>
      </c>
      <c r="M58" s="330" t="n">
        <v>0</v>
      </c>
      <c r="N58" s="330" t="n">
        <v>0</v>
      </c>
      <c r="O58" s="330" t="n">
        <v>0</v>
      </c>
      <c r="P58" s="330" t="n">
        <v>0</v>
      </c>
      <c r="Q58" s="330" t="n">
        <v>0</v>
      </c>
      <c r="R58" s="330" t="n">
        <v>0</v>
      </c>
      <c r="S58" s="330" t="n">
        <v>0</v>
      </c>
      <c r="T58" s="330" t="n">
        <v>0</v>
      </c>
      <c r="U58" s="330" t="n">
        <v>0</v>
      </c>
      <c r="V58" s="330" t="n">
        <v>0</v>
      </c>
      <c r="W58" s="330" t="n">
        <v>0</v>
      </c>
      <c r="X58" s="330" t="n">
        <v>0</v>
      </c>
      <c r="Y58" s="331" t="n">
        <v>0</v>
      </c>
    </row>
    <row r="59" customFormat="false" ht="13.5" hidden="false" customHeight="false" outlineLevel="0" collapsed="false">
      <c r="A59" s="316" t="s">
        <v>229</v>
      </c>
      <c r="B59" s="332" t="n">
        <f aca="false">(C58+B58)*(C57-B57)/2</f>
        <v>0.155</v>
      </c>
      <c r="C59" s="333" t="n">
        <f aca="false">(D58+C58)*(D57-C57)/2</f>
        <v>5.32</v>
      </c>
      <c r="D59" s="333" t="n">
        <f aca="false">(E58+D58)*(E57-D57)/2</f>
        <v>4.6</v>
      </c>
      <c r="E59" s="333" t="n">
        <f aca="false">(F58+E58)*(F57-E57)/2</f>
        <v>3.9</v>
      </c>
      <c r="F59" s="333" t="n">
        <f aca="false">(G58+F58)*(G57-F57)/2</f>
        <v>3.36</v>
      </c>
      <c r="G59" s="333" t="n">
        <f aca="false">(H58+G58)*(H57-G57)/2</f>
        <v>2.96</v>
      </c>
      <c r="H59" s="333" t="n">
        <f aca="false">(I58+H58)*(I57-H57)/2</f>
        <v>2.2525</v>
      </c>
      <c r="I59" s="333" t="n">
        <f aca="false">(J58+I58)*(J57-I57)/2</f>
        <v>0.0624999999999992</v>
      </c>
      <c r="J59" s="333" t="n">
        <f aca="false">(K58+J58)*(K57-J57)/2</f>
        <v>0</v>
      </c>
      <c r="K59" s="333" t="n">
        <f aca="false">(L58+K58)*(L57-K57)/2</f>
        <v>0</v>
      </c>
      <c r="L59" s="333" t="n">
        <f aca="false">(M58+L58)*(M57-L57)/2</f>
        <v>0</v>
      </c>
      <c r="M59" s="333" t="n">
        <f aca="false">(N58+M58)*(N57-M57)/2</f>
        <v>0</v>
      </c>
      <c r="N59" s="333" t="n">
        <f aca="false">(O58+N58)*(O57-N57)/2</f>
        <v>0</v>
      </c>
      <c r="O59" s="333" t="n">
        <f aca="false">(P58+O58)*(P57-O57)/2</f>
        <v>0</v>
      </c>
      <c r="P59" s="333" t="n">
        <f aca="false">(Q58+P58)*(Q57-P57)/2</f>
        <v>0</v>
      </c>
      <c r="Q59" s="333" t="n">
        <f aca="false">(R58+Q58)*(R57-Q57)/2</f>
        <v>0</v>
      </c>
      <c r="R59" s="333" t="n">
        <f aca="false">(S58+R58)*(S57-R57)/2</f>
        <v>0</v>
      </c>
      <c r="S59" s="333" t="n">
        <f aca="false">(T58+S58)*(T57-S57)/2</f>
        <v>0</v>
      </c>
      <c r="T59" s="333" t="n">
        <f aca="false">(U58+T58)*(U57-T57)/2</f>
        <v>0</v>
      </c>
      <c r="U59" s="333" t="n">
        <f aca="false">(V58+U58)*(V57-U57)/2</f>
        <v>0</v>
      </c>
      <c r="V59" s="333" t="n">
        <f aca="false">(W58+V58)*(W57-V57)/2</f>
        <v>0</v>
      </c>
      <c r="W59" s="333" t="n">
        <f aca="false">(X58+W58)*(X57-W57)/2</f>
        <v>0</v>
      </c>
      <c r="X59" s="333" t="n">
        <f aca="false">(Y58+X58)*(Y57-X57)/2</f>
        <v>0</v>
      </c>
      <c r="Y59" s="319"/>
    </row>
    <row r="60" customFormat="false" ht="13.5" hidden="false" customHeight="false" outlineLevel="0" collapsed="false">
      <c r="A60" s="320"/>
      <c r="L60" s="320"/>
      <c r="M60" s="320"/>
      <c r="N60" s="320"/>
      <c r="O60" s="320"/>
      <c r="P60" s="320"/>
      <c r="Q60" s="320"/>
      <c r="R60" s="320"/>
      <c r="S60" s="320"/>
      <c r="T60" s="320"/>
      <c r="U60" s="320"/>
      <c r="V60" s="320"/>
      <c r="W60" s="320"/>
      <c r="X60" s="320"/>
      <c r="Y60" s="320"/>
    </row>
    <row r="61" customFormat="false" ht="13.5" hidden="false" customHeight="false" outlineLevel="0" collapsed="false">
      <c r="A61" s="321" t="s">
        <v>236</v>
      </c>
      <c r="B61" s="322" t="n">
        <f aca="false">ROW(A61)</f>
        <v>61</v>
      </c>
      <c r="C61" s="305" t="s">
        <v>212</v>
      </c>
      <c r="D61" s="306" t="n">
        <f aca="false">SUM(B64:Y64)</f>
        <v>25.874</v>
      </c>
      <c r="E61" s="305" t="s">
        <v>213</v>
      </c>
      <c r="F61" s="312" t="n">
        <f aca="false">D61/g/J61</f>
        <v>2.6375127420999</v>
      </c>
      <c r="G61" s="305" t="s">
        <v>214</v>
      </c>
      <c r="H61" s="323" t="n">
        <v>1.1</v>
      </c>
      <c r="I61" s="305" t="s">
        <v>225</v>
      </c>
      <c r="J61" s="308" t="n">
        <f aca="false">H61-L61</f>
        <v>1</v>
      </c>
      <c r="K61" s="305" t="s">
        <v>226</v>
      </c>
      <c r="L61" s="323" t="n">
        <v>0.1</v>
      </c>
      <c r="M61" s="305" t="s">
        <v>217</v>
      </c>
      <c r="N61" s="324" t="n">
        <f aca="false">0.5*R61</f>
        <v>150</v>
      </c>
      <c r="O61" s="305" t="s">
        <v>218</v>
      </c>
      <c r="P61" s="324" t="n">
        <v>150</v>
      </c>
      <c r="Q61" s="305" t="s">
        <v>219</v>
      </c>
      <c r="R61" s="324" t="n">
        <v>300</v>
      </c>
      <c r="S61" s="305" t="s">
        <v>220</v>
      </c>
      <c r="T61" s="324" t="n">
        <v>98</v>
      </c>
      <c r="U61" s="305" t="s">
        <v>8</v>
      </c>
      <c r="V61" s="325" t="s">
        <v>223</v>
      </c>
      <c r="W61" s="320"/>
      <c r="X61" s="320"/>
      <c r="Y61" s="320"/>
    </row>
    <row r="62" customFormat="false" ht="12.75" hidden="false" customHeight="false" outlineLevel="0" collapsed="false">
      <c r="A62" s="303" t="s">
        <v>227</v>
      </c>
      <c r="B62" s="326" t="n">
        <v>0</v>
      </c>
      <c r="C62" s="327" t="n">
        <v>0.001</v>
      </c>
      <c r="D62" s="327" t="n">
        <v>0.02</v>
      </c>
      <c r="E62" s="327" t="n">
        <v>0.04</v>
      </c>
      <c r="F62" s="327" t="n">
        <v>0.06</v>
      </c>
      <c r="G62" s="327" t="n">
        <v>0.08</v>
      </c>
      <c r="H62" s="327" t="n">
        <v>0.1</v>
      </c>
      <c r="I62" s="327" t="n">
        <v>0.12</v>
      </c>
      <c r="J62" s="327" t="n">
        <v>0.14</v>
      </c>
      <c r="K62" s="327" t="n">
        <v>0.164</v>
      </c>
      <c r="L62" s="327" t="n">
        <v>0.165</v>
      </c>
      <c r="M62" s="327" t="n">
        <v>0.165</v>
      </c>
      <c r="N62" s="327" t="n">
        <v>0.165</v>
      </c>
      <c r="O62" s="327" t="n">
        <v>0.165</v>
      </c>
      <c r="P62" s="327" t="n">
        <v>0.165</v>
      </c>
      <c r="Q62" s="327" t="n">
        <v>0.165</v>
      </c>
      <c r="R62" s="327" t="n">
        <v>0.165</v>
      </c>
      <c r="S62" s="327" t="n">
        <v>0.165</v>
      </c>
      <c r="T62" s="327" t="n">
        <v>0.165</v>
      </c>
      <c r="U62" s="327" t="n">
        <v>0.165</v>
      </c>
      <c r="V62" s="327" t="n">
        <v>0.165</v>
      </c>
      <c r="W62" s="327" t="n">
        <v>0.165</v>
      </c>
      <c r="X62" s="327" t="n">
        <v>0.165</v>
      </c>
      <c r="Y62" s="315" t="n">
        <v>1000</v>
      </c>
    </row>
    <row r="63" customFormat="false" ht="12.75" hidden="false" customHeight="false" outlineLevel="0" collapsed="false">
      <c r="A63" s="328" t="s">
        <v>228</v>
      </c>
      <c r="B63" s="329" t="n">
        <v>0</v>
      </c>
      <c r="C63" s="330" t="n">
        <v>310</v>
      </c>
      <c r="D63" s="330" t="n">
        <v>245</v>
      </c>
      <c r="E63" s="330" t="n">
        <v>200</v>
      </c>
      <c r="F63" s="330" t="n">
        <v>165</v>
      </c>
      <c r="G63" s="330" t="n">
        <v>143</v>
      </c>
      <c r="H63" s="330" t="n">
        <v>124</v>
      </c>
      <c r="I63" s="330" t="n">
        <v>108</v>
      </c>
      <c r="J63" s="330" t="n">
        <v>97</v>
      </c>
      <c r="K63" s="330" t="n">
        <v>85</v>
      </c>
      <c r="L63" s="330" t="n">
        <v>0</v>
      </c>
      <c r="M63" s="330" t="n">
        <v>0</v>
      </c>
      <c r="N63" s="330" t="n">
        <v>0</v>
      </c>
      <c r="O63" s="330" t="n">
        <v>0</v>
      </c>
      <c r="P63" s="330" t="n">
        <v>0</v>
      </c>
      <c r="Q63" s="330" t="n">
        <v>0</v>
      </c>
      <c r="R63" s="330" t="n">
        <v>0</v>
      </c>
      <c r="S63" s="330" t="n">
        <v>0</v>
      </c>
      <c r="T63" s="330" t="n">
        <v>0</v>
      </c>
      <c r="U63" s="330" t="n">
        <v>0</v>
      </c>
      <c r="V63" s="330" t="n">
        <v>0</v>
      </c>
      <c r="W63" s="330" t="n">
        <v>0</v>
      </c>
      <c r="X63" s="330" t="n">
        <v>0</v>
      </c>
      <c r="Y63" s="331" t="n">
        <v>0</v>
      </c>
    </row>
    <row r="64" customFormat="false" ht="13.5" hidden="false" customHeight="false" outlineLevel="0" collapsed="false">
      <c r="A64" s="316" t="s">
        <v>229</v>
      </c>
      <c r="B64" s="332" t="n">
        <f aca="false">(C63+B63)*(C62-B62)/2</f>
        <v>0.155</v>
      </c>
      <c r="C64" s="333" t="n">
        <f aca="false">(D63+C63)*(D62-C62)/2</f>
        <v>5.2725</v>
      </c>
      <c r="D64" s="333" t="n">
        <f aca="false">(E63+D63)*(E62-D62)/2</f>
        <v>4.45</v>
      </c>
      <c r="E64" s="333" t="n">
        <f aca="false">(F63+E63)*(F62-E62)/2</f>
        <v>3.65</v>
      </c>
      <c r="F64" s="333" t="n">
        <f aca="false">(G63+F63)*(G62-F62)/2</f>
        <v>3.08</v>
      </c>
      <c r="G64" s="333" t="n">
        <f aca="false">(H63+G63)*(H62-G62)/2</f>
        <v>2.67</v>
      </c>
      <c r="H64" s="333" t="n">
        <f aca="false">(I63+H63)*(I62-H62)/2</f>
        <v>2.32</v>
      </c>
      <c r="I64" s="333" t="n">
        <f aca="false">(J63+I63)*(J62-I62)/2</f>
        <v>2.05</v>
      </c>
      <c r="J64" s="333" t="n">
        <f aca="false">(K63+J63)*(K62-J62)/2</f>
        <v>2.184</v>
      </c>
      <c r="K64" s="333" t="n">
        <f aca="false">(L63+K63)*(L62-K62)/2</f>
        <v>0.0425</v>
      </c>
      <c r="L64" s="333" t="n">
        <f aca="false">(M63+L63)*(M62-L62)/2</f>
        <v>0</v>
      </c>
      <c r="M64" s="333" t="n">
        <f aca="false">(N63+M63)*(N62-M62)/2</f>
        <v>0</v>
      </c>
      <c r="N64" s="333" t="n">
        <f aca="false">(O63+N63)*(O62-N62)/2</f>
        <v>0</v>
      </c>
      <c r="O64" s="333" t="n">
        <f aca="false">(P63+O63)*(P62-O62)/2</f>
        <v>0</v>
      </c>
      <c r="P64" s="333" t="n">
        <f aca="false">(Q63+P63)*(Q62-P62)/2</f>
        <v>0</v>
      </c>
      <c r="Q64" s="333" t="n">
        <f aca="false">(R63+Q63)*(R62-Q62)/2</f>
        <v>0</v>
      </c>
      <c r="R64" s="333" t="n">
        <f aca="false">(S63+R63)*(S62-R62)/2</f>
        <v>0</v>
      </c>
      <c r="S64" s="333" t="n">
        <f aca="false">(T63+S63)*(T62-S62)/2</f>
        <v>0</v>
      </c>
      <c r="T64" s="333" t="n">
        <f aca="false">(U63+T63)*(U62-T62)/2</f>
        <v>0</v>
      </c>
      <c r="U64" s="333" t="n">
        <f aca="false">(V63+U63)*(V62-U62)/2</f>
        <v>0</v>
      </c>
      <c r="V64" s="333" t="n">
        <f aca="false">(W63+V63)*(W62-V62)/2</f>
        <v>0</v>
      </c>
      <c r="W64" s="333" t="n">
        <f aca="false">(X63+W63)*(X62-W62)/2</f>
        <v>0</v>
      </c>
      <c r="X64" s="333" t="n">
        <f aca="false">(Y63+X63)*(Y62-X62)/2</f>
        <v>0</v>
      </c>
      <c r="Y64" s="319"/>
    </row>
    <row r="66" customFormat="false" ht="13.5" hidden="false" customHeight="false" outlineLevel="0" collapsed="false">
      <c r="A66" s="160" t="s">
        <v>237</v>
      </c>
    </row>
    <row r="67" customFormat="false" ht="13.5" hidden="false" customHeight="false" outlineLevel="0" collapsed="false">
      <c r="A67" s="321" t="s">
        <v>238</v>
      </c>
      <c r="B67" s="322" t="n">
        <f aca="false">ROW(A67)</f>
        <v>67</v>
      </c>
      <c r="C67" s="305" t="s">
        <v>212</v>
      </c>
      <c r="D67" s="306" t="n">
        <f aca="false">SUM(B70:Y70)</f>
        <v>2.65</v>
      </c>
      <c r="E67" s="305" t="s">
        <v>213</v>
      </c>
      <c r="F67" s="307" t="n">
        <f aca="false">D67/g/J67</f>
        <v>54.026503567788</v>
      </c>
      <c r="G67" s="305" t="s">
        <v>214</v>
      </c>
      <c r="H67" s="323" t="n">
        <v>0.015</v>
      </c>
      <c r="I67" s="305" t="s">
        <v>225</v>
      </c>
      <c r="J67" s="308" t="n">
        <f aca="false">H67-L67</f>
        <v>0.005</v>
      </c>
      <c r="K67" s="305" t="s">
        <v>226</v>
      </c>
      <c r="L67" s="323" t="n">
        <v>0.01</v>
      </c>
      <c r="M67" s="305" t="s">
        <v>217</v>
      </c>
      <c r="N67" s="324" t="n">
        <v>30</v>
      </c>
      <c r="O67" s="305" t="s">
        <v>218</v>
      </c>
      <c r="P67" s="324" t="n">
        <v>30</v>
      </c>
      <c r="Q67" s="305" t="s">
        <v>219</v>
      </c>
      <c r="R67" s="324" t="n">
        <v>70</v>
      </c>
      <c r="S67" s="305" t="s">
        <v>220</v>
      </c>
      <c r="T67" s="324" t="n">
        <v>15</v>
      </c>
      <c r="U67" s="305" t="s">
        <v>8</v>
      </c>
      <c r="V67" s="325" t="s">
        <v>239</v>
      </c>
      <c r="W67" s="311" t="s">
        <v>221</v>
      </c>
      <c r="X67" s="334" t="n">
        <v>0.32</v>
      </c>
      <c r="Y67" s="311" t="s">
        <v>222</v>
      </c>
      <c r="Z67" s="310" t="n">
        <v>3</v>
      </c>
    </row>
    <row r="68" customFormat="false" ht="12.75" hidden="false" customHeight="false" outlineLevel="0" collapsed="false">
      <c r="A68" s="303" t="s">
        <v>227</v>
      </c>
      <c r="B68" s="326" t="n">
        <v>0</v>
      </c>
      <c r="C68" s="327" t="n">
        <v>0.2</v>
      </c>
      <c r="D68" s="327" t="n">
        <v>0.3</v>
      </c>
      <c r="E68" s="327" t="n">
        <v>0.4</v>
      </c>
      <c r="F68" s="327" t="n">
        <v>0.5</v>
      </c>
      <c r="G68" s="327" t="n">
        <v>0.55</v>
      </c>
      <c r="H68" s="327" t="n">
        <v>0.6</v>
      </c>
      <c r="I68" s="327" t="n">
        <v>0.6</v>
      </c>
      <c r="J68" s="327" t="n">
        <v>0.6</v>
      </c>
      <c r="K68" s="327" t="n">
        <v>0.6</v>
      </c>
      <c r="L68" s="327" t="n">
        <v>0.6</v>
      </c>
      <c r="M68" s="327" t="n">
        <v>0.6</v>
      </c>
      <c r="N68" s="327" t="n">
        <v>0.6</v>
      </c>
      <c r="O68" s="327" t="n">
        <v>0.6</v>
      </c>
      <c r="P68" s="327" t="n">
        <v>0.6</v>
      </c>
      <c r="Q68" s="327" t="n">
        <v>0.6</v>
      </c>
      <c r="R68" s="327" t="n">
        <v>0.6</v>
      </c>
      <c r="S68" s="327" t="n">
        <v>0.6</v>
      </c>
      <c r="T68" s="327" t="n">
        <v>0.6</v>
      </c>
      <c r="U68" s="327" t="n">
        <v>0.6</v>
      </c>
      <c r="V68" s="327" t="n">
        <v>0.6</v>
      </c>
      <c r="W68" s="327" t="n">
        <v>0.6</v>
      </c>
      <c r="X68" s="327" t="n">
        <v>0.6</v>
      </c>
      <c r="Y68" s="315" t="n">
        <v>1000</v>
      </c>
    </row>
    <row r="69" customFormat="false" ht="12.75" hidden="false" customHeight="false" outlineLevel="0" collapsed="false">
      <c r="A69" s="328" t="s">
        <v>228</v>
      </c>
      <c r="B69" s="329" t="n">
        <v>0</v>
      </c>
      <c r="C69" s="330" t="n">
        <v>9</v>
      </c>
      <c r="D69" s="330" t="n">
        <v>4.5</v>
      </c>
      <c r="E69" s="330" t="n">
        <v>4</v>
      </c>
      <c r="F69" s="330" t="n">
        <v>4</v>
      </c>
      <c r="G69" s="330" t="n">
        <v>3</v>
      </c>
      <c r="H69" s="330" t="n">
        <v>0</v>
      </c>
      <c r="I69" s="330" t="n">
        <v>0</v>
      </c>
      <c r="J69" s="330" t="n">
        <v>0</v>
      </c>
      <c r="K69" s="330" t="n">
        <v>0</v>
      </c>
      <c r="L69" s="330" t="n">
        <v>0</v>
      </c>
      <c r="M69" s="330" t="n">
        <v>0</v>
      </c>
      <c r="N69" s="330" t="n">
        <v>0</v>
      </c>
      <c r="O69" s="330" t="n">
        <v>0</v>
      </c>
      <c r="P69" s="330" t="n">
        <v>0</v>
      </c>
      <c r="Q69" s="330" t="n">
        <v>0</v>
      </c>
      <c r="R69" s="330" t="n">
        <v>0</v>
      </c>
      <c r="S69" s="330" t="n">
        <v>0</v>
      </c>
      <c r="T69" s="330" t="n">
        <v>0</v>
      </c>
      <c r="U69" s="330" t="n">
        <v>0</v>
      </c>
      <c r="V69" s="330" t="n">
        <v>0</v>
      </c>
      <c r="W69" s="330" t="n">
        <v>0</v>
      </c>
      <c r="X69" s="330" t="n">
        <v>0</v>
      </c>
      <c r="Y69" s="331" t="n">
        <v>0</v>
      </c>
    </row>
    <row r="70" customFormat="false" ht="13.5" hidden="false" customHeight="false" outlineLevel="0" collapsed="false">
      <c r="A70" s="316" t="s">
        <v>229</v>
      </c>
      <c r="B70" s="332" t="n">
        <f aca="false">(C69+B69)*(C68-B68)/2</f>
        <v>0.9</v>
      </c>
      <c r="C70" s="333" t="n">
        <f aca="false">(D69+C69)*(D68-C68)/2</f>
        <v>0.675</v>
      </c>
      <c r="D70" s="333" t="n">
        <f aca="false">(E69+D69)*(E68-D68)/2</f>
        <v>0.425</v>
      </c>
      <c r="E70" s="333" t="n">
        <f aca="false">(F69+E69)*(F68-E68)/2</f>
        <v>0.4</v>
      </c>
      <c r="F70" s="333" t="n">
        <f aca="false">(G69+F69)*(G68-F68)/2</f>
        <v>0.175</v>
      </c>
      <c r="G70" s="333" t="n">
        <f aca="false">(H69+G69)*(H68-G68)/2</f>
        <v>0.0749999999999999</v>
      </c>
      <c r="H70" s="333" t="n">
        <f aca="false">(I69+H69)*(I68-H68)/2</f>
        <v>0</v>
      </c>
      <c r="I70" s="333" t="n">
        <f aca="false">(J69+I69)*(J68-I68)/2</f>
        <v>0</v>
      </c>
      <c r="J70" s="333" t="n">
        <f aca="false">(K69+J69)*(K68-J68)/2</f>
        <v>0</v>
      </c>
      <c r="K70" s="333" t="n">
        <f aca="false">(L69+K69)*(L68-K68)/2</f>
        <v>0</v>
      </c>
      <c r="L70" s="333" t="n">
        <f aca="false">(M69+L69)*(M68-L68)/2</f>
        <v>0</v>
      </c>
      <c r="M70" s="333" t="n">
        <f aca="false">(N69+M69)*(N68-M68)/2</f>
        <v>0</v>
      </c>
      <c r="N70" s="333" t="n">
        <f aca="false">(O69+N69)*(O68-N68)/2</f>
        <v>0</v>
      </c>
      <c r="O70" s="333" t="n">
        <f aca="false">(P69+O69)*(P68-O68)/2</f>
        <v>0</v>
      </c>
      <c r="P70" s="333" t="n">
        <f aca="false">(Q69+P69)*(Q68-P68)/2</f>
        <v>0</v>
      </c>
      <c r="Q70" s="333" t="n">
        <f aca="false">(R69+Q69)*(R68-Q68)/2</f>
        <v>0</v>
      </c>
      <c r="R70" s="333" t="n">
        <f aca="false">(S69+R69)*(S68-R68)/2</f>
        <v>0</v>
      </c>
      <c r="S70" s="333" t="n">
        <f aca="false">(T69+S69)*(T68-S68)/2</f>
        <v>0</v>
      </c>
      <c r="T70" s="333" t="n">
        <f aca="false">(U69+T69)*(U68-T68)/2</f>
        <v>0</v>
      </c>
      <c r="U70" s="333" t="n">
        <f aca="false">(V69+U69)*(V68-U68)/2</f>
        <v>0</v>
      </c>
      <c r="V70" s="333" t="n">
        <f aca="false">(W69+V69)*(W68-V68)/2</f>
        <v>0</v>
      </c>
      <c r="W70" s="333" t="n">
        <f aca="false">(X69+W69)*(X68-W68)/2</f>
        <v>0</v>
      </c>
      <c r="X70" s="333" t="n">
        <f aca="false">(Y69+X69)*(Y68-X68)/2</f>
        <v>0</v>
      </c>
      <c r="Y70" s="319"/>
    </row>
    <row r="71" customFormat="false" ht="13.5" hidden="false" customHeight="false" outlineLevel="0" collapsed="false">
      <c r="A71" s="320"/>
      <c r="L71" s="320"/>
      <c r="M71" s="320"/>
      <c r="N71" s="320"/>
      <c r="O71" s="320"/>
      <c r="P71" s="320"/>
      <c r="Q71" s="320"/>
      <c r="R71" s="320"/>
      <c r="S71" s="320"/>
      <c r="T71" s="320"/>
      <c r="U71" s="320"/>
      <c r="V71" s="320"/>
      <c r="W71" s="320"/>
      <c r="X71" s="320"/>
      <c r="Y71" s="320"/>
    </row>
    <row r="72" customFormat="false" ht="13.5" hidden="false" customHeight="false" outlineLevel="0" collapsed="false">
      <c r="A72" s="321" t="s">
        <v>240</v>
      </c>
      <c r="B72" s="322" t="n">
        <f aca="false">ROW(A72)</f>
        <v>72</v>
      </c>
      <c r="C72" s="305" t="s">
        <v>212</v>
      </c>
      <c r="D72" s="306" t="n">
        <f aca="false">SUM(B75:Y75)</f>
        <v>5.25</v>
      </c>
      <c r="E72" s="305" t="s">
        <v>213</v>
      </c>
      <c r="F72" s="307" t="n">
        <f aca="false">D72/g/J72</f>
        <v>89.1946992864424</v>
      </c>
      <c r="G72" s="305" t="s">
        <v>214</v>
      </c>
      <c r="H72" s="323" t="n">
        <v>0.02</v>
      </c>
      <c r="I72" s="305" t="s">
        <v>225</v>
      </c>
      <c r="J72" s="308" t="n">
        <f aca="false">H72-L72</f>
        <v>0.006</v>
      </c>
      <c r="K72" s="305" t="s">
        <v>226</v>
      </c>
      <c r="L72" s="323" t="n">
        <v>0.014</v>
      </c>
      <c r="M72" s="305" t="s">
        <v>217</v>
      </c>
      <c r="N72" s="324" t="n">
        <v>30</v>
      </c>
      <c r="O72" s="305" t="s">
        <v>218</v>
      </c>
      <c r="P72" s="324" t="n">
        <v>30</v>
      </c>
      <c r="Q72" s="305" t="s">
        <v>219</v>
      </c>
      <c r="R72" s="324" t="n">
        <v>70</v>
      </c>
      <c r="S72" s="305" t="s">
        <v>220</v>
      </c>
      <c r="T72" s="324" t="n">
        <v>15</v>
      </c>
      <c r="U72" s="305" t="s">
        <v>8</v>
      </c>
      <c r="V72" s="325" t="s">
        <v>239</v>
      </c>
      <c r="W72" s="311" t="s">
        <v>221</v>
      </c>
      <c r="X72" s="334" t="n">
        <v>1.2</v>
      </c>
      <c r="Y72" s="311" t="s">
        <v>222</v>
      </c>
      <c r="Z72" s="310" t="n">
        <v>4</v>
      </c>
    </row>
    <row r="73" customFormat="false" ht="12.75" hidden="false" customHeight="false" outlineLevel="0" collapsed="false">
      <c r="A73" s="303" t="s">
        <v>227</v>
      </c>
      <c r="B73" s="326" t="n">
        <v>0</v>
      </c>
      <c r="C73" s="327" t="n">
        <v>0.2</v>
      </c>
      <c r="D73" s="327" t="n">
        <v>0.3</v>
      </c>
      <c r="E73" s="327" t="n">
        <v>0.55</v>
      </c>
      <c r="F73" s="327" t="n">
        <v>1.05</v>
      </c>
      <c r="G73" s="327" t="n">
        <v>1.15</v>
      </c>
      <c r="H73" s="327" t="n">
        <v>1.15</v>
      </c>
      <c r="I73" s="327" t="n">
        <v>1.15</v>
      </c>
      <c r="J73" s="327" t="n">
        <v>1.15</v>
      </c>
      <c r="K73" s="327" t="n">
        <v>1.15</v>
      </c>
      <c r="L73" s="327" t="n">
        <v>1.15</v>
      </c>
      <c r="M73" s="327" t="n">
        <v>1.15</v>
      </c>
      <c r="N73" s="327" t="n">
        <v>1.15</v>
      </c>
      <c r="O73" s="327" t="n">
        <v>1.15</v>
      </c>
      <c r="P73" s="327" t="n">
        <v>1.15</v>
      </c>
      <c r="Q73" s="327" t="n">
        <v>1.15</v>
      </c>
      <c r="R73" s="327" t="n">
        <v>1.15</v>
      </c>
      <c r="S73" s="327" t="n">
        <v>1.15</v>
      </c>
      <c r="T73" s="327" t="n">
        <v>1.15</v>
      </c>
      <c r="U73" s="327" t="n">
        <v>1.15</v>
      </c>
      <c r="V73" s="327" t="n">
        <v>1.15</v>
      </c>
      <c r="W73" s="327" t="n">
        <v>1.15</v>
      </c>
      <c r="X73" s="327" t="n">
        <v>1.15</v>
      </c>
      <c r="Y73" s="315" t="n">
        <v>1000</v>
      </c>
    </row>
    <row r="74" customFormat="false" ht="12.75" hidden="false" customHeight="false" outlineLevel="0" collapsed="false">
      <c r="A74" s="328" t="s">
        <v>228</v>
      </c>
      <c r="B74" s="329" t="n">
        <v>0</v>
      </c>
      <c r="C74" s="330" t="n">
        <v>10</v>
      </c>
      <c r="D74" s="330" t="n">
        <v>6</v>
      </c>
      <c r="E74" s="330" t="n">
        <v>4</v>
      </c>
      <c r="F74" s="330" t="n">
        <v>4</v>
      </c>
      <c r="G74" s="330" t="n">
        <v>0</v>
      </c>
      <c r="H74" s="330" t="n">
        <v>0</v>
      </c>
      <c r="I74" s="330" t="n">
        <v>0</v>
      </c>
      <c r="J74" s="330" t="n">
        <v>0</v>
      </c>
      <c r="K74" s="330" t="n">
        <v>0</v>
      </c>
      <c r="L74" s="330" t="n">
        <v>0</v>
      </c>
      <c r="M74" s="330" t="n">
        <v>0</v>
      </c>
      <c r="N74" s="330" t="n">
        <v>0</v>
      </c>
      <c r="O74" s="330" t="n">
        <v>0</v>
      </c>
      <c r="P74" s="330" t="n">
        <v>0</v>
      </c>
      <c r="Q74" s="330" t="n">
        <v>0</v>
      </c>
      <c r="R74" s="330" t="n">
        <v>0</v>
      </c>
      <c r="S74" s="330" t="n">
        <v>0</v>
      </c>
      <c r="T74" s="330" t="n">
        <v>0</v>
      </c>
      <c r="U74" s="330" t="n">
        <v>0</v>
      </c>
      <c r="V74" s="330" t="n">
        <v>0</v>
      </c>
      <c r="W74" s="330" t="n">
        <v>0</v>
      </c>
      <c r="X74" s="330" t="n">
        <v>0</v>
      </c>
      <c r="Y74" s="331" t="n">
        <v>0</v>
      </c>
    </row>
    <row r="75" customFormat="false" ht="13.5" hidden="false" customHeight="false" outlineLevel="0" collapsed="false">
      <c r="A75" s="316" t="s">
        <v>229</v>
      </c>
      <c r="B75" s="332" t="n">
        <f aca="false">(C74+B74)*(C73-B73)/2</f>
        <v>1</v>
      </c>
      <c r="C75" s="333" t="n">
        <f aca="false">(D74+C74)*(D73-C73)/2</f>
        <v>0.8</v>
      </c>
      <c r="D75" s="333" t="n">
        <f aca="false">(E74+D74)*(E73-D73)/2</f>
        <v>1.25</v>
      </c>
      <c r="E75" s="333" t="n">
        <f aca="false">(F74+E74)*(F73-E73)/2</f>
        <v>2</v>
      </c>
      <c r="F75" s="333" t="n">
        <f aca="false">(G74+F74)*(G73-F73)/2</f>
        <v>0.2</v>
      </c>
      <c r="G75" s="333" t="n">
        <f aca="false">(H74+G74)*(H73-G73)/2</f>
        <v>0</v>
      </c>
      <c r="H75" s="333" t="n">
        <f aca="false">(I74+H74)*(I73-H73)/2</f>
        <v>0</v>
      </c>
      <c r="I75" s="333" t="n">
        <f aca="false">(J74+I74)*(J73-I73)/2</f>
        <v>0</v>
      </c>
      <c r="J75" s="333" t="n">
        <f aca="false">(K74+J74)*(K73-J73)/2</f>
        <v>0</v>
      </c>
      <c r="K75" s="333" t="n">
        <f aca="false">(L74+K74)*(L73-K73)/2</f>
        <v>0</v>
      </c>
      <c r="L75" s="333" t="n">
        <f aca="false">(M74+L74)*(M73-L73)/2</f>
        <v>0</v>
      </c>
      <c r="M75" s="333" t="n">
        <f aca="false">(N74+M74)*(N73-M73)/2</f>
        <v>0</v>
      </c>
      <c r="N75" s="333" t="n">
        <f aca="false">(O74+N74)*(O73-N73)/2</f>
        <v>0</v>
      </c>
      <c r="O75" s="333" t="n">
        <f aca="false">(P74+O74)*(P73-O73)/2</f>
        <v>0</v>
      </c>
      <c r="P75" s="333" t="n">
        <f aca="false">(Q74+P74)*(Q73-P73)/2</f>
        <v>0</v>
      </c>
      <c r="Q75" s="333" t="n">
        <f aca="false">(R74+Q74)*(R73-Q73)/2</f>
        <v>0</v>
      </c>
      <c r="R75" s="333" t="n">
        <f aca="false">(S74+R74)*(S73-R73)/2</f>
        <v>0</v>
      </c>
      <c r="S75" s="333" t="n">
        <f aca="false">(T74+S74)*(T73-S73)/2</f>
        <v>0</v>
      </c>
      <c r="T75" s="333" t="n">
        <f aca="false">(U74+T74)*(U73-T73)/2</f>
        <v>0</v>
      </c>
      <c r="U75" s="333" t="n">
        <f aca="false">(V74+U74)*(V73-U73)/2</f>
        <v>0</v>
      </c>
      <c r="V75" s="333" t="n">
        <f aca="false">(W74+V74)*(W73-V73)/2</f>
        <v>0</v>
      </c>
      <c r="W75" s="333" t="n">
        <f aca="false">(X74+W74)*(X73-W73)/2</f>
        <v>0</v>
      </c>
      <c r="X75" s="333" t="n">
        <f aca="false">(Y74+X74)*(Y73-X73)/2</f>
        <v>0</v>
      </c>
      <c r="Y75" s="319"/>
    </row>
    <row r="76" customFormat="false" ht="13.5" hidden="false" customHeight="false" outlineLevel="0" collapsed="false">
      <c r="B76" s="320"/>
      <c r="C76" s="320"/>
      <c r="D76" s="320"/>
      <c r="E76" s="320"/>
      <c r="F76" s="320"/>
      <c r="G76" s="320"/>
      <c r="H76" s="320"/>
      <c r="I76" s="320"/>
      <c r="J76" s="320"/>
      <c r="K76" s="320"/>
      <c r="L76" s="320"/>
      <c r="M76" s="320"/>
      <c r="N76" s="320"/>
      <c r="O76" s="320"/>
      <c r="P76" s="320"/>
      <c r="Q76" s="320"/>
      <c r="R76" s="320"/>
      <c r="S76" s="320"/>
      <c r="T76" s="320"/>
      <c r="U76" s="320"/>
      <c r="V76" s="320"/>
      <c r="W76" s="320"/>
      <c r="X76" s="320"/>
      <c r="Y76" s="320"/>
    </row>
    <row r="77" customFormat="false" ht="13.5" hidden="false" customHeight="false" outlineLevel="0" collapsed="false">
      <c r="A77" s="321" t="s">
        <v>241</v>
      </c>
      <c r="B77" s="322" t="n">
        <f aca="false">ROW(A77)</f>
        <v>77</v>
      </c>
      <c r="C77" s="305" t="s">
        <v>212</v>
      </c>
      <c r="D77" s="306" t="n">
        <f aca="false">SUM(B80:Y80)</f>
        <v>10.26</v>
      </c>
      <c r="E77" s="305" t="s">
        <v>213</v>
      </c>
      <c r="F77" s="307" t="n">
        <f aca="false">D77/g/J77</f>
        <v>80.4516584333098</v>
      </c>
      <c r="G77" s="305" t="s">
        <v>214</v>
      </c>
      <c r="H77" s="323" t="n">
        <v>0.024</v>
      </c>
      <c r="I77" s="305" t="s">
        <v>225</v>
      </c>
      <c r="J77" s="308" t="n">
        <f aca="false">H77-L77</f>
        <v>0.013</v>
      </c>
      <c r="K77" s="305" t="s">
        <v>226</v>
      </c>
      <c r="L77" s="323" t="n">
        <v>0.011</v>
      </c>
      <c r="M77" s="305" t="s">
        <v>217</v>
      </c>
      <c r="N77" s="324" t="n">
        <v>30</v>
      </c>
      <c r="O77" s="305" t="s">
        <v>218</v>
      </c>
      <c r="P77" s="324" t="n">
        <v>30</v>
      </c>
      <c r="Q77" s="305" t="s">
        <v>219</v>
      </c>
      <c r="R77" s="324" t="n">
        <v>70</v>
      </c>
      <c r="S77" s="305" t="s">
        <v>220</v>
      </c>
      <c r="T77" s="324" t="n">
        <v>15</v>
      </c>
      <c r="U77" s="305" t="s">
        <v>8</v>
      </c>
      <c r="V77" s="325" t="s">
        <v>239</v>
      </c>
      <c r="W77" s="311" t="s">
        <v>221</v>
      </c>
      <c r="X77" s="334" t="n">
        <v>1.7</v>
      </c>
      <c r="Y77" s="311" t="s">
        <v>222</v>
      </c>
      <c r="Z77" s="310" t="n">
        <v>3</v>
      </c>
    </row>
    <row r="78" customFormat="false" ht="12.75" hidden="false" customHeight="false" outlineLevel="0" collapsed="false">
      <c r="A78" s="303" t="s">
        <v>227</v>
      </c>
      <c r="B78" s="326" t="n">
        <v>0</v>
      </c>
      <c r="C78" s="327" t="n">
        <v>0.2</v>
      </c>
      <c r="D78" s="327" t="n">
        <v>0.3</v>
      </c>
      <c r="E78" s="327" t="n">
        <v>0.6</v>
      </c>
      <c r="F78" s="327" t="n">
        <v>0.8</v>
      </c>
      <c r="G78" s="327" t="n">
        <v>2</v>
      </c>
      <c r="H78" s="327" t="n">
        <v>2.1</v>
      </c>
      <c r="I78" s="327" t="n">
        <v>2.1</v>
      </c>
      <c r="J78" s="327" t="n">
        <v>2.1</v>
      </c>
      <c r="K78" s="327" t="n">
        <v>2.1</v>
      </c>
      <c r="L78" s="327" t="n">
        <v>2.1</v>
      </c>
      <c r="M78" s="327" t="n">
        <v>2.1</v>
      </c>
      <c r="N78" s="327" t="n">
        <v>2.1</v>
      </c>
      <c r="O78" s="327" t="n">
        <v>2.1</v>
      </c>
      <c r="P78" s="327" t="n">
        <v>2.1</v>
      </c>
      <c r="Q78" s="327" t="n">
        <v>2.1</v>
      </c>
      <c r="R78" s="327" t="n">
        <v>2.1</v>
      </c>
      <c r="S78" s="327" t="n">
        <v>2.1</v>
      </c>
      <c r="T78" s="327" t="n">
        <v>2.1</v>
      </c>
      <c r="U78" s="327" t="n">
        <v>2.1</v>
      </c>
      <c r="V78" s="327" t="n">
        <v>2.1</v>
      </c>
      <c r="W78" s="327" t="n">
        <v>2.1</v>
      </c>
      <c r="X78" s="327" t="n">
        <v>2.1</v>
      </c>
      <c r="Y78" s="315" t="n">
        <v>1000</v>
      </c>
    </row>
    <row r="79" customFormat="false" ht="12.75" hidden="false" customHeight="false" outlineLevel="0" collapsed="false">
      <c r="A79" s="328" t="s">
        <v>228</v>
      </c>
      <c r="B79" s="329" t="n">
        <v>0</v>
      </c>
      <c r="C79" s="330" t="n">
        <v>11</v>
      </c>
      <c r="D79" s="330" t="n">
        <v>7</v>
      </c>
      <c r="E79" s="330" t="n">
        <v>4</v>
      </c>
      <c r="F79" s="330" t="n">
        <v>4.6</v>
      </c>
      <c r="G79" s="330" t="n">
        <v>4.6</v>
      </c>
      <c r="H79" s="330" t="n">
        <v>0</v>
      </c>
      <c r="I79" s="330" t="n">
        <v>0</v>
      </c>
      <c r="J79" s="330" t="n">
        <v>0</v>
      </c>
      <c r="K79" s="330" t="n">
        <v>0</v>
      </c>
      <c r="L79" s="330" t="n">
        <v>0</v>
      </c>
      <c r="M79" s="330" t="n">
        <v>0</v>
      </c>
      <c r="N79" s="330" t="n">
        <v>0</v>
      </c>
      <c r="O79" s="330" t="n">
        <v>0</v>
      </c>
      <c r="P79" s="330" t="n">
        <v>0</v>
      </c>
      <c r="Q79" s="330" t="n">
        <v>0</v>
      </c>
      <c r="R79" s="330" t="n">
        <v>0</v>
      </c>
      <c r="S79" s="330" t="n">
        <v>0</v>
      </c>
      <c r="T79" s="330" t="n">
        <v>0</v>
      </c>
      <c r="U79" s="330" t="n">
        <v>0</v>
      </c>
      <c r="V79" s="330" t="n">
        <v>0</v>
      </c>
      <c r="W79" s="330" t="n">
        <v>0</v>
      </c>
      <c r="X79" s="330" t="n">
        <v>0</v>
      </c>
      <c r="Y79" s="331" t="n">
        <v>0</v>
      </c>
    </row>
    <row r="80" customFormat="false" ht="13.5" hidden="false" customHeight="false" outlineLevel="0" collapsed="false">
      <c r="A80" s="316" t="s">
        <v>229</v>
      </c>
      <c r="B80" s="332" t="n">
        <f aca="false">(C79+B79)*(C78-B78)/2</f>
        <v>1.1</v>
      </c>
      <c r="C80" s="333" t="n">
        <f aca="false">(D79+C79)*(D78-C78)/2</f>
        <v>0.9</v>
      </c>
      <c r="D80" s="333" t="n">
        <f aca="false">(E79+D79)*(E78-D78)/2</f>
        <v>1.65</v>
      </c>
      <c r="E80" s="333" t="n">
        <f aca="false">(F79+E79)*(F78-E78)/2</f>
        <v>0.86</v>
      </c>
      <c r="F80" s="333" t="n">
        <f aca="false">(G79+F79)*(G78-F78)/2</f>
        <v>5.52</v>
      </c>
      <c r="G80" s="333" t="n">
        <f aca="false">(H79+G79)*(H78-G78)/2</f>
        <v>0.23</v>
      </c>
      <c r="H80" s="333" t="n">
        <f aca="false">(I79+H79)*(I78-H78)/2</f>
        <v>0</v>
      </c>
      <c r="I80" s="333" t="n">
        <f aca="false">(J79+I79)*(J78-I78)/2</f>
        <v>0</v>
      </c>
      <c r="J80" s="333" t="n">
        <f aca="false">(K79+J79)*(K78-J78)/2</f>
        <v>0</v>
      </c>
      <c r="K80" s="333" t="n">
        <f aca="false">(L79+K79)*(L78-K78)/2</f>
        <v>0</v>
      </c>
      <c r="L80" s="333" t="n">
        <f aca="false">(M79+L79)*(M78-L78)/2</f>
        <v>0</v>
      </c>
      <c r="M80" s="333" t="n">
        <f aca="false">(N79+M79)*(N78-M78)/2</f>
        <v>0</v>
      </c>
      <c r="N80" s="333" t="n">
        <f aca="false">(O79+N79)*(O78-N78)/2</f>
        <v>0</v>
      </c>
      <c r="O80" s="333" t="n">
        <f aca="false">(P79+O79)*(P78-O78)/2</f>
        <v>0</v>
      </c>
      <c r="P80" s="333" t="n">
        <f aca="false">(Q79+P79)*(Q78-P78)/2</f>
        <v>0</v>
      </c>
      <c r="Q80" s="333" t="n">
        <f aca="false">(R79+Q79)*(R78-Q78)/2</f>
        <v>0</v>
      </c>
      <c r="R80" s="333" t="n">
        <f aca="false">(S79+R79)*(S78-R78)/2</f>
        <v>0</v>
      </c>
      <c r="S80" s="333" t="n">
        <f aca="false">(T79+S79)*(T78-S78)/2</f>
        <v>0</v>
      </c>
      <c r="T80" s="333" t="n">
        <f aca="false">(U79+T79)*(U78-T78)/2</f>
        <v>0</v>
      </c>
      <c r="U80" s="333" t="n">
        <f aca="false">(V79+U79)*(V78-U78)/2</f>
        <v>0</v>
      </c>
      <c r="V80" s="333" t="n">
        <f aca="false">(W79+V79)*(W78-V78)/2</f>
        <v>0</v>
      </c>
      <c r="W80" s="333" t="n">
        <f aca="false">(X79+W79)*(X78-W78)/2</f>
        <v>0</v>
      </c>
      <c r="X80" s="333" t="n">
        <f aca="false">(Y79+X79)*(Y78-X78)/2</f>
        <v>0</v>
      </c>
      <c r="Y80" s="319"/>
    </row>
    <row r="81" customFormat="false" ht="13.5" hidden="false" customHeight="false" outlineLevel="0" collapsed="false">
      <c r="A81" s="320"/>
      <c r="L81" s="320"/>
      <c r="M81" s="320"/>
      <c r="N81" s="320"/>
      <c r="O81" s="320"/>
      <c r="P81" s="320"/>
      <c r="Q81" s="320"/>
      <c r="R81" s="320"/>
      <c r="S81" s="320"/>
      <c r="T81" s="320"/>
      <c r="U81" s="320"/>
      <c r="V81" s="320"/>
      <c r="W81" s="320"/>
      <c r="X81" s="320"/>
      <c r="Y81" s="320"/>
    </row>
    <row r="82" customFormat="false" ht="13.5" hidden="false" customHeight="false" outlineLevel="0" collapsed="false">
      <c r="A82" s="321" t="s">
        <v>242</v>
      </c>
      <c r="B82" s="322" t="n">
        <f aca="false">ROW(A82)</f>
        <v>82</v>
      </c>
      <c r="C82" s="305" t="s">
        <v>212</v>
      </c>
      <c r="D82" s="306" t="n">
        <f aca="false">SUM(B85:Y85)</f>
        <v>20.52</v>
      </c>
      <c r="E82" s="305" t="s">
        <v>213</v>
      </c>
      <c r="F82" s="307" t="n">
        <f aca="false">D82/g/J82</f>
        <v>80.4516584333098</v>
      </c>
      <c r="G82" s="305" t="s">
        <v>214</v>
      </c>
      <c r="H82" s="323" t="n">
        <f aca="false">H77*2</f>
        <v>0.048</v>
      </c>
      <c r="I82" s="305" t="s">
        <v>225</v>
      </c>
      <c r="J82" s="308" t="n">
        <f aca="false">H82-L82</f>
        <v>0.026</v>
      </c>
      <c r="K82" s="305" t="s">
        <v>226</v>
      </c>
      <c r="L82" s="323" t="n">
        <f aca="false">L77*2</f>
        <v>0.022</v>
      </c>
      <c r="M82" s="305" t="s">
        <v>217</v>
      </c>
      <c r="N82" s="324" t="n">
        <v>30</v>
      </c>
      <c r="O82" s="305" t="s">
        <v>218</v>
      </c>
      <c r="P82" s="324" t="n">
        <v>30</v>
      </c>
      <c r="Q82" s="305" t="s">
        <v>219</v>
      </c>
      <c r="R82" s="324" t="n">
        <v>70</v>
      </c>
      <c r="S82" s="305" t="s">
        <v>220</v>
      </c>
      <c r="T82" s="324" t="n">
        <v>30</v>
      </c>
      <c r="U82" s="305" t="s">
        <v>8</v>
      </c>
      <c r="V82" s="325" t="s">
        <v>239</v>
      </c>
      <c r="W82" s="311" t="s">
        <v>221</v>
      </c>
      <c r="X82" s="334" t="n">
        <v>1.7</v>
      </c>
      <c r="Y82" s="311" t="s">
        <v>222</v>
      </c>
      <c r="Z82" s="310" t="n">
        <v>3</v>
      </c>
    </row>
    <row r="83" customFormat="false" ht="12.75" hidden="false" customHeight="false" outlineLevel="0" collapsed="false">
      <c r="A83" s="303" t="s">
        <v>227</v>
      </c>
      <c r="B83" s="326" t="n">
        <v>0</v>
      </c>
      <c r="C83" s="327" t="n">
        <v>0.2</v>
      </c>
      <c r="D83" s="327" t="n">
        <v>0.3</v>
      </c>
      <c r="E83" s="327" t="n">
        <v>0.6</v>
      </c>
      <c r="F83" s="327" t="n">
        <v>0.8</v>
      </c>
      <c r="G83" s="327" t="n">
        <v>2</v>
      </c>
      <c r="H83" s="327" t="n">
        <v>2.1</v>
      </c>
      <c r="I83" s="327" t="n">
        <v>2.1</v>
      </c>
      <c r="J83" s="327" t="n">
        <v>2.1</v>
      </c>
      <c r="K83" s="327" t="n">
        <v>2.1</v>
      </c>
      <c r="L83" s="327" t="n">
        <v>2.1</v>
      </c>
      <c r="M83" s="327" t="n">
        <v>2.1</v>
      </c>
      <c r="N83" s="327" t="n">
        <v>2.1</v>
      </c>
      <c r="O83" s="327" t="n">
        <v>2.1</v>
      </c>
      <c r="P83" s="327" t="n">
        <v>2.1</v>
      </c>
      <c r="Q83" s="327" t="n">
        <v>2.1</v>
      </c>
      <c r="R83" s="327" t="n">
        <v>2.1</v>
      </c>
      <c r="S83" s="327" t="n">
        <v>2.1</v>
      </c>
      <c r="T83" s="327" t="n">
        <v>2.1</v>
      </c>
      <c r="U83" s="327" t="n">
        <v>2.1</v>
      </c>
      <c r="V83" s="327" t="n">
        <v>2.1</v>
      </c>
      <c r="W83" s="327" t="n">
        <v>2.1</v>
      </c>
      <c r="X83" s="327" t="n">
        <v>2.1</v>
      </c>
      <c r="Y83" s="315" t="n">
        <v>1000</v>
      </c>
    </row>
    <row r="84" customFormat="false" ht="12.75" hidden="false" customHeight="false" outlineLevel="0" collapsed="false">
      <c r="A84" s="328" t="s">
        <v>228</v>
      </c>
      <c r="B84" s="329" t="n">
        <f aca="false">B79*2</f>
        <v>0</v>
      </c>
      <c r="C84" s="330" t="n">
        <f aca="false">C79*2</f>
        <v>22</v>
      </c>
      <c r="D84" s="330" t="n">
        <f aca="false">D79*2</f>
        <v>14</v>
      </c>
      <c r="E84" s="330" t="n">
        <f aca="false">E79*2</f>
        <v>8</v>
      </c>
      <c r="F84" s="330" t="n">
        <f aca="false">F79*2</f>
        <v>9.2</v>
      </c>
      <c r="G84" s="330" t="n">
        <f aca="false">G79*2</f>
        <v>9.2</v>
      </c>
      <c r="H84" s="330" t="n">
        <f aca="false">H79*2</f>
        <v>0</v>
      </c>
      <c r="I84" s="330" t="n">
        <f aca="false">I79*2</f>
        <v>0</v>
      </c>
      <c r="J84" s="330" t="n">
        <f aca="false">J79*2</f>
        <v>0</v>
      </c>
      <c r="K84" s="330" t="n">
        <f aca="false">K79*2</f>
        <v>0</v>
      </c>
      <c r="L84" s="330" t="n">
        <f aca="false">L79*2</f>
        <v>0</v>
      </c>
      <c r="M84" s="330" t="n">
        <f aca="false">M79*2</f>
        <v>0</v>
      </c>
      <c r="N84" s="330" t="n">
        <f aca="false">N79*2</f>
        <v>0</v>
      </c>
      <c r="O84" s="330" t="n">
        <f aca="false">O79*2</f>
        <v>0</v>
      </c>
      <c r="P84" s="330" t="n">
        <f aca="false">P79*2</f>
        <v>0</v>
      </c>
      <c r="Q84" s="330" t="n">
        <f aca="false">Q79*2</f>
        <v>0</v>
      </c>
      <c r="R84" s="330" t="n">
        <f aca="false">R79*2</f>
        <v>0</v>
      </c>
      <c r="S84" s="330" t="n">
        <f aca="false">S79*2</f>
        <v>0</v>
      </c>
      <c r="T84" s="330" t="n">
        <f aca="false">T79*2</f>
        <v>0</v>
      </c>
      <c r="U84" s="330" t="n">
        <f aca="false">U79*2</f>
        <v>0</v>
      </c>
      <c r="V84" s="330" t="n">
        <f aca="false">V79*2</f>
        <v>0</v>
      </c>
      <c r="W84" s="330" t="n">
        <f aca="false">W79*2</f>
        <v>0</v>
      </c>
      <c r="X84" s="330" t="n">
        <f aca="false">X79*2</f>
        <v>0</v>
      </c>
      <c r="Y84" s="331" t="n">
        <v>0</v>
      </c>
    </row>
    <row r="85" customFormat="false" ht="13.5" hidden="false" customHeight="false" outlineLevel="0" collapsed="false">
      <c r="A85" s="316" t="s">
        <v>229</v>
      </c>
      <c r="B85" s="332" t="n">
        <f aca="false">(C84+B84)*(C83-B83)/2</f>
        <v>2.2</v>
      </c>
      <c r="C85" s="333" t="n">
        <f aca="false">(D84+C84)*(D83-C83)/2</f>
        <v>1.8</v>
      </c>
      <c r="D85" s="333" t="n">
        <f aca="false">(E84+D84)*(E83-D83)/2</f>
        <v>3.3</v>
      </c>
      <c r="E85" s="333" t="n">
        <f aca="false">(F84+E84)*(F83-E83)/2</f>
        <v>1.72</v>
      </c>
      <c r="F85" s="333" t="n">
        <f aca="false">(G84+F84)*(G83-F83)/2</f>
        <v>11.04</v>
      </c>
      <c r="G85" s="333" t="n">
        <f aca="false">(H84+G84)*(H83-G83)/2</f>
        <v>0.46</v>
      </c>
      <c r="H85" s="333" t="n">
        <f aca="false">(I84+H84)*(I83-H83)/2</f>
        <v>0</v>
      </c>
      <c r="I85" s="333" t="n">
        <f aca="false">(J84+I84)*(J83-I83)/2</f>
        <v>0</v>
      </c>
      <c r="J85" s="333" t="n">
        <f aca="false">(K84+J84)*(K83-J83)/2</f>
        <v>0</v>
      </c>
      <c r="K85" s="333" t="n">
        <f aca="false">(L84+K84)*(L83-K83)/2</f>
        <v>0</v>
      </c>
      <c r="L85" s="333" t="n">
        <f aca="false">(M84+L84)*(M83-L83)/2</f>
        <v>0</v>
      </c>
      <c r="M85" s="333" t="n">
        <f aca="false">(N84+M84)*(N83-M83)/2</f>
        <v>0</v>
      </c>
      <c r="N85" s="333" t="n">
        <f aca="false">(O84+N84)*(O83-N83)/2</f>
        <v>0</v>
      </c>
      <c r="O85" s="333" t="n">
        <f aca="false">(P84+O84)*(P83-O83)/2</f>
        <v>0</v>
      </c>
      <c r="P85" s="333" t="n">
        <f aca="false">(Q84+P84)*(Q83-P83)/2</f>
        <v>0</v>
      </c>
      <c r="Q85" s="333" t="n">
        <f aca="false">(R84+Q84)*(R83-Q83)/2</f>
        <v>0</v>
      </c>
      <c r="R85" s="333" t="n">
        <f aca="false">(S84+R84)*(S83-R83)/2</f>
        <v>0</v>
      </c>
      <c r="S85" s="333" t="n">
        <f aca="false">(T84+S84)*(T83-S83)/2</f>
        <v>0</v>
      </c>
      <c r="T85" s="333" t="n">
        <f aca="false">(U84+T84)*(U83-T83)/2</f>
        <v>0</v>
      </c>
      <c r="U85" s="333" t="n">
        <f aca="false">(V84+U84)*(V83-U83)/2</f>
        <v>0</v>
      </c>
      <c r="V85" s="333" t="n">
        <f aca="false">(W84+V84)*(W83-V83)/2</f>
        <v>0</v>
      </c>
      <c r="W85" s="333" t="n">
        <f aca="false">(X84+W84)*(X83-W83)/2</f>
        <v>0</v>
      </c>
      <c r="X85" s="333" t="n">
        <f aca="false">(Y84+X84)*(Y83-X83)/2</f>
        <v>0</v>
      </c>
      <c r="Y85" s="319"/>
    </row>
    <row r="86" customFormat="false" ht="13.5" hidden="false" customHeight="false" outlineLevel="0" collapsed="false">
      <c r="B86" s="320"/>
      <c r="C86" s="320"/>
      <c r="D86" s="320"/>
      <c r="E86" s="320"/>
      <c r="F86" s="320"/>
      <c r="G86" s="320"/>
      <c r="H86" s="320"/>
      <c r="I86" s="320"/>
      <c r="J86" s="320"/>
      <c r="K86" s="320"/>
      <c r="L86" s="320"/>
      <c r="M86" s="320"/>
      <c r="N86" s="320"/>
      <c r="O86" s="320"/>
      <c r="P86" s="320"/>
      <c r="Q86" s="320"/>
      <c r="R86" s="320"/>
      <c r="S86" s="320"/>
      <c r="T86" s="320"/>
      <c r="U86" s="320"/>
      <c r="V86" s="320"/>
      <c r="W86" s="320"/>
      <c r="X86" s="320"/>
      <c r="Y86" s="320"/>
    </row>
    <row r="87" customFormat="false" ht="13.5" hidden="false" customHeight="false" outlineLevel="0" collapsed="false">
      <c r="A87" s="321" t="s">
        <v>243</v>
      </c>
      <c r="B87" s="322" t="n">
        <f aca="false">ROW(A87)</f>
        <v>87</v>
      </c>
      <c r="C87" s="305" t="s">
        <v>212</v>
      </c>
      <c r="D87" s="306" t="n">
        <f aca="false">SUM(B90:Y90)</f>
        <v>30.78</v>
      </c>
      <c r="E87" s="305" t="s">
        <v>213</v>
      </c>
      <c r="F87" s="307" t="n">
        <f aca="false">D87/g/J87</f>
        <v>80.4516584333098</v>
      </c>
      <c r="G87" s="305" t="s">
        <v>214</v>
      </c>
      <c r="H87" s="323" t="n">
        <f aca="false">H77*3</f>
        <v>0.072</v>
      </c>
      <c r="I87" s="305" t="s">
        <v>225</v>
      </c>
      <c r="J87" s="308" t="n">
        <f aca="false">H87-L87</f>
        <v>0.039</v>
      </c>
      <c r="K87" s="305" t="s">
        <v>226</v>
      </c>
      <c r="L87" s="323" t="n">
        <f aca="false">L77*3</f>
        <v>0.033</v>
      </c>
      <c r="M87" s="305" t="s">
        <v>217</v>
      </c>
      <c r="N87" s="324" t="n">
        <v>30</v>
      </c>
      <c r="O87" s="305" t="s">
        <v>218</v>
      </c>
      <c r="P87" s="324" t="n">
        <v>30</v>
      </c>
      <c r="Q87" s="305" t="s">
        <v>219</v>
      </c>
      <c r="R87" s="324" t="n">
        <v>70</v>
      </c>
      <c r="S87" s="305" t="s">
        <v>220</v>
      </c>
      <c r="T87" s="324" t="n">
        <v>40</v>
      </c>
      <c r="U87" s="305" t="s">
        <v>8</v>
      </c>
      <c r="V87" s="325" t="s">
        <v>239</v>
      </c>
      <c r="W87" s="311" t="s">
        <v>221</v>
      </c>
      <c r="X87" s="334" t="n">
        <v>1.7</v>
      </c>
      <c r="Y87" s="311" t="s">
        <v>222</v>
      </c>
      <c r="Z87" s="310" t="n">
        <v>3</v>
      </c>
    </row>
    <row r="88" customFormat="false" ht="12.75" hidden="false" customHeight="false" outlineLevel="0" collapsed="false">
      <c r="A88" s="303" t="s">
        <v>227</v>
      </c>
      <c r="B88" s="326" t="n">
        <v>0</v>
      </c>
      <c r="C88" s="327" t="n">
        <v>0.2</v>
      </c>
      <c r="D88" s="327" t="n">
        <v>0.3</v>
      </c>
      <c r="E88" s="327" t="n">
        <v>0.6</v>
      </c>
      <c r="F88" s="327" t="n">
        <v>0.8</v>
      </c>
      <c r="G88" s="327" t="n">
        <v>2</v>
      </c>
      <c r="H88" s="327" t="n">
        <v>2.1</v>
      </c>
      <c r="I88" s="327" t="n">
        <v>2.1</v>
      </c>
      <c r="J88" s="327" t="n">
        <v>2.1</v>
      </c>
      <c r="K88" s="327" t="n">
        <v>2.1</v>
      </c>
      <c r="L88" s="327" t="n">
        <v>2.1</v>
      </c>
      <c r="M88" s="327" t="n">
        <v>2.1</v>
      </c>
      <c r="N88" s="327" t="n">
        <v>2.1</v>
      </c>
      <c r="O88" s="327" t="n">
        <v>2.1</v>
      </c>
      <c r="P88" s="327" t="n">
        <v>2.1</v>
      </c>
      <c r="Q88" s="327" t="n">
        <v>2.1</v>
      </c>
      <c r="R88" s="327" t="n">
        <v>2.1</v>
      </c>
      <c r="S88" s="327" t="n">
        <v>2.1</v>
      </c>
      <c r="T88" s="327" t="n">
        <v>2.1</v>
      </c>
      <c r="U88" s="327" t="n">
        <v>2.1</v>
      </c>
      <c r="V88" s="327" t="n">
        <v>2.1</v>
      </c>
      <c r="W88" s="327" t="n">
        <v>2.1</v>
      </c>
      <c r="X88" s="327" t="n">
        <v>2.1</v>
      </c>
      <c r="Y88" s="315" t="n">
        <v>1000</v>
      </c>
    </row>
    <row r="89" customFormat="false" ht="12.75" hidden="false" customHeight="false" outlineLevel="0" collapsed="false">
      <c r="A89" s="328" t="s">
        <v>228</v>
      </c>
      <c r="B89" s="329" t="n">
        <f aca="false">B79*3</f>
        <v>0</v>
      </c>
      <c r="C89" s="330" t="n">
        <f aca="false">C79*3</f>
        <v>33</v>
      </c>
      <c r="D89" s="330" t="n">
        <f aca="false">D79*3</f>
        <v>21</v>
      </c>
      <c r="E89" s="330" t="n">
        <f aca="false">E79*3</f>
        <v>12</v>
      </c>
      <c r="F89" s="330" t="n">
        <f aca="false">F79*3</f>
        <v>13.8</v>
      </c>
      <c r="G89" s="330" t="n">
        <f aca="false">G79*3</f>
        <v>13.8</v>
      </c>
      <c r="H89" s="330" t="n">
        <f aca="false">H79*3</f>
        <v>0</v>
      </c>
      <c r="I89" s="330" t="n">
        <f aca="false">I79*3</f>
        <v>0</v>
      </c>
      <c r="J89" s="330" t="n">
        <f aca="false">J79*3</f>
        <v>0</v>
      </c>
      <c r="K89" s="330" t="n">
        <f aca="false">K79*3</f>
        <v>0</v>
      </c>
      <c r="L89" s="330" t="n">
        <f aca="false">L79*3</f>
        <v>0</v>
      </c>
      <c r="M89" s="330" t="n">
        <f aca="false">M79*3</f>
        <v>0</v>
      </c>
      <c r="N89" s="330" t="n">
        <f aca="false">N79*3</f>
        <v>0</v>
      </c>
      <c r="O89" s="330" t="n">
        <f aca="false">O79*3</f>
        <v>0</v>
      </c>
      <c r="P89" s="330" t="n">
        <f aca="false">P79*3</f>
        <v>0</v>
      </c>
      <c r="Q89" s="330" t="n">
        <f aca="false">Q79*3</f>
        <v>0</v>
      </c>
      <c r="R89" s="330" t="n">
        <f aca="false">R79*3</f>
        <v>0</v>
      </c>
      <c r="S89" s="330" t="n">
        <f aca="false">S79*3</f>
        <v>0</v>
      </c>
      <c r="T89" s="330" t="n">
        <f aca="false">T79*3</f>
        <v>0</v>
      </c>
      <c r="U89" s="330" t="n">
        <f aca="false">U79*3</f>
        <v>0</v>
      </c>
      <c r="V89" s="330" t="n">
        <f aca="false">V79*3</f>
        <v>0</v>
      </c>
      <c r="W89" s="330" t="n">
        <f aca="false">W79*3</f>
        <v>0</v>
      </c>
      <c r="X89" s="330" t="n">
        <f aca="false">X79*3</f>
        <v>0</v>
      </c>
      <c r="Y89" s="331" t="n">
        <v>0</v>
      </c>
    </row>
    <row r="90" customFormat="false" ht="13.5" hidden="false" customHeight="false" outlineLevel="0" collapsed="false">
      <c r="A90" s="316" t="s">
        <v>229</v>
      </c>
      <c r="B90" s="332" t="n">
        <f aca="false">(C89+B89)*(C88-B88)/2</f>
        <v>3.3</v>
      </c>
      <c r="C90" s="333" t="n">
        <f aca="false">(D89+C89)*(D88-C88)/2</f>
        <v>2.7</v>
      </c>
      <c r="D90" s="333" t="n">
        <f aca="false">(E89+D89)*(E88-D88)/2</f>
        <v>4.95</v>
      </c>
      <c r="E90" s="333" t="n">
        <f aca="false">(F89+E89)*(F88-E88)/2</f>
        <v>2.58</v>
      </c>
      <c r="F90" s="333" t="n">
        <f aca="false">(G89+F89)*(G88-F88)/2</f>
        <v>16.56</v>
      </c>
      <c r="G90" s="333" t="n">
        <f aca="false">(H89+G89)*(H88-G88)/2</f>
        <v>0.690000000000001</v>
      </c>
      <c r="H90" s="333" t="n">
        <f aca="false">(I89+H89)*(I88-H88)/2</f>
        <v>0</v>
      </c>
      <c r="I90" s="333" t="n">
        <f aca="false">(J89+I89)*(J88-I88)/2</f>
        <v>0</v>
      </c>
      <c r="J90" s="333" t="n">
        <f aca="false">(K89+J89)*(K88-J88)/2</f>
        <v>0</v>
      </c>
      <c r="K90" s="333" t="n">
        <f aca="false">(L89+K89)*(L88-K88)/2</f>
        <v>0</v>
      </c>
      <c r="L90" s="333" t="n">
        <f aca="false">(M89+L89)*(M88-L88)/2</f>
        <v>0</v>
      </c>
      <c r="M90" s="333" t="n">
        <f aca="false">(N89+M89)*(N88-M88)/2</f>
        <v>0</v>
      </c>
      <c r="N90" s="333" t="n">
        <f aca="false">(O89+N89)*(O88-N88)/2</f>
        <v>0</v>
      </c>
      <c r="O90" s="333" t="n">
        <f aca="false">(P89+O89)*(P88-O88)/2</f>
        <v>0</v>
      </c>
      <c r="P90" s="333" t="n">
        <f aca="false">(Q89+P89)*(Q88-P88)/2</f>
        <v>0</v>
      </c>
      <c r="Q90" s="333" t="n">
        <f aca="false">(R89+Q89)*(R88-Q88)/2</f>
        <v>0</v>
      </c>
      <c r="R90" s="333" t="n">
        <f aca="false">(S89+R89)*(S88-R88)/2</f>
        <v>0</v>
      </c>
      <c r="S90" s="333" t="n">
        <f aca="false">(T89+S89)*(T88-S88)/2</f>
        <v>0</v>
      </c>
      <c r="T90" s="333" t="n">
        <f aca="false">(U89+T89)*(U88-T88)/2</f>
        <v>0</v>
      </c>
      <c r="U90" s="333" t="n">
        <f aca="false">(V89+U89)*(V88-U88)/2</f>
        <v>0</v>
      </c>
      <c r="V90" s="333" t="n">
        <f aca="false">(W89+V89)*(W88-V88)/2</f>
        <v>0</v>
      </c>
      <c r="W90" s="333" t="n">
        <f aca="false">(X89+W89)*(X88-W88)/2</f>
        <v>0</v>
      </c>
      <c r="X90" s="333" t="n">
        <f aca="false">(Y89+X89)*(Y88-X88)/2</f>
        <v>0</v>
      </c>
      <c r="Y90" s="319"/>
    </row>
    <row r="91" customFormat="false" ht="13.5" hidden="false" customHeight="false" outlineLevel="0" collapsed="false">
      <c r="B91" s="320"/>
      <c r="C91" s="320"/>
      <c r="D91" s="320"/>
      <c r="E91" s="320"/>
      <c r="F91" s="320"/>
      <c r="G91" s="320"/>
      <c r="H91" s="320"/>
      <c r="I91" s="320"/>
      <c r="J91" s="320"/>
      <c r="K91" s="320"/>
      <c r="L91" s="320"/>
      <c r="M91" s="320"/>
      <c r="N91" s="320"/>
      <c r="O91" s="320"/>
      <c r="P91" s="320"/>
      <c r="Q91" s="320"/>
      <c r="R91" s="320"/>
      <c r="S91" s="320"/>
      <c r="T91" s="320"/>
      <c r="U91" s="320"/>
      <c r="V91" s="320"/>
      <c r="W91" s="320"/>
      <c r="X91" s="320"/>
      <c r="Y91" s="320"/>
    </row>
    <row r="92" customFormat="false" ht="13.5" hidden="false" customHeight="false" outlineLevel="0" collapsed="false">
      <c r="A92" s="321" t="s">
        <v>244</v>
      </c>
      <c r="B92" s="322" t="n">
        <f aca="false">ROW(A92)</f>
        <v>92</v>
      </c>
      <c r="C92" s="305" t="s">
        <v>212</v>
      </c>
      <c r="D92" s="306" t="n">
        <f aca="false">SUM(B95:Y95)</f>
        <v>19.961989</v>
      </c>
      <c r="E92" s="305" t="s">
        <v>213</v>
      </c>
      <c r="F92" s="307" t="n">
        <f aca="false">D92/g/J92</f>
        <v>118.305887442809</v>
      </c>
      <c r="G92" s="305" t="s">
        <v>214</v>
      </c>
      <c r="H92" s="323" t="n">
        <v>0.0282</v>
      </c>
      <c r="I92" s="305" t="s">
        <v>225</v>
      </c>
      <c r="J92" s="308" t="n">
        <f aca="false">H92-L92</f>
        <v>0.0172</v>
      </c>
      <c r="K92" s="305" t="s">
        <v>226</v>
      </c>
      <c r="L92" s="323" t="n">
        <v>0.011</v>
      </c>
      <c r="M92" s="305" t="s">
        <v>217</v>
      </c>
      <c r="N92" s="324" t="n">
        <v>30</v>
      </c>
      <c r="O92" s="305" t="s">
        <v>218</v>
      </c>
      <c r="P92" s="324" t="n">
        <v>30</v>
      </c>
      <c r="Q92" s="305" t="s">
        <v>219</v>
      </c>
      <c r="R92" s="324" t="n">
        <v>70</v>
      </c>
      <c r="S92" s="305" t="s">
        <v>220</v>
      </c>
      <c r="T92" s="324" t="n">
        <v>18</v>
      </c>
      <c r="U92" s="305" t="s">
        <v>8</v>
      </c>
      <c r="V92" s="325" t="s">
        <v>245</v>
      </c>
      <c r="W92" s="311" t="s">
        <v>221</v>
      </c>
      <c r="X92" s="334" t="n">
        <v>2.1</v>
      </c>
      <c r="Y92" s="311" t="s">
        <v>222</v>
      </c>
      <c r="Z92" s="310" t="n">
        <v>7</v>
      </c>
    </row>
    <row r="93" customFormat="false" ht="12.75" hidden="false" customHeight="false" outlineLevel="0" collapsed="false">
      <c r="A93" s="303" t="s">
        <v>227</v>
      </c>
      <c r="B93" s="326" t="n">
        <v>0</v>
      </c>
      <c r="C93" s="330" t="n">
        <v>0.04</v>
      </c>
      <c r="D93" s="330" t="n">
        <v>0.116</v>
      </c>
      <c r="E93" s="330" t="n">
        <v>0.213</v>
      </c>
      <c r="F93" s="330" t="n">
        <v>0.286</v>
      </c>
      <c r="G93" s="330" t="n">
        <v>0.329</v>
      </c>
      <c r="H93" s="330" t="n">
        <v>0.369</v>
      </c>
      <c r="I93" s="330" t="n">
        <v>0.42</v>
      </c>
      <c r="J93" s="330" t="n">
        <v>0.495</v>
      </c>
      <c r="K93" s="330" t="n">
        <v>0.597</v>
      </c>
      <c r="L93" s="330" t="n">
        <v>1.711</v>
      </c>
      <c r="M93" s="330" t="n">
        <v>1.826</v>
      </c>
      <c r="N93" s="330" t="n">
        <v>1.917</v>
      </c>
      <c r="O93" s="330" t="n">
        <v>1.975</v>
      </c>
      <c r="P93" s="330" t="n">
        <v>2.206</v>
      </c>
      <c r="Q93" s="330" t="n">
        <v>2.242</v>
      </c>
      <c r="R93" s="327" t="n">
        <v>2.5</v>
      </c>
      <c r="S93" s="327" t="n">
        <v>2.5</v>
      </c>
      <c r="T93" s="327" t="n">
        <v>2.5</v>
      </c>
      <c r="U93" s="327" t="n">
        <v>2.5</v>
      </c>
      <c r="V93" s="327" t="n">
        <v>2.5</v>
      </c>
      <c r="W93" s="327" t="n">
        <v>2.5</v>
      </c>
      <c r="X93" s="327" t="n">
        <v>2.5</v>
      </c>
      <c r="Y93" s="315" t="n">
        <v>1000</v>
      </c>
    </row>
    <row r="94" customFormat="false" ht="12.75" hidden="false" customHeight="false" outlineLevel="0" collapsed="false">
      <c r="A94" s="328" t="s">
        <v>228</v>
      </c>
      <c r="B94" s="329" t="n">
        <v>0</v>
      </c>
      <c r="C94" s="330" t="n">
        <v>2.111</v>
      </c>
      <c r="D94" s="330" t="n">
        <v>9.685</v>
      </c>
      <c r="E94" s="330" t="n">
        <v>25</v>
      </c>
      <c r="F94" s="330" t="n">
        <v>15.738</v>
      </c>
      <c r="G94" s="330" t="n">
        <v>12.472</v>
      </c>
      <c r="H94" s="330" t="n">
        <v>10.67</v>
      </c>
      <c r="I94" s="330" t="n">
        <v>9.713</v>
      </c>
      <c r="J94" s="330" t="n">
        <v>9.178</v>
      </c>
      <c r="K94" s="330" t="n">
        <v>8.896</v>
      </c>
      <c r="L94" s="330" t="n">
        <v>8.925</v>
      </c>
      <c r="M94" s="330" t="n">
        <v>8.699</v>
      </c>
      <c r="N94" s="330" t="n">
        <v>8.052</v>
      </c>
      <c r="O94" s="330" t="n">
        <v>6.954</v>
      </c>
      <c r="P94" s="330" t="n">
        <v>1.07</v>
      </c>
      <c r="Q94" s="330" t="n">
        <v>0</v>
      </c>
      <c r="R94" s="330" t="n">
        <v>0</v>
      </c>
      <c r="S94" s="330" t="n">
        <v>0</v>
      </c>
      <c r="T94" s="330" t="n">
        <v>0</v>
      </c>
      <c r="U94" s="330" t="n">
        <v>0</v>
      </c>
      <c r="V94" s="330" t="n">
        <v>0</v>
      </c>
      <c r="W94" s="330" t="n">
        <v>0</v>
      </c>
      <c r="X94" s="330" t="n">
        <v>0</v>
      </c>
      <c r="Y94" s="331" t="n">
        <v>0</v>
      </c>
    </row>
    <row r="95" customFormat="false" ht="13.5" hidden="false" customHeight="false" outlineLevel="0" collapsed="false">
      <c r="A95" s="316" t="s">
        <v>229</v>
      </c>
      <c r="B95" s="332" t="n">
        <f aca="false">(C94+B94)*(C93-B93)/2</f>
        <v>0.04222</v>
      </c>
      <c r="C95" s="333" t="n">
        <f aca="false">(D94+C94)*(D93-C93)/2</f>
        <v>0.448248</v>
      </c>
      <c r="D95" s="333" t="n">
        <f aca="false">(E94+D94)*(E93-D93)/2</f>
        <v>1.6822225</v>
      </c>
      <c r="E95" s="333" t="n">
        <f aca="false">(F94+E94)*(F93-E93)/2</f>
        <v>1.486937</v>
      </c>
      <c r="F95" s="333" t="n">
        <f aca="false">(G94+F94)*(G93-F93)/2</f>
        <v>0.606515000000001</v>
      </c>
      <c r="G95" s="333" t="n">
        <f aca="false">(H94+G94)*(H93-G93)/2</f>
        <v>0.46284</v>
      </c>
      <c r="H95" s="333" t="n">
        <f aca="false">(I94+H94)*(I93-H93)/2</f>
        <v>0.5197665</v>
      </c>
      <c r="I95" s="333" t="n">
        <f aca="false">(J94+I94)*(J93-I93)/2</f>
        <v>0.7084125</v>
      </c>
      <c r="J95" s="333" t="n">
        <f aca="false">(K94+J94)*(K93-J93)/2</f>
        <v>0.921774</v>
      </c>
      <c r="K95" s="333" t="n">
        <f aca="false">(L94+K94)*(L93-K93)/2</f>
        <v>9.926297</v>
      </c>
      <c r="L95" s="333" t="n">
        <f aca="false">(M94+L94)*(M93-L93)/2</f>
        <v>1.01338</v>
      </c>
      <c r="M95" s="333" t="n">
        <f aca="false">(N94+M94)*(N93-M93)/2</f>
        <v>0.7621705</v>
      </c>
      <c r="N95" s="333" t="n">
        <f aca="false">(O94+N94)*(O93-N93)/2</f>
        <v>0.435174</v>
      </c>
      <c r="O95" s="333" t="n">
        <f aca="false">(P94+O94)*(P93-O93)/2</f>
        <v>0.926771999999999</v>
      </c>
      <c r="P95" s="333" t="n">
        <f aca="false">(Q94+P94)*(Q93-P93)/2</f>
        <v>0.01926</v>
      </c>
      <c r="Q95" s="333" t="n">
        <f aca="false">(R94+Q94)*(R93-Q93)/2</f>
        <v>0</v>
      </c>
      <c r="R95" s="333" t="n">
        <f aca="false">(S94+R94)*(S93-R93)/2</f>
        <v>0</v>
      </c>
      <c r="S95" s="333" t="n">
        <f aca="false">(T94+S94)*(T93-S93)/2</f>
        <v>0</v>
      </c>
      <c r="T95" s="333" t="n">
        <f aca="false">(U94+T94)*(U93-T93)/2</f>
        <v>0</v>
      </c>
      <c r="U95" s="333" t="n">
        <f aca="false">(V94+U94)*(V93-U93)/2</f>
        <v>0</v>
      </c>
      <c r="V95" s="333" t="n">
        <f aca="false">(W94+V94)*(W93-V93)/2</f>
        <v>0</v>
      </c>
      <c r="W95" s="333" t="n">
        <f aca="false">(X94+W94)*(X93-W93)/2</f>
        <v>0</v>
      </c>
      <c r="X95" s="333" t="n">
        <f aca="false">(Y94+X94)*(Y93-X93)/2</f>
        <v>0</v>
      </c>
      <c r="Y95" s="319"/>
    </row>
    <row r="96" customFormat="false" ht="13.5" hidden="false" customHeight="false" outlineLevel="0" collapsed="false">
      <c r="A96" s="320"/>
      <c r="L96" s="320"/>
      <c r="M96" s="320"/>
      <c r="N96" s="320"/>
      <c r="O96" s="320"/>
      <c r="P96" s="320"/>
      <c r="Q96" s="320"/>
      <c r="R96" s="320"/>
      <c r="S96" s="320"/>
      <c r="T96" s="320"/>
      <c r="U96" s="320"/>
      <c r="V96" s="320"/>
      <c r="W96" s="320"/>
      <c r="X96" s="320"/>
      <c r="Y96" s="320"/>
    </row>
    <row r="97" customFormat="false" ht="13.5" hidden="false" customHeight="false" outlineLevel="0" collapsed="false">
      <c r="A97" s="321" t="s">
        <v>246</v>
      </c>
      <c r="B97" s="322" t="n">
        <f aca="false">ROW(A97)</f>
        <v>97</v>
      </c>
      <c r="C97" s="305" t="s">
        <v>212</v>
      </c>
      <c r="D97" s="306" t="n">
        <f aca="false">SUM(B100:Y100)</f>
        <v>39.923978</v>
      </c>
      <c r="E97" s="305" t="s">
        <v>213</v>
      </c>
      <c r="F97" s="307" t="n">
        <f aca="false">D97/g/J97</f>
        <v>118.305887442809</v>
      </c>
      <c r="G97" s="305" t="s">
        <v>214</v>
      </c>
      <c r="H97" s="323" t="n">
        <f aca="false">H92*2</f>
        <v>0.0564</v>
      </c>
      <c r="I97" s="305" t="s">
        <v>225</v>
      </c>
      <c r="J97" s="308" t="n">
        <f aca="false">H97-L97</f>
        <v>0.0344</v>
      </c>
      <c r="K97" s="305" t="s">
        <v>226</v>
      </c>
      <c r="L97" s="323" t="n">
        <f aca="false">L92*2</f>
        <v>0.022</v>
      </c>
      <c r="M97" s="305" t="s">
        <v>217</v>
      </c>
      <c r="N97" s="324" t="n">
        <v>30</v>
      </c>
      <c r="O97" s="305" t="s">
        <v>218</v>
      </c>
      <c r="P97" s="324" t="n">
        <v>30</v>
      </c>
      <c r="Q97" s="305" t="s">
        <v>219</v>
      </c>
      <c r="R97" s="324" t="n">
        <v>70</v>
      </c>
      <c r="S97" s="305" t="s">
        <v>220</v>
      </c>
      <c r="T97" s="324" t="n">
        <v>30</v>
      </c>
      <c r="U97" s="305" t="s">
        <v>8</v>
      </c>
      <c r="V97" s="325" t="s">
        <v>245</v>
      </c>
      <c r="W97" s="311" t="s">
        <v>221</v>
      </c>
      <c r="X97" s="334" t="n">
        <v>2.1</v>
      </c>
      <c r="Y97" s="311" t="s">
        <v>222</v>
      </c>
      <c r="Z97" s="310" t="n">
        <v>7</v>
      </c>
    </row>
    <row r="98" customFormat="false" ht="12.75" hidden="false" customHeight="false" outlineLevel="0" collapsed="false">
      <c r="A98" s="303" t="s">
        <v>227</v>
      </c>
      <c r="B98" s="326" t="n">
        <v>0</v>
      </c>
      <c r="C98" s="327" t="n">
        <f aca="false">C93</f>
        <v>0.04</v>
      </c>
      <c r="D98" s="327" t="n">
        <f aca="false">D93</f>
        <v>0.116</v>
      </c>
      <c r="E98" s="327" t="n">
        <f aca="false">E93</f>
        <v>0.213</v>
      </c>
      <c r="F98" s="327" t="n">
        <f aca="false">F93</f>
        <v>0.286</v>
      </c>
      <c r="G98" s="327" t="n">
        <f aca="false">G93</f>
        <v>0.329</v>
      </c>
      <c r="H98" s="327" t="n">
        <f aca="false">H93</f>
        <v>0.369</v>
      </c>
      <c r="I98" s="327" t="n">
        <f aca="false">I93</f>
        <v>0.42</v>
      </c>
      <c r="J98" s="327" t="n">
        <f aca="false">J93</f>
        <v>0.495</v>
      </c>
      <c r="K98" s="327" t="n">
        <f aca="false">K93</f>
        <v>0.597</v>
      </c>
      <c r="L98" s="327" t="n">
        <f aca="false">L93</f>
        <v>1.711</v>
      </c>
      <c r="M98" s="327" t="n">
        <f aca="false">M93</f>
        <v>1.826</v>
      </c>
      <c r="N98" s="327" t="n">
        <f aca="false">N93</f>
        <v>1.917</v>
      </c>
      <c r="O98" s="327" t="n">
        <f aca="false">O93</f>
        <v>1.975</v>
      </c>
      <c r="P98" s="327" t="n">
        <f aca="false">P93</f>
        <v>2.206</v>
      </c>
      <c r="Q98" s="327" t="n">
        <f aca="false">Q93</f>
        <v>2.242</v>
      </c>
      <c r="R98" s="327" t="n">
        <f aca="false">R93</f>
        <v>2.5</v>
      </c>
      <c r="S98" s="327" t="n">
        <f aca="false">S93</f>
        <v>2.5</v>
      </c>
      <c r="T98" s="327" t="n">
        <f aca="false">T93</f>
        <v>2.5</v>
      </c>
      <c r="U98" s="327" t="n">
        <f aca="false">U93</f>
        <v>2.5</v>
      </c>
      <c r="V98" s="327" t="n">
        <f aca="false">V93</f>
        <v>2.5</v>
      </c>
      <c r="W98" s="327" t="n">
        <f aca="false">W93</f>
        <v>2.5</v>
      </c>
      <c r="X98" s="327" t="n">
        <f aca="false">X93</f>
        <v>2.5</v>
      </c>
      <c r="Y98" s="315" t="n">
        <v>1000</v>
      </c>
    </row>
    <row r="99" customFormat="false" ht="12.75" hidden="false" customHeight="false" outlineLevel="0" collapsed="false">
      <c r="A99" s="328" t="s">
        <v>228</v>
      </c>
      <c r="B99" s="329" t="n">
        <f aca="false">B94*2</f>
        <v>0</v>
      </c>
      <c r="C99" s="330" t="n">
        <f aca="false">C94*2</f>
        <v>4.222</v>
      </c>
      <c r="D99" s="330" t="n">
        <f aca="false">D94*2</f>
        <v>19.37</v>
      </c>
      <c r="E99" s="330" t="n">
        <f aca="false">E94*2</f>
        <v>50</v>
      </c>
      <c r="F99" s="330" t="n">
        <f aca="false">F94*2</f>
        <v>31.476</v>
      </c>
      <c r="G99" s="330" t="n">
        <f aca="false">G94*2</f>
        <v>24.944</v>
      </c>
      <c r="H99" s="330" t="n">
        <f aca="false">H94*2</f>
        <v>21.34</v>
      </c>
      <c r="I99" s="330" t="n">
        <f aca="false">I94*2</f>
        <v>19.426</v>
      </c>
      <c r="J99" s="330" t="n">
        <f aca="false">J94*2</f>
        <v>18.356</v>
      </c>
      <c r="K99" s="330" t="n">
        <f aca="false">K94*2</f>
        <v>17.792</v>
      </c>
      <c r="L99" s="330" t="n">
        <f aca="false">L94*2</f>
        <v>17.85</v>
      </c>
      <c r="M99" s="330" t="n">
        <f aca="false">M94*2</f>
        <v>17.398</v>
      </c>
      <c r="N99" s="330" t="n">
        <f aca="false">N94*2</f>
        <v>16.104</v>
      </c>
      <c r="O99" s="330" t="n">
        <f aca="false">O94*2</f>
        <v>13.908</v>
      </c>
      <c r="P99" s="330" t="n">
        <f aca="false">P94*2</f>
        <v>2.14</v>
      </c>
      <c r="Q99" s="330" t="n">
        <f aca="false">Q94*2</f>
        <v>0</v>
      </c>
      <c r="R99" s="330" t="n">
        <f aca="false">R94*2</f>
        <v>0</v>
      </c>
      <c r="S99" s="330" t="n">
        <f aca="false">S94*2</f>
        <v>0</v>
      </c>
      <c r="T99" s="330" t="n">
        <f aca="false">T94*2</f>
        <v>0</v>
      </c>
      <c r="U99" s="330" t="n">
        <f aca="false">U94*2</f>
        <v>0</v>
      </c>
      <c r="V99" s="330" t="n">
        <f aca="false">V94*2</f>
        <v>0</v>
      </c>
      <c r="W99" s="330" t="n">
        <f aca="false">W94*2</f>
        <v>0</v>
      </c>
      <c r="X99" s="330" t="n">
        <f aca="false">X94*2</f>
        <v>0</v>
      </c>
      <c r="Y99" s="331" t="n">
        <v>0</v>
      </c>
    </row>
    <row r="100" customFormat="false" ht="13.5" hidden="false" customHeight="false" outlineLevel="0" collapsed="false">
      <c r="A100" s="316" t="s">
        <v>229</v>
      </c>
      <c r="B100" s="332" t="n">
        <f aca="false">(C99+B99)*(C98-B98)/2</f>
        <v>0.08444</v>
      </c>
      <c r="C100" s="333" t="n">
        <f aca="false">(D99+C99)*(D98-C98)/2</f>
        <v>0.896496</v>
      </c>
      <c r="D100" s="333" t="n">
        <f aca="false">(E99+D99)*(E98-D98)/2</f>
        <v>3.364445</v>
      </c>
      <c r="E100" s="333" t="n">
        <f aca="false">(F99+E99)*(F98-E98)/2</f>
        <v>2.973874</v>
      </c>
      <c r="F100" s="333" t="n">
        <f aca="false">(G99+F99)*(G98-F98)/2</f>
        <v>1.21303</v>
      </c>
      <c r="G100" s="333" t="n">
        <f aca="false">(H99+G99)*(H98-G98)/2</f>
        <v>0.92568</v>
      </c>
      <c r="H100" s="333" t="n">
        <f aca="false">(I99+H99)*(I98-H98)/2</f>
        <v>1.039533</v>
      </c>
      <c r="I100" s="333" t="n">
        <f aca="false">(J99+I99)*(J98-I98)/2</f>
        <v>1.416825</v>
      </c>
      <c r="J100" s="333" t="n">
        <f aca="false">(K99+J99)*(K98-J98)/2</f>
        <v>1.843548</v>
      </c>
      <c r="K100" s="333" t="n">
        <f aca="false">(L99+K99)*(L98-K98)/2</f>
        <v>19.852594</v>
      </c>
      <c r="L100" s="333" t="n">
        <f aca="false">(M99+L99)*(M98-L98)/2</f>
        <v>2.02676</v>
      </c>
      <c r="M100" s="333" t="n">
        <f aca="false">(N99+M99)*(N98-M98)/2</f>
        <v>1.524341</v>
      </c>
      <c r="N100" s="333" t="n">
        <f aca="false">(O99+N99)*(O98-N98)/2</f>
        <v>0.870348000000001</v>
      </c>
      <c r="O100" s="333" t="n">
        <f aca="false">(P99+O99)*(P98-O98)/2</f>
        <v>1.853544</v>
      </c>
      <c r="P100" s="333" t="n">
        <f aca="false">(Q99+P99)*(Q98-P98)/2</f>
        <v>0.03852</v>
      </c>
      <c r="Q100" s="333" t="n">
        <f aca="false">(R99+Q99)*(R98-Q98)/2</f>
        <v>0</v>
      </c>
      <c r="R100" s="333" t="n">
        <f aca="false">(S99+R99)*(S98-R98)/2</f>
        <v>0</v>
      </c>
      <c r="S100" s="333" t="n">
        <f aca="false">(T99+S99)*(T98-S98)/2</f>
        <v>0</v>
      </c>
      <c r="T100" s="333" t="n">
        <f aca="false">(U99+T99)*(U98-T98)/2</f>
        <v>0</v>
      </c>
      <c r="U100" s="333" t="n">
        <f aca="false">(V99+U99)*(V98-U98)/2</f>
        <v>0</v>
      </c>
      <c r="V100" s="333" t="n">
        <f aca="false">(W99+V99)*(W98-V98)/2</f>
        <v>0</v>
      </c>
      <c r="W100" s="333" t="n">
        <f aca="false">(X99+W99)*(X98-W98)/2</f>
        <v>0</v>
      </c>
      <c r="X100" s="333" t="n">
        <f aca="false">(Y99+X99)*(Y98-X98)/2</f>
        <v>0</v>
      </c>
      <c r="Y100" s="319"/>
    </row>
    <row r="101" customFormat="false" ht="13.5" hidden="false" customHeight="false" outlineLevel="0" collapsed="false">
      <c r="B101" s="320"/>
      <c r="C101" s="320"/>
      <c r="D101" s="320"/>
      <c r="E101" s="320"/>
      <c r="F101" s="320"/>
      <c r="G101" s="320"/>
      <c r="H101" s="320"/>
      <c r="I101" s="320"/>
      <c r="J101" s="320"/>
      <c r="K101" s="320"/>
      <c r="L101" s="320"/>
      <c r="M101" s="320"/>
      <c r="N101" s="320"/>
      <c r="O101" s="320"/>
      <c r="P101" s="320"/>
      <c r="Q101" s="320"/>
      <c r="R101" s="320"/>
      <c r="S101" s="320"/>
      <c r="T101" s="320"/>
      <c r="U101" s="320"/>
      <c r="V101" s="320"/>
      <c r="W101" s="320"/>
      <c r="X101" s="320"/>
      <c r="Y101" s="320"/>
    </row>
    <row r="102" customFormat="false" ht="13.5" hidden="false" customHeight="false" outlineLevel="0" collapsed="false">
      <c r="A102" s="321" t="s">
        <v>247</v>
      </c>
      <c r="B102" s="322" t="n">
        <f aca="false">ROW(A102)</f>
        <v>102</v>
      </c>
      <c r="C102" s="305" t="s">
        <v>212</v>
      </c>
      <c r="D102" s="306" t="n">
        <f aca="false">SUM(B105:Y105)</f>
        <v>59.885967</v>
      </c>
      <c r="E102" s="305" t="s">
        <v>213</v>
      </c>
      <c r="F102" s="307" t="n">
        <f aca="false">D102/g/J102</f>
        <v>118.305887442809</v>
      </c>
      <c r="G102" s="305" t="s">
        <v>214</v>
      </c>
      <c r="H102" s="323" t="n">
        <f aca="false">H92*3</f>
        <v>0.0846</v>
      </c>
      <c r="I102" s="305" t="s">
        <v>225</v>
      </c>
      <c r="J102" s="308" t="n">
        <f aca="false">H102-L102</f>
        <v>0.0516</v>
      </c>
      <c r="K102" s="305" t="s">
        <v>226</v>
      </c>
      <c r="L102" s="323" t="n">
        <f aca="false">L92*3</f>
        <v>0.033</v>
      </c>
      <c r="M102" s="305" t="s">
        <v>217</v>
      </c>
      <c r="N102" s="324" t="n">
        <v>30</v>
      </c>
      <c r="O102" s="305" t="s">
        <v>218</v>
      </c>
      <c r="P102" s="324" t="n">
        <v>30</v>
      </c>
      <c r="Q102" s="305" t="s">
        <v>219</v>
      </c>
      <c r="R102" s="324" t="n">
        <v>70</v>
      </c>
      <c r="S102" s="305" t="s">
        <v>220</v>
      </c>
      <c r="T102" s="324" t="n">
        <v>40</v>
      </c>
      <c r="U102" s="305" t="s">
        <v>8</v>
      </c>
      <c r="V102" s="325" t="s">
        <v>245</v>
      </c>
      <c r="W102" s="311" t="s">
        <v>221</v>
      </c>
      <c r="X102" s="334" t="n">
        <v>2.1</v>
      </c>
      <c r="Y102" s="311" t="s">
        <v>222</v>
      </c>
      <c r="Z102" s="310" t="n">
        <v>7</v>
      </c>
    </row>
    <row r="103" customFormat="false" ht="12.75" hidden="false" customHeight="false" outlineLevel="0" collapsed="false">
      <c r="A103" s="303" t="s">
        <v>227</v>
      </c>
      <c r="B103" s="326" t="n">
        <v>0</v>
      </c>
      <c r="C103" s="327" t="n">
        <f aca="false">C93</f>
        <v>0.04</v>
      </c>
      <c r="D103" s="327" t="n">
        <f aca="false">D93</f>
        <v>0.116</v>
      </c>
      <c r="E103" s="327" t="n">
        <f aca="false">E93</f>
        <v>0.213</v>
      </c>
      <c r="F103" s="327" t="n">
        <f aca="false">F93</f>
        <v>0.286</v>
      </c>
      <c r="G103" s="327" t="n">
        <f aca="false">G93</f>
        <v>0.329</v>
      </c>
      <c r="H103" s="327" t="n">
        <f aca="false">H93</f>
        <v>0.369</v>
      </c>
      <c r="I103" s="327" t="n">
        <f aca="false">I93</f>
        <v>0.42</v>
      </c>
      <c r="J103" s="327" t="n">
        <f aca="false">J93</f>
        <v>0.495</v>
      </c>
      <c r="K103" s="327" t="n">
        <f aca="false">K93</f>
        <v>0.597</v>
      </c>
      <c r="L103" s="327" t="n">
        <f aca="false">L93</f>
        <v>1.711</v>
      </c>
      <c r="M103" s="327" t="n">
        <f aca="false">M93</f>
        <v>1.826</v>
      </c>
      <c r="N103" s="327" t="n">
        <f aca="false">N93</f>
        <v>1.917</v>
      </c>
      <c r="O103" s="327" t="n">
        <f aca="false">O93</f>
        <v>1.975</v>
      </c>
      <c r="P103" s="327" t="n">
        <f aca="false">P93</f>
        <v>2.206</v>
      </c>
      <c r="Q103" s="327" t="n">
        <f aca="false">Q93</f>
        <v>2.242</v>
      </c>
      <c r="R103" s="327" t="n">
        <f aca="false">R93</f>
        <v>2.5</v>
      </c>
      <c r="S103" s="327" t="n">
        <f aca="false">S93</f>
        <v>2.5</v>
      </c>
      <c r="T103" s="327" t="n">
        <f aca="false">T93</f>
        <v>2.5</v>
      </c>
      <c r="U103" s="327" t="n">
        <f aca="false">U93</f>
        <v>2.5</v>
      </c>
      <c r="V103" s="327" t="n">
        <f aca="false">V93</f>
        <v>2.5</v>
      </c>
      <c r="W103" s="327" t="n">
        <f aca="false">W93</f>
        <v>2.5</v>
      </c>
      <c r="X103" s="327" t="n">
        <f aca="false">X93</f>
        <v>2.5</v>
      </c>
      <c r="Y103" s="315" t="n">
        <v>1000</v>
      </c>
    </row>
    <row r="104" customFormat="false" ht="12.75" hidden="false" customHeight="false" outlineLevel="0" collapsed="false">
      <c r="A104" s="328" t="s">
        <v>228</v>
      </c>
      <c r="B104" s="329" t="n">
        <f aca="false">B94*3</f>
        <v>0</v>
      </c>
      <c r="C104" s="330" t="n">
        <f aca="false">C94*3</f>
        <v>6.333</v>
      </c>
      <c r="D104" s="330" t="n">
        <f aca="false">D94*3</f>
        <v>29.055</v>
      </c>
      <c r="E104" s="330" t="n">
        <f aca="false">E94*3</f>
        <v>75</v>
      </c>
      <c r="F104" s="330" t="n">
        <f aca="false">F94*3</f>
        <v>47.214</v>
      </c>
      <c r="G104" s="330" t="n">
        <f aca="false">G94*3</f>
        <v>37.416</v>
      </c>
      <c r="H104" s="330" t="n">
        <f aca="false">H94*3</f>
        <v>32.01</v>
      </c>
      <c r="I104" s="330" t="n">
        <f aca="false">I94*3</f>
        <v>29.139</v>
      </c>
      <c r="J104" s="330" t="n">
        <f aca="false">J94*3</f>
        <v>27.534</v>
      </c>
      <c r="K104" s="330" t="n">
        <f aca="false">K94*3</f>
        <v>26.688</v>
      </c>
      <c r="L104" s="330" t="n">
        <f aca="false">L94*3</f>
        <v>26.775</v>
      </c>
      <c r="M104" s="330" t="n">
        <f aca="false">M94*3</f>
        <v>26.097</v>
      </c>
      <c r="N104" s="330" t="n">
        <f aca="false">N94*3</f>
        <v>24.156</v>
      </c>
      <c r="O104" s="330" t="n">
        <f aca="false">O94*3</f>
        <v>20.862</v>
      </c>
      <c r="P104" s="330" t="n">
        <f aca="false">P94*3</f>
        <v>3.21</v>
      </c>
      <c r="Q104" s="330" t="n">
        <f aca="false">Q94*3</f>
        <v>0</v>
      </c>
      <c r="R104" s="330" t="n">
        <f aca="false">R94*3</f>
        <v>0</v>
      </c>
      <c r="S104" s="330" t="n">
        <f aca="false">S94*3</f>
        <v>0</v>
      </c>
      <c r="T104" s="330" t="n">
        <f aca="false">T94*3</f>
        <v>0</v>
      </c>
      <c r="U104" s="330" t="n">
        <f aca="false">U94*3</f>
        <v>0</v>
      </c>
      <c r="V104" s="330" t="n">
        <f aca="false">V94*3</f>
        <v>0</v>
      </c>
      <c r="W104" s="330" t="n">
        <f aca="false">W94*3</f>
        <v>0</v>
      </c>
      <c r="X104" s="330" t="n">
        <f aca="false">X94*3</f>
        <v>0</v>
      </c>
      <c r="Y104" s="331" t="n">
        <v>0</v>
      </c>
    </row>
    <row r="105" customFormat="false" ht="13.5" hidden="false" customHeight="false" outlineLevel="0" collapsed="false">
      <c r="A105" s="316" t="s">
        <v>229</v>
      </c>
      <c r="B105" s="332" t="n">
        <f aca="false">(C104+B104)*(C103-B103)/2</f>
        <v>0.12666</v>
      </c>
      <c r="C105" s="333" t="n">
        <f aca="false">(D104+C104)*(D103-C103)/2</f>
        <v>1.344744</v>
      </c>
      <c r="D105" s="333" t="n">
        <f aca="false">(E104+D104)*(E103-D103)/2</f>
        <v>5.0466675</v>
      </c>
      <c r="E105" s="333" t="n">
        <f aca="false">(F104+E104)*(F103-E103)/2</f>
        <v>4.460811</v>
      </c>
      <c r="F105" s="333" t="n">
        <f aca="false">(G104+F104)*(G103-F103)/2</f>
        <v>1.819545</v>
      </c>
      <c r="G105" s="333" t="n">
        <f aca="false">(H104+G104)*(H103-G103)/2</f>
        <v>1.38852</v>
      </c>
      <c r="H105" s="333" t="n">
        <f aca="false">(I104+H104)*(I103-H103)/2</f>
        <v>1.5592995</v>
      </c>
      <c r="I105" s="333" t="n">
        <f aca="false">(J104+I104)*(J103-I103)/2</f>
        <v>2.1252375</v>
      </c>
      <c r="J105" s="333" t="n">
        <f aca="false">(K104+J104)*(K103-J103)/2</f>
        <v>2.765322</v>
      </c>
      <c r="K105" s="333" t="n">
        <f aca="false">(L104+K104)*(L103-K103)/2</f>
        <v>29.778891</v>
      </c>
      <c r="L105" s="333" t="n">
        <f aca="false">(M104+L104)*(M103-L103)/2</f>
        <v>3.04014</v>
      </c>
      <c r="M105" s="333" t="n">
        <f aca="false">(N104+M104)*(N103-M103)/2</f>
        <v>2.2865115</v>
      </c>
      <c r="N105" s="333" t="n">
        <f aca="false">(O104+N104)*(O103-N103)/2</f>
        <v>1.305522</v>
      </c>
      <c r="O105" s="333" t="n">
        <f aca="false">(P104+O104)*(P103-O103)/2</f>
        <v>2.780316</v>
      </c>
      <c r="P105" s="333" t="n">
        <f aca="false">(Q104+P104)*(Q103-P103)/2</f>
        <v>0.0577800000000001</v>
      </c>
      <c r="Q105" s="333" t="n">
        <f aca="false">(R104+Q104)*(R103-Q103)/2</f>
        <v>0</v>
      </c>
      <c r="R105" s="333" t="n">
        <f aca="false">(S104+R104)*(S103-R103)/2</f>
        <v>0</v>
      </c>
      <c r="S105" s="333" t="n">
        <f aca="false">(T104+S104)*(T103-S103)/2</f>
        <v>0</v>
      </c>
      <c r="T105" s="333" t="n">
        <f aca="false">(U104+T104)*(U103-T103)/2</f>
        <v>0</v>
      </c>
      <c r="U105" s="333" t="n">
        <f aca="false">(V104+U104)*(V103-U103)/2</f>
        <v>0</v>
      </c>
      <c r="V105" s="333" t="n">
        <f aca="false">(W104+V104)*(W103-V103)/2</f>
        <v>0</v>
      </c>
      <c r="W105" s="333" t="n">
        <f aca="false">(X104+W104)*(X103-W103)/2</f>
        <v>0</v>
      </c>
      <c r="X105" s="333" t="n">
        <f aca="false">(Y104+X104)*(Y103-X103)/2</f>
        <v>0</v>
      </c>
      <c r="Y105" s="319"/>
    </row>
    <row r="107" customFormat="false" ht="13.5" hidden="false" customHeight="false" outlineLevel="0" collapsed="false">
      <c r="A107" s="160" t="s">
        <v>248</v>
      </c>
    </row>
    <row r="108" customFormat="false" ht="13.5" hidden="false" customHeight="false" outlineLevel="0" collapsed="false">
      <c r="A108" s="321" t="s">
        <v>249</v>
      </c>
      <c r="B108" s="322" t="n">
        <f aca="false">ROW(A108)</f>
        <v>108</v>
      </c>
      <c r="C108" s="305" t="s">
        <v>212</v>
      </c>
      <c r="D108" s="306" t="n">
        <f aca="false">SUM(B111:Y111)</f>
        <v>24.269519</v>
      </c>
      <c r="E108" s="305" t="s">
        <v>213</v>
      </c>
      <c r="F108" s="307" t="n">
        <f aca="false">D108/g/J108</f>
        <v>154.622317787971</v>
      </c>
      <c r="G108" s="305" t="s">
        <v>214</v>
      </c>
      <c r="H108" s="323" t="n">
        <v>0.052</v>
      </c>
      <c r="I108" s="305" t="s">
        <v>225</v>
      </c>
      <c r="J108" s="308" t="n">
        <f aca="false">H108-L108</f>
        <v>0.016</v>
      </c>
      <c r="K108" s="305" t="s">
        <v>226</v>
      </c>
      <c r="L108" s="323" t="n">
        <v>0.036</v>
      </c>
      <c r="M108" s="305" t="s">
        <v>217</v>
      </c>
      <c r="N108" s="335" t="n">
        <v>35</v>
      </c>
      <c r="O108" s="305" t="s">
        <v>218</v>
      </c>
      <c r="P108" s="335" t="n">
        <v>35</v>
      </c>
      <c r="Q108" s="305" t="s">
        <v>219</v>
      </c>
      <c r="R108" s="324" t="n">
        <v>69</v>
      </c>
      <c r="S108" s="305" t="s">
        <v>220</v>
      </c>
      <c r="T108" s="324" t="n">
        <v>24</v>
      </c>
      <c r="U108" s="305" t="s">
        <v>8</v>
      </c>
      <c r="V108" s="325" t="s">
        <v>250</v>
      </c>
      <c r="W108" s="311" t="s">
        <v>221</v>
      </c>
      <c r="X108" s="334" t="n">
        <v>1</v>
      </c>
      <c r="Y108" s="311" t="s">
        <v>222</v>
      </c>
      <c r="Z108" s="310" t="n">
        <v>13</v>
      </c>
    </row>
    <row r="109" customFormat="false" ht="12.75" hidden="false" customHeight="false" outlineLevel="0" collapsed="false">
      <c r="A109" s="303" t="s">
        <v>227</v>
      </c>
      <c r="B109" s="326" t="n">
        <v>0</v>
      </c>
      <c r="C109" s="327" t="n">
        <v>0.008</v>
      </c>
      <c r="D109" s="327" t="n">
        <v>0.026</v>
      </c>
      <c r="E109" s="327" t="n">
        <v>0.038</v>
      </c>
      <c r="F109" s="327" t="n">
        <v>0.067</v>
      </c>
      <c r="G109" s="327" t="n">
        <v>0.101</v>
      </c>
      <c r="H109" s="327" t="n">
        <v>0.33</v>
      </c>
      <c r="I109" s="327" t="n">
        <v>0.528</v>
      </c>
      <c r="J109" s="327" t="n">
        <v>0.716</v>
      </c>
      <c r="K109" s="327" t="n">
        <v>0.841</v>
      </c>
      <c r="L109" s="327" t="n">
        <v>0.912</v>
      </c>
      <c r="M109" s="327" t="n">
        <v>0.987</v>
      </c>
      <c r="N109" s="327" t="n">
        <v>1.016</v>
      </c>
      <c r="O109" s="327" t="n">
        <v>1.065</v>
      </c>
      <c r="P109" s="327" t="n">
        <v>1.087</v>
      </c>
      <c r="Q109" s="327" t="n">
        <v>2</v>
      </c>
      <c r="R109" s="327" t="n">
        <v>2</v>
      </c>
      <c r="S109" s="327" t="n">
        <v>2</v>
      </c>
      <c r="T109" s="327" t="n">
        <v>2</v>
      </c>
      <c r="U109" s="327" t="n">
        <v>2</v>
      </c>
      <c r="V109" s="327" t="n">
        <v>2</v>
      </c>
      <c r="W109" s="327" t="n">
        <v>2</v>
      </c>
      <c r="X109" s="327" t="n">
        <v>2</v>
      </c>
      <c r="Y109" s="315" t="n">
        <v>1000</v>
      </c>
    </row>
    <row r="110" customFormat="false" ht="12.75" hidden="false" customHeight="false" outlineLevel="0" collapsed="false">
      <c r="A110" s="328" t="s">
        <v>228</v>
      </c>
      <c r="B110" s="329" t="n">
        <v>0</v>
      </c>
      <c r="C110" s="330" t="n">
        <v>18.292</v>
      </c>
      <c r="D110" s="330" t="n">
        <v>30</v>
      </c>
      <c r="E110" s="330" t="n">
        <v>30.792</v>
      </c>
      <c r="F110" s="330" t="n">
        <v>18.708</v>
      </c>
      <c r="G110" s="330" t="n">
        <v>21.875</v>
      </c>
      <c r="H110" s="330" t="n">
        <v>26.083</v>
      </c>
      <c r="I110" s="330" t="n">
        <v>28.042</v>
      </c>
      <c r="J110" s="330" t="n">
        <v>27.875</v>
      </c>
      <c r="K110" s="330" t="n">
        <v>23.542</v>
      </c>
      <c r="L110" s="330" t="n">
        <v>17.833</v>
      </c>
      <c r="M110" s="330" t="n">
        <v>7</v>
      </c>
      <c r="N110" s="330" t="n">
        <v>3.333</v>
      </c>
      <c r="O110" s="330" t="n">
        <v>1.083</v>
      </c>
      <c r="P110" s="330" t="n">
        <v>0</v>
      </c>
      <c r="Q110" s="330" t="n">
        <v>0</v>
      </c>
      <c r="R110" s="330" t="n">
        <v>0</v>
      </c>
      <c r="S110" s="330" t="n">
        <v>0</v>
      </c>
      <c r="T110" s="330" t="n">
        <f aca="false">S110</f>
        <v>0</v>
      </c>
      <c r="U110" s="330" t="n">
        <f aca="false">T110</f>
        <v>0</v>
      </c>
      <c r="V110" s="330" t="n">
        <f aca="false">U110</f>
        <v>0</v>
      </c>
      <c r="W110" s="330" t="n">
        <f aca="false">V110</f>
        <v>0</v>
      </c>
      <c r="X110" s="330" t="n">
        <f aca="false">W110</f>
        <v>0</v>
      </c>
      <c r="Y110" s="331" t="n">
        <v>0</v>
      </c>
    </row>
    <row r="111" customFormat="false" ht="13.5" hidden="false" customHeight="false" outlineLevel="0" collapsed="false">
      <c r="A111" s="316" t="s">
        <v>229</v>
      </c>
      <c r="B111" s="332" t="n">
        <f aca="false">(C110+B110)*(C109-B109)/2</f>
        <v>0.073168</v>
      </c>
      <c r="C111" s="333" t="n">
        <f aca="false">(D110+C110)*(D109-C109)/2</f>
        <v>0.434628</v>
      </c>
      <c r="D111" s="333" t="n">
        <f aca="false">(E110+D110)*(E109-D109)/2</f>
        <v>0.364752</v>
      </c>
      <c r="E111" s="333" t="n">
        <f aca="false">(F110+E110)*(F109-E109)/2</f>
        <v>0.71775</v>
      </c>
      <c r="F111" s="333" t="n">
        <f aca="false">(G110+F110)*(G109-F109)/2</f>
        <v>0.689911</v>
      </c>
      <c r="G111" s="333" t="n">
        <f aca="false">(H110+G110)*(H109-G109)/2</f>
        <v>5.491191</v>
      </c>
      <c r="H111" s="333" t="n">
        <f aca="false">(I110+H110)*(I109-H109)/2</f>
        <v>5.358375</v>
      </c>
      <c r="I111" s="333" t="n">
        <f aca="false">(J110+I110)*(J109-I109)/2</f>
        <v>5.256198</v>
      </c>
      <c r="J111" s="333" t="n">
        <f aca="false">(K110+J110)*(K109-J109)/2</f>
        <v>3.2135625</v>
      </c>
      <c r="K111" s="333" t="n">
        <f aca="false">(L110+K110)*(L109-K109)/2</f>
        <v>1.4688125</v>
      </c>
      <c r="L111" s="333" t="n">
        <f aca="false">(M110+L110)*(M109-L109)/2</f>
        <v>0.931237499999999</v>
      </c>
      <c r="M111" s="333" t="n">
        <f aca="false">(N110+M110)*(N109-M109)/2</f>
        <v>0.1498285</v>
      </c>
      <c r="N111" s="333" t="n">
        <f aca="false">(O110+N110)*(O109-N109)/2</f>
        <v>0.108192</v>
      </c>
      <c r="O111" s="333" t="n">
        <f aca="false">(P110+O110)*(P109-O109)/2</f>
        <v>0.011913</v>
      </c>
      <c r="P111" s="333" t="n">
        <f aca="false">(Q110+P110)*(Q109-P109)/2</f>
        <v>0</v>
      </c>
      <c r="Q111" s="333" t="n">
        <f aca="false">(R110+Q110)*(R109-Q109)/2</f>
        <v>0</v>
      </c>
      <c r="R111" s="333" t="n">
        <f aca="false">(S110+R110)*(S109-R109)/2</f>
        <v>0</v>
      </c>
      <c r="S111" s="333" t="n">
        <f aca="false">(T110+S110)*(T109-S109)/2</f>
        <v>0</v>
      </c>
      <c r="T111" s="333" t="n">
        <f aca="false">(U110+T110)*(U109-T109)/2</f>
        <v>0</v>
      </c>
      <c r="U111" s="333" t="n">
        <f aca="false">(V110+U110)*(V109-U109)/2</f>
        <v>0</v>
      </c>
      <c r="V111" s="333" t="n">
        <f aca="false">(W110+V110)*(W109-V109)/2</f>
        <v>0</v>
      </c>
      <c r="W111" s="333" t="n">
        <f aca="false">(X110+W110)*(X109-W109)/2</f>
        <v>0</v>
      </c>
      <c r="X111" s="333" t="n">
        <f aca="false">(Y110+X110)*(Y109-X109)/2</f>
        <v>0</v>
      </c>
      <c r="Y111" s="319"/>
    </row>
    <row r="112" customFormat="false" ht="13.5" hidden="false" customHeight="false" outlineLevel="0" collapsed="false"/>
    <row r="113" customFormat="false" ht="13.5" hidden="false" customHeight="false" outlineLevel="0" collapsed="false">
      <c r="A113" s="321" t="s">
        <v>251</v>
      </c>
      <c r="B113" s="322" t="n">
        <f aca="false">ROW(A113)</f>
        <v>113</v>
      </c>
      <c r="C113" s="305" t="s">
        <v>212</v>
      </c>
      <c r="D113" s="306" t="n">
        <f aca="false">SUM(B116:Y116)</f>
        <v>24.488898</v>
      </c>
      <c r="E113" s="305" t="s">
        <v>213</v>
      </c>
      <c r="F113" s="307" t="n">
        <f aca="false">D113/g/J113</f>
        <v>121.771701350041</v>
      </c>
      <c r="G113" s="305" t="s">
        <v>214</v>
      </c>
      <c r="H113" s="323" t="n">
        <v>0.0565</v>
      </c>
      <c r="I113" s="305" t="s">
        <v>225</v>
      </c>
      <c r="J113" s="308" t="n">
        <f aca="false">H113-L113</f>
        <v>0.0205</v>
      </c>
      <c r="K113" s="305" t="s">
        <v>226</v>
      </c>
      <c r="L113" s="323" t="n">
        <v>0.036</v>
      </c>
      <c r="M113" s="305" t="s">
        <v>217</v>
      </c>
      <c r="N113" s="335" t="n">
        <v>35</v>
      </c>
      <c r="O113" s="305" t="s">
        <v>218</v>
      </c>
      <c r="P113" s="335" t="n">
        <v>35</v>
      </c>
      <c r="Q113" s="305" t="s">
        <v>219</v>
      </c>
      <c r="R113" s="324" t="n">
        <v>69</v>
      </c>
      <c r="S113" s="305" t="s">
        <v>220</v>
      </c>
      <c r="T113" s="324" t="n">
        <v>24</v>
      </c>
      <c r="U113" s="305" t="s">
        <v>8</v>
      </c>
      <c r="V113" s="325" t="s">
        <v>252</v>
      </c>
      <c r="W113" s="311" t="s">
        <v>221</v>
      </c>
      <c r="X113" s="334" t="n">
        <v>0.33</v>
      </c>
      <c r="Y113" s="311" t="s">
        <v>222</v>
      </c>
      <c r="Z113" s="310" t="n">
        <v>17</v>
      </c>
    </row>
    <row r="114" customFormat="false" ht="12.75" hidden="false" customHeight="false" outlineLevel="0" collapsed="false">
      <c r="A114" s="303" t="s">
        <v>227</v>
      </c>
      <c r="B114" s="326" t="n">
        <v>0</v>
      </c>
      <c r="C114" s="327" t="n">
        <v>0.009</v>
      </c>
      <c r="D114" s="327" t="n">
        <v>0.012</v>
      </c>
      <c r="E114" s="327" t="n">
        <v>0.023</v>
      </c>
      <c r="F114" s="327" t="n">
        <v>0.027</v>
      </c>
      <c r="G114" s="327" t="n">
        <v>0.047</v>
      </c>
      <c r="H114" s="327" t="n">
        <v>0.092</v>
      </c>
      <c r="I114" s="327" t="n">
        <v>0.118</v>
      </c>
      <c r="J114" s="327" t="n">
        <v>0.141</v>
      </c>
      <c r="K114" s="327" t="n">
        <v>0.192</v>
      </c>
      <c r="L114" s="327" t="n">
        <v>0.222</v>
      </c>
      <c r="M114" s="327" t="n">
        <v>0.25</v>
      </c>
      <c r="N114" s="327" t="n">
        <v>0.26</v>
      </c>
      <c r="O114" s="327" t="n">
        <v>0.281</v>
      </c>
      <c r="P114" s="327" t="n">
        <v>0.287</v>
      </c>
      <c r="Q114" s="327" t="n">
        <v>0.306</v>
      </c>
      <c r="R114" s="327" t="n">
        <v>0.314</v>
      </c>
      <c r="S114" s="327" t="n">
        <v>0.326</v>
      </c>
      <c r="T114" s="327" t="n">
        <v>0.329</v>
      </c>
      <c r="U114" s="327" t="n">
        <v>0.5</v>
      </c>
      <c r="V114" s="327" t="n">
        <v>1</v>
      </c>
      <c r="W114" s="327" t="n">
        <v>2</v>
      </c>
      <c r="X114" s="327" t="n">
        <v>2</v>
      </c>
      <c r="Y114" s="315" t="n">
        <v>1000</v>
      </c>
    </row>
    <row r="115" customFormat="false" ht="12.75" hidden="false" customHeight="false" outlineLevel="0" collapsed="false">
      <c r="A115" s="328" t="s">
        <v>228</v>
      </c>
      <c r="B115" s="329" t="n">
        <v>0</v>
      </c>
      <c r="C115" s="330" t="n">
        <v>84.213</v>
      </c>
      <c r="D115" s="330" t="n">
        <v>95.099</v>
      </c>
      <c r="E115" s="330" t="n">
        <v>77.08</v>
      </c>
      <c r="F115" s="330" t="n">
        <v>68.697</v>
      </c>
      <c r="G115" s="330" t="n">
        <v>73.452</v>
      </c>
      <c r="H115" s="330" t="n">
        <v>81.835</v>
      </c>
      <c r="I115" s="330" t="n">
        <v>83.837</v>
      </c>
      <c r="J115" s="330" t="n">
        <v>86.465</v>
      </c>
      <c r="K115" s="330" t="n">
        <v>86.966</v>
      </c>
      <c r="L115" s="330" t="n">
        <v>85.339</v>
      </c>
      <c r="M115" s="330" t="n">
        <v>80.083</v>
      </c>
      <c r="N115" s="330" t="n">
        <v>78.332</v>
      </c>
      <c r="O115" s="330" t="n">
        <v>82.961</v>
      </c>
      <c r="P115" s="330" t="n">
        <v>78.206</v>
      </c>
      <c r="Q115" s="330" t="n">
        <v>24.776</v>
      </c>
      <c r="R115" s="330" t="n">
        <v>14.14</v>
      </c>
      <c r="S115" s="330" t="n">
        <v>8.509</v>
      </c>
      <c r="T115" s="330" t="n">
        <v>0</v>
      </c>
      <c r="U115" s="330" t="n">
        <f aca="false">T115</f>
        <v>0</v>
      </c>
      <c r="V115" s="330" t="n">
        <f aca="false">U115</f>
        <v>0</v>
      </c>
      <c r="W115" s="330" t="n">
        <f aca="false">V115</f>
        <v>0</v>
      </c>
      <c r="X115" s="330" t="n">
        <f aca="false">W115</f>
        <v>0</v>
      </c>
      <c r="Y115" s="331" t="n">
        <v>0</v>
      </c>
    </row>
    <row r="116" customFormat="false" ht="13.5" hidden="false" customHeight="false" outlineLevel="0" collapsed="false">
      <c r="A116" s="316" t="s">
        <v>229</v>
      </c>
      <c r="B116" s="332" t="n">
        <f aca="false">(C115+B115)*(C114-B114)/2</f>
        <v>0.3789585</v>
      </c>
      <c r="C116" s="333" t="n">
        <f aca="false">(D115+C115)*(D114-C114)/2</f>
        <v>0.268968</v>
      </c>
      <c r="D116" s="333" t="n">
        <f aca="false">(E115+D115)*(E114-D114)/2</f>
        <v>0.9469845</v>
      </c>
      <c r="E116" s="333" t="n">
        <f aca="false">(F115+E115)*(F114-E114)/2</f>
        <v>0.291554</v>
      </c>
      <c r="F116" s="333" t="n">
        <f aca="false">(G115+F115)*(G114-F114)/2</f>
        <v>1.42149</v>
      </c>
      <c r="G116" s="333" t="n">
        <f aca="false">(H115+G115)*(H114-G114)/2</f>
        <v>3.4939575</v>
      </c>
      <c r="H116" s="333" t="n">
        <f aca="false">(I115+H115)*(I114-H114)/2</f>
        <v>2.153736</v>
      </c>
      <c r="I116" s="333" t="n">
        <f aca="false">(J115+I115)*(J114-I114)/2</f>
        <v>1.958473</v>
      </c>
      <c r="J116" s="333" t="n">
        <f aca="false">(K115+J115)*(K114-J114)/2</f>
        <v>4.4224905</v>
      </c>
      <c r="K116" s="333" t="n">
        <f aca="false">(L115+K115)*(L114-K114)/2</f>
        <v>2.584575</v>
      </c>
      <c r="L116" s="333" t="n">
        <f aca="false">(M115+L115)*(M114-L114)/2</f>
        <v>2.315908</v>
      </c>
      <c r="M116" s="333" t="n">
        <f aca="false">(N115+M115)*(N114-M114)/2</f>
        <v>0.792075000000001</v>
      </c>
      <c r="N116" s="333" t="n">
        <f aca="false">(O115+N115)*(O114-N114)/2</f>
        <v>1.6935765</v>
      </c>
      <c r="O116" s="333" t="n">
        <f aca="false">(P115+O115)*(P114-O114)/2</f>
        <v>0.483500999999996</v>
      </c>
      <c r="P116" s="333" t="n">
        <f aca="false">(Q115+P115)*(Q114-P114)/2</f>
        <v>0.978329000000001</v>
      </c>
      <c r="Q116" s="333" t="n">
        <f aca="false">(R115+Q115)*(R114-Q114)/2</f>
        <v>0.155664</v>
      </c>
      <c r="R116" s="333" t="n">
        <f aca="false">(S115+R115)*(S114-R114)/2</f>
        <v>0.135894</v>
      </c>
      <c r="S116" s="333" t="n">
        <f aca="false">(T115+S115)*(T114-S114)/2</f>
        <v>0.0127635</v>
      </c>
      <c r="T116" s="333" t="n">
        <f aca="false">(U115+T115)*(U114-T114)/2</f>
        <v>0</v>
      </c>
      <c r="U116" s="333" t="n">
        <f aca="false">(V115+U115)*(V114-U114)/2</f>
        <v>0</v>
      </c>
      <c r="V116" s="333" t="n">
        <f aca="false">(W115+V115)*(W114-V114)/2</f>
        <v>0</v>
      </c>
      <c r="W116" s="333" t="n">
        <f aca="false">(X115+W115)*(X114-W114)/2</f>
        <v>0</v>
      </c>
      <c r="X116" s="333" t="n">
        <f aca="false">(Y115+X115)*(Y114-X114)/2</f>
        <v>0</v>
      </c>
      <c r="Y116" s="319"/>
    </row>
    <row r="117" customFormat="false" ht="13.5" hidden="false" customHeight="false" outlineLevel="0" collapsed="false"/>
    <row r="118" customFormat="false" ht="13.5" hidden="false" customHeight="false" outlineLevel="0" collapsed="false">
      <c r="A118" s="321" t="s">
        <v>253</v>
      </c>
      <c r="B118" s="322" t="n">
        <f aca="false">ROW(A118)</f>
        <v>118</v>
      </c>
      <c r="C118" s="305" t="s">
        <v>212</v>
      </c>
      <c r="D118" s="306" t="n">
        <f aca="false">SUM(B121:Y121)</f>
        <v>26.0839825</v>
      </c>
      <c r="E118" s="305" t="s">
        <v>213</v>
      </c>
      <c r="F118" s="307" t="n">
        <f aca="false">D118/g/J118</f>
        <v>166.182355377166</v>
      </c>
      <c r="G118" s="305" t="s">
        <v>214</v>
      </c>
      <c r="H118" s="323" t="n">
        <v>0.052</v>
      </c>
      <c r="I118" s="305" t="s">
        <v>225</v>
      </c>
      <c r="J118" s="308" t="n">
        <f aca="false">H118-L118</f>
        <v>0.016</v>
      </c>
      <c r="K118" s="305" t="s">
        <v>226</v>
      </c>
      <c r="L118" s="323" t="n">
        <v>0.036</v>
      </c>
      <c r="M118" s="305" t="s">
        <v>217</v>
      </c>
      <c r="N118" s="335" t="n">
        <v>35</v>
      </c>
      <c r="O118" s="305" t="s">
        <v>218</v>
      </c>
      <c r="P118" s="335" t="n">
        <v>35</v>
      </c>
      <c r="Q118" s="305" t="s">
        <v>219</v>
      </c>
      <c r="R118" s="324" t="n">
        <v>69</v>
      </c>
      <c r="S118" s="305" t="s">
        <v>220</v>
      </c>
      <c r="T118" s="324" t="n">
        <v>24</v>
      </c>
      <c r="U118" s="305" t="s">
        <v>8</v>
      </c>
      <c r="V118" s="325" t="s">
        <v>250</v>
      </c>
      <c r="W118" s="311" t="s">
        <v>221</v>
      </c>
      <c r="X118" s="334" t="n">
        <v>0.85</v>
      </c>
      <c r="Y118" s="311" t="s">
        <v>222</v>
      </c>
      <c r="Z118" s="310" t="n">
        <v>15</v>
      </c>
    </row>
    <row r="119" customFormat="false" ht="12.75" hidden="false" customHeight="false" outlineLevel="0" collapsed="false">
      <c r="A119" s="303" t="s">
        <v>227</v>
      </c>
      <c r="B119" s="326" t="n">
        <v>0</v>
      </c>
      <c r="C119" s="327" t="n">
        <v>0.02</v>
      </c>
      <c r="D119" s="327" t="n">
        <v>0.027</v>
      </c>
      <c r="E119" s="327" t="n">
        <v>0.049</v>
      </c>
      <c r="F119" s="327" t="n">
        <v>0.113</v>
      </c>
      <c r="G119" s="327" t="n">
        <v>0.193</v>
      </c>
      <c r="H119" s="327" t="n">
        <v>0.282</v>
      </c>
      <c r="I119" s="327" t="n">
        <v>0.5</v>
      </c>
      <c r="J119" s="327" t="n">
        <v>0.727</v>
      </c>
      <c r="K119" s="327" t="n">
        <v>0.771</v>
      </c>
      <c r="L119" s="327" t="n">
        <v>0.807</v>
      </c>
      <c r="M119" s="327" t="n">
        <v>0.84</v>
      </c>
      <c r="N119" s="327" t="n">
        <v>0.87</v>
      </c>
      <c r="O119" s="327" t="n">
        <v>1</v>
      </c>
      <c r="P119" s="327" t="n">
        <v>1</v>
      </c>
      <c r="Q119" s="327" t="n">
        <v>1</v>
      </c>
      <c r="R119" s="327" t="n">
        <v>1</v>
      </c>
      <c r="S119" s="327" t="n">
        <v>1</v>
      </c>
      <c r="T119" s="327" t="n">
        <v>1</v>
      </c>
      <c r="U119" s="327" t="n">
        <v>1</v>
      </c>
      <c r="V119" s="327" t="n">
        <v>1</v>
      </c>
      <c r="W119" s="327" t="n">
        <v>1</v>
      </c>
      <c r="X119" s="327" t="n">
        <v>2</v>
      </c>
      <c r="Y119" s="315" t="n">
        <v>1000</v>
      </c>
    </row>
    <row r="120" customFormat="false" ht="12.75" hidden="false" customHeight="false" outlineLevel="0" collapsed="false">
      <c r="A120" s="328" t="s">
        <v>228</v>
      </c>
      <c r="B120" s="329" t="n">
        <v>0</v>
      </c>
      <c r="C120" s="330" t="n">
        <v>43.824</v>
      </c>
      <c r="D120" s="330" t="n">
        <v>39.964</v>
      </c>
      <c r="E120" s="330" t="n">
        <v>26.781</v>
      </c>
      <c r="F120" s="330" t="n">
        <v>32.601</v>
      </c>
      <c r="G120" s="330" t="n">
        <v>34.739</v>
      </c>
      <c r="H120" s="330" t="n">
        <v>35.808</v>
      </c>
      <c r="I120" s="330" t="n">
        <v>34.442</v>
      </c>
      <c r="J120" s="330" t="n">
        <v>29.276</v>
      </c>
      <c r="K120" s="330" t="n">
        <v>22.743</v>
      </c>
      <c r="L120" s="330" t="n">
        <v>9.561</v>
      </c>
      <c r="M120" s="330" t="n">
        <v>3.563</v>
      </c>
      <c r="N120" s="330" t="n">
        <v>0</v>
      </c>
      <c r="O120" s="330" t="n">
        <v>0</v>
      </c>
      <c r="P120" s="330" t="n">
        <v>0</v>
      </c>
      <c r="Q120" s="330" t="n">
        <v>0</v>
      </c>
      <c r="R120" s="330" t="n">
        <v>0</v>
      </c>
      <c r="S120" s="330" t="n">
        <v>0</v>
      </c>
      <c r="T120" s="330" t="n">
        <f aca="false">S120</f>
        <v>0</v>
      </c>
      <c r="U120" s="330" t="n">
        <f aca="false">T120</f>
        <v>0</v>
      </c>
      <c r="V120" s="330" t="n">
        <f aca="false">U120</f>
        <v>0</v>
      </c>
      <c r="W120" s="330" t="n">
        <f aca="false">V120</f>
        <v>0</v>
      </c>
      <c r="X120" s="330" t="n">
        <f aca="false">W120</f>
        <v>0</v>
      </c>
      <c r="Y120" s="331" t="n">
        <v>0</v>
      </c>
    </row>
    <row r="121" customFormat="false" ht="13.5" hidden="false" customHeight="false" outlineLevel="0" collapsed="false">
      <c r="A121" s="316" t="s">
        <v>229</v>
      </c>
      <c r="B121" s="332" t="n">
        <f aca="false">(C120+B120)*(C119-B119)/2</f>
        <v>0.43824</v>
      </c>
      <c r="C121" s="333" t="n">
        <f aca="false">(D120+C120)*(D119-C119)/2</f>
        <v>0.293258</v>
      </c>
      <c r="D121" s="333" t="n">
        <f aca="false">(E120+D120)*(E119-D119)/2</f>
        <v>0.734195</v>
      </c>
      <c r="E121" s="333" t="n">
        <f aca="false">(F120+E120)*(F119-E119)/2</f>
        <v>1.900224</v>
      </c>
      <c r="F121" s="333" t="n">
        <f aca="false">(G120+F120)*(G119-F119)/2</f>
        <v>2.6936</v>
      </c>
      <c r="G121" s="333" t="n">
        <f aca="false">(H120+G120)*(H119-G119)/2</f>
        <v>3.1393415</v>
      </c>
      <c r="H121" s="333" t="n">
        <f aca="false">(I120+H120)*(I119-H119)/2</f>
        <v>7.65725</v>
      </c>
      <c r="I121" s="333" t="n">
        <f aca="false">(J120+I120)*(J119-I119)/2</f>
        <v>7.231993</v>
      </c>
      <c r="J121" s="333" t="n">
        <f aca="false">(K120+J120)*(K119-J119)/2</f>
        <v>1.144418</v>
      </c>
      <c r="K121" s="333" t="n">
        <f aca="false">(L120+K120)*(L119-K119)/2</f>
        <v>0.581472000000001</v>
      </c>
      <c r="L121" s="333" t="n">
        <f aca="false">(M120+L120)*(M119-L119)/2</f>
        <v>0.216545999999999</v>
      </c>
      <c r="M121" s="333" t="n">
        <f aca="false">(N120+M120)*(N119-M119)/2</f>
        <v>0.0534450000000001</v>
      </c>
      <c r="N121" s="333" t="n">
        <f aca="false">(O120+N120)*(O119-N119)/2</f>
        <v>0</v>
      </c>
      <c r="O121" s="333" t="n">
        <f aca="false">(P120+O120)*(P119-O119)/2</f>
        <v>0</v>
      </c>
      <c r="P121" s="333" t="n">
        <f aca="false">(Q120+P120)*(Q119-P119)/2</f>
        <v>0</v>
      </c>
      <c r="Q121" s="333" t="n">
        <f aca="false">(R120+Q120)*(R119-Q119)/2</f>
        <v>0</v>
      </c>
      <c r="R121" s="333" t="n">
        <f aca="false">(S120+R120)*(S119-R119)/2</f>
        <v>0</v>
      </c>
      <c r="S121" s="333" t="n">
        <f aca="false">(T120+S120)*(T119-S119)/2</f>
        <v>0</v>
      </c>
      <c r="T121" s="333" t="n">
        <f aca="false">(U120+T120)*(U119-T119)/2</f>
        <v>0</v>
      </c>
      <c r="U121" s="333" t="n">
        <f aca="false">(V120+U120)*(V119-U119)/2</f>
        <v>0</v>
      </c>
      <c r="V121" s="333" t="n">
        <f aca="false">(W120+V120)*(W119-V119)/2</f>
        <v>0</v>
      </c>
      <c r="W121" s="333" t="n">
        <f aca="false">(X120+W120)*(X119-W119)/2</f>
        <v>0</v>
      </c>
      <c r="X121" s="333" t="n">
        <f aca="false">(Y120+X120)*(Y119-X119)/2</f>
        <v>0</v>
      </c>
      <c r="Y121" s="319"/>
    </row>
    <row r="122" customFormat="false" ht="13.5" hidden="false" customHeight="false" outlineLevel="0" collapsed="false">
      <c r="A122" s="160" t="s">
        <v>254</v>
      </c>
    </row>
    <row r="123" customFormat="false" ht="13.5" hidden="false" customHeight="false" outlineLevel="0" collapsed="false">
      <c r="A123" s="321" t="s">
        <v>255</v>
      </c>
      <c r="B123" s="322" t="n">
        <f aca="false">ROW(A123)</f>
        <v>123</v>
      </c>
      <c r="C123" s="305" t="s">
        <v>212</v>
      </c>
      <c r="D123" s="306" t="n">
        <f aca="false">SUM(B126:Y126)</f>
        <v>49.7887655</v>
      </c>
      <c r="E123" s="305" t="s">
        <v>213</v>
      </c>
      <c r="F123" s="307" t="n">
        <v>231</v>
      </c>
      <c r="G123" s="305" t="s">
        <v>214</v>
      </c>
      <c r="H123" s="323" t="n">
        <v>0.073</v>
      </c>
      <c r="I123" s="305" t="s">
        <v>225</v>
      </c>
      <c r="J123" s="308" t="n">
        <f aca="false">H123-L123</f>
        <v>0.028</v>
      </c>
      <c r="K123" s="305" t="s">
        <v>226</v>
      </c>
      <c r="L123" s="323" t="n">
        <v>0.045</v>
      </c>
      <c r="M123" s="305" t="s">
        <v>217</v>
      </c>
      <c r="N123" s="335" t="n">
        <v>50</v>
      </c>
      <c r="O123" s="305" t="s">
        <v>218</v>
      </c>
      <c r="P123" s="335" t="n">
        <v>50</v>
      </c>
      <c r="Q123" s="305" t="s">
        <v>219</v>
      </c>
      <c r="R123" s="324" t="n">
        <v>101</v>
      </c>
      <c r="S123" s="305" t="s">
        <v>220</v>
      </c>
      <c r="T123" s="324" t="n">
        <v>24</v>
      </c>
      <c r="U123" s="305" t="s">
        <v>8</v>
      </c>
      <c r="V123" s="325" t="s">
        <v>256</v>
      </c>
      <c r="W123" s="311" t="s">
        <v>221</v>
      </c>
      <c r="X123" s="334" t="n">
        <v>1</v>
      </c>
      <c r="Y123" s="311" t="s">
        <v>222</v>
      </c>
      <c r="Z123" s="310" t="n">
        <v>13</v>
      </c>
    </row>
    <row r="124" customFormat="false" ht="12.75" hidden="false" customHeight="false" outlineLevel="0" collapsed="false">
      <c r="A124" s="303" t="s">
        <v>227</v>
      </c>
      <c r="B124" s="336" t="n">
        <v>0</v>
      </c>
      <c r="C124" s="336" t="n">
        <v>0.001</v>
      </c>
      <c r="D124" s="336" t="n">
        <v>0.027</v>
      </c>
      <c r="E124" s="336" t="n">
        <v>0.051</v>
      </c>
      <c r="F124" s="336" t="n">
        <v>0.06</v>
      </c>
      <c r="G124" s="336" t="n">
        <v>0.092</v>
      </c>
      <c r="H124" s="336" t="n">
        <v>0.119</v>
      </c>
      <c r="I124" s="336" t="n">
        <v>0.17</v>
      </c>
      <c r="J124" s="336" t="n">
        <v>0.3</v>
      </c>
      <c r="K124" s="336" t="n">
        <v>0.462</v>
      </c>
      <c r="L124" s="336" t="n">
        <v>0.569</v>
      </c>
      <c r="M124" s="336" t="n">
        <v>0.675</v>
      </c>
      <c r="N124" s="336" t="n">
        <v>0.778</v>
      </c>
      <c r="O124" s="336" t="n">
        <v>0.846</v>
      </c>
      <c r="P124" s="336" t="n">
        <v>0.917</v>
      </c>
      <c r="Q124" s="336" t="n">
        <v>1.009</v>
      </c>
      <c r="R124" s="336" t="n">
        <v>1.032</v>
      </c>
      <c r="S124" s="336" t="n">
        <v>1.045</v>
      </c>
      <c r="T124" s="327" t="n">
        <v>2</v>
      </c>
      <c r="U124" s="327" t="n">
        <v>2</v>
      </c>
      <c r="V124" s="327" t="n">
        <v>2</v>
      </c>
      <c r="W124" s="327" t="n">
        <v>2</v>
      </c>
      <c r="X124" s="327" t="n">
        <v>2</v>
      </c>
      <c r="Y124" s="315" t="n">
        <v>1000</v>
      </c>
    </row>
    <row r="125" customFormat="false" ht="12.75" hidden="false" customHeight="false" outlineLevel="0" collapsed="false">
      <c r="A125" s="328" t="s">
        <v>228</v>
      </c>
      <c r="B125" s="336" t="n">
        <v>0</v>
      </c>
      <c r="C125" s="336" t="n">
        <v>5.145</v>
      </c>
      <c r="D125" s="336" t="n">
        <v>67.976</v>
      </c>
      <c r="E125" s="336" t="n">
        <v>53.807</v>
      </c>
      <c r="F125" s="336" t="n">
        <v>52.88</v>
      </c>
      <c r="G125" s="336" t="n">
        <v>55.916</v>
      </c>
      <c r="H125" s="336" t="n">
        <v>57.94</v>
      </c>
      <c r="I125" s="336" t="n">
        <v>59.711</v>
      </c>
      <c r="J125" s="336" t="n">
        <v>61.145</v>
      </c>
      <c r="K125" s="336" t="n">
        <v>58.952</v>
      </c>
      <c r="L125" s="336" t="n">
        <v>55.578</v>
      </c>
      <c r="M125" s="336" t="n">
        <v>52.205</v>
      </c>
      <c r="N125" s="336" t="n">
        <v>46.386</v>
      </c>
      <c r="O125" s="336" t="n">
        <v>38.12</v>
      </c>
      <c r="P125" s="336" t="n">
        <v>20.325</v>
      </c>
      <c r="Q125" s="336" t="n">
        <v>3.542</v>
      </c>
      <c r="R125" s="336" t="n">
        <v>1.602</v>
      </c>
      <c r="S125" s="336" t="n">
        <v>0</v>
      </c>
      <c r="T125" s="330" t="n">
        <f aca="false">S125</f>
        <v>0</v>
      </c>
      <c r="U125" s="330" t="n">
        <f aca="false">T125</f>
        <v>0</v>
      </c>
      <c r="V125" s="330" t="n">
        <f aca="false">U125</f>
        <v>0</v>
      </c>
      <c r="W125" s="330" t="n">
        <f aca="false">V125</f>
        <v>0</v>
      </c>
      <c r="X125" s="330" t="n">
        <f aca="false">W125</f>
        <v>0</v>
      </c>
      <c r="Y125" s="331" t="n">
        <v>0</v>
      </c>
    </row>
    <row r="126" customFormat="false" ht="13.5" hidden="false" customHeight="false" outlineLevel="0" collapsed="false">
      <c r="A126" s="316" t="s">
        <v>229</v>
      </c>
      <c r="B126" s="332" t="n">
        <f aca="false">(C125+B125)*(C124-B124)/2</f>
        <v>0.0025725</v>
      </c>
      <c r="C126" s="333" t="n">
        <f aca="false">(D125+C125)*(D124-C124)/2</f>
        <v>0.950573</v>
      </c>
      <c r="D126" s="333" t="n">
        <f aca="false">(E125+D125)*(E124-D124)/2</f>
        <v>1.461396</v>
      </c>
      <c r="E126" s="333" t="n">
        <f aca="false">(F125+E125)*(F124-E124)/2</f>
        <v>0.4800915</v>
      </c>
      <c r="F126" s="333" t="n">
        <f aca="false">(G125+F125)*(G124-F124)/2</f>
        <v>1.740736</v>
      </c>
      <c r="G126" s="333" t="n">
        <f aca="false">(H125+G125)*(H124-G124)/2</f>
        <v>1.537056</v>
      </c>
      <c r="H126" s="333" t="n">
        <f aca="false">(I125+H125)*(I124-H124)/2</f>
        <v>3.0001005</v>
      </c>
      <c r="I126" s="333" t="n">
        <f aca="false">(J125+I125)*(J124-I124)/2</f>
        <v>7.85564</v>
      </c>
      <c r="J126" s="333" t="n">
        <f aca="false">(K125+J125)*(K124-J124)/2</f>
        <v>9.727857</v>
      </c>
      <c r="K126" s="333" t="n">
        <f aca="false">(L125+K125)*(L124-K124)/2</f>
        <v>6.127355</v>
      </c>
      <c r="L126" s="333" t="n">
        <f aca="false">(M125+L125)*(M124-L124)/2</f>
        <v>5.71249900000001</v>
      </c>
      <c r="M126" s="333" t="n">
        <f aca="false">(N125+M125)*(N124-M124)/2</f>
        <v>5.0774365</v>
      </c>
      <c r="N126" s="333" t="n">
        <f aca="false">(O125+N125)*(O124-N124)/2</f>
        <v>2.873204</v>
      </c>
      <c r="O126" s="333" t="n">
        <f aca="false">(P125+O125)*(P124-O124)/2</f>
        <v>2.0747975</v>
      </c>
      <c r="P126" s="333" t="n">
        <f aca="false">(Q125+P125)*(Q124-P124)/2</f>
        <v>1.097882</v>
      </c>
      <c r="Q126" s="333" t="n">
        <f aca="false">(R125+Q125)*(R124-Q124)/2</f>
        <v>0.0591560000000003</v>
      </c>
      <c r="R126" s="333" t="n">
        <f aca="false">(S125+R125)*(S124-R124)/2</f>
        <v>0.0104129999999999</v>
      </c>
      <c r="S126" s="333" t="n">
        <f aca="false">(T125+S125)*(T124-S124)/2</f>
        <v>0</v>
      </c>
      <c r="T126" s="333" t="n">
        <f aca="false">(U125+T125)*(U124-T124)/2</f>
        <v>0</v>
      </c>
      <c r="U126" s="333" t="n">
        <f aca="false">(V125+U125)*(V124-U124)/2</f>
        <v>0</v>
      </c>
      <c r="V126" s="333" t="n">
        <f aca="false">(W125+V125)*(W124-V124)/2</f>
        <v>0</v>
      </c>
      <c r="W126" s="333" t="n">
        <f aca="false">(X125+W125)*(X124-W124)/2</f>
        <v>0</v>
      </c>
      <c r="X126" s="333" t="n">
        <f aca="false">(Y125+X125)*(Y124-X124)/2</f>
        <v>0</v>
      </c>
      <c r="Y126" s="319"/>
    </row>
    <row r="127" customFormat="false" ht="13.5" hidden="false" customHeight="false" outlineLevel="0" collapsed="false"/>
    <row r="128" customFormat="false" ht="13.5" hidden="false" customHeight="false" outlineLevel="0" collapsed="false">
      <c r="A128" s="321" t="s">
        <v>257</v>
      </c>
      <c r="B128" s="322" t="n">
        <f aca="false">ROW(A128)</f>
        <v>128</v>
      </c>
      <c r="C128" s="305" t="s">
        <v>212</v>
      </c>
      <c r="D128" s="306" t="n">
        <f aca="false">SUM(B131:Y131)</f>
        <v>52.815674</v>
      </c>
      <c r="E128" s="305" t="s">
        <v>213</v>
      </c>
      <c r="F128" s="307" t="n">
        <v>239</v>
      </c>
      <c r="G128" s="305" t="s">
        <v>214</v>
      </c>
      <c r="H128" s="323" t="n">
        <v>0.073</v>
      </c>
      <c r="I128" s="305" t="s">
        <v>225</v>
      </c>
      <c r="J128" s="308" t="n">
        <f aca="false">H128-L128</f>
        <v>0.029</v>
      </c>
      <c r="K128" s="305" t="s">
        <v>226</v>
      </c>
      <c r="L128" s="323" t="n">
        <v>0.044</v>
      </c>
      <c r="M128" s="305" t="s">
        <v>217</v>
      </c>
      <c r="N128" s="335" t="n">
        <v>50</v>
      </c>
      <c r="O128" s="305" t="s">
        <v>218</v>
      </c>
      <c r="P128" s="335" t="n">
        <v>50</v>
      </c>
      <c r="Q128" s="305" t="s">
        <v>219</v>
      </c>
      <c r="R128" s="324" t="n">
        <v>101</v>
      </c>
      <c r="S128" s="305" t="s">
        <v>220</v>
      </c>
      <c r="T128" s="324" t="n">
        <v>24</v>
      </c>
      <c r="U128" s="305" t="s">
        <v>8</v>
      </c>
      <c r="V128" s="325" t="s">
        <v>256</v>
      </c>
      <c r="W128" s="311" t="s">
        <v>221</v>
      </c>
      <c r="X128" s="334" t="n">
        <v>0.77</v>
      </c>
      <c r="Y128" s="311" t="s">
        <v>222</v>
      </c>
      <c r="Z128" s="310" t="n">
        <v>14</v>
      </c>
    </row>
    <row r="129" customFormat="false" ht="12.75" hidden="false" customHeight="false" outlineLevel="0" collapsed="false">
      <c r="A129" s="303" t="s">
        <v>227</v>
      </c>
      <c r="B129" s="336" t="n">
        <v>0</v>
      </c>
      <c r="C129" s="336" t="n">
        <v>0.001</v>
      </c>
      <c r="D129" s="336" t="n">
        <v>0.013</v>
      </c>
      <c r="E129" s="336" t="n">
        <v>0.023</v>
      </c>
      <c r="F129" s="336" t="n">
        <v>0.052</v>
      </c>
      <c r="G129" s="336" t="n">
        <v>0.1</v>
      </c>
      <c r="H129" s="336" t="n">
        <v>0.379</v>
      </c>
      <c r="I129" s="336" t="n">
        <v>0.641</v>
      </c>
      <c r="J129" s="336" t="n">
        <v>0.665</v>
      </c>
      <c r="K129" s="336" t="n">
        <v>0.706</v>
      </c>
      <c r="L129" s="336" t="n">
        <v>0.744</v>
      </c>
      <c r="M129" s="336" t="n">
        <v>0.787</v>
      </c>
      <c r="N129" s="336" t="n">
        <v>0.816</v>
      </c>
      <c r="O129" s="327" t="n">
        <v>1</v>
      </c>
      <c r="P129" s="327" t="n">
        <v>1</v>
      </c>
      <c r="Q129" s="327" t="n">
        <v>1</v>
      </c>
      <c r="R129" s="327" t="n">
        <v>1</v>
      </c>
      <c r="S129" s="327" t="n">
        <v>1</v>
      </c>
      <c r="T129" s="327" t="n">
        <v>1</v>
      </c>
      <c r="U129" s="327" t="n">
        <v>1</v>
      </c>
      <c r="V129" s="327" t="n">
        <v>1</v>
      </c>
      <c r="W129" s="327" t="n">
        <v>2</v>
      </c>
      <c r="X129" s="327" t="n">
        <v>2</v>
      </c>
      <c r="Y129" s="315" t="n">
        <v>1000</v>
      </c>
    </row>
    <row r="130" customFormat="false" ht="12.75" hidden="false" customHeight="false" outlineLevel="0" collapsed="false">
      <c r="A130" s="328" t="s">
        <v>228</v>
      </c>
      <c r="B130" s="336" t="n">
        <v>0</v>
      </c>
      <c r="C130" s="336" t="n">
        <v>8.303</v>
      </c>
      <c r="D130" s="336" t="n">
        <v>85.68</v>
      </c>
      <c r="E130" s="336" t="n">
        <v>96.149</v>
      </c>
      <c r="F130" s="336" t="n">
        <v>78.821</v>
      </c>
      <c r="G130" s="336" t="n">
        <v>83.634</v>
      </c>
      <c r="H130" s="336" t="n">
        <v>77.858</v>
      </c>
      <c r="I130" s="336" t="n">
        <v>62.575</v>
      </c>
      <c r="J130" s="336" t="n">
        <v>55.716</v>
      </c>
      <c r="K130" s="336" t="n">
        <v>23.947</v>
      </c>
      <c r="L130" s="336" t="n">
        <v>9.146</v>
      </c>
      <c r="M130" s="336" t="n">
        <v>2.768</v>
      </c>
      <c r="N130" s="336" t="n">
        <v>0</v>
      </c>
      <c r="O130" s="330" t="n">
        <v>0</v>
      </c>
      <c r="P130" s="330" t="n">
        <v>0</v>
      </c>
      <c r="Q130" s="330" t="n">
        <v>0</v>
      </c>
      <c r="R130" s="330" t="n">
        <v>0</v>
      </c>
      <c r="S130" s="330" t="n">
        <v>0</v>
      </c>
      <c r="T130" s="330" t="n">
        <v>0</v>
      </c>
      <c r="U130" s="330" t="n">
        <v>0</v>
      </c>
      <c r="V130" s="330" t="n">
        <f aca="false">U130</f>
        <v>0</v>
      </c>
      <c r="W130" s="330" t="n">
        <f aca="false">V130</f>
        <v>0</v>
      </c>
      <c r="X130" s="330" t="n">
        <f aca="false">W130</f>
        <v>0</v>
      </c>
      <c r="Y130" s="331" t="n">
        <v>0</v>
      </c>
    </row>
    <row r="131" customFormat="false" ht="13.5" hidden="false" customHeight="false" outlineLevel="0" collapsed="false">
      <c r="A131" s="316" t="s">
        <v>229</v>
      </c>
      <c r="B131" s="332" t="n">
        <f aca="false">(C130+B130)*(C129-B129)/2</f>
        <v>0.0041515</v>
      </c>
      <c r="C131" s="333" t="n">
        <f aca="false">(D130+C130)*(D129-C129)/2</f>
        <v>0.563898</v>
      </c>
      <c r="D131" s="333" t="n">
        <f aca="false">(E130+D130)*(E129-D129)/2</f>
        <v>0.909145</v>
      </c>
      <c r="E131" s="333" t="n">
        <f aca="false">(F130+E130)*(F129-E129)/2</f>
        <v>2.537065</v>
      </c>
      <c r="F131" s="333" t="n">
        <f aca="false">(G130+F130)*(G129-F129)/2</f>
        <v>3.89892</v>
      </c>
      <c r="G131" s="333" t="n">
        <f aca="false">(H130+G130)*(H129-G129)/2</f>
        <v>22.528134</v>
      </c>
      <c r="H131" s="333" t="n">
        <f aca="false">(I130+H130)*(I129-H129)/2</f>
        <v>18.396723</v>
      </c>
      <c r="I131" s="333" t="n">
        <f aca="false">(J130+I130)*(J129-I129)/2</f>
        <v>1.419492</v>
      </c>
      <c r="J131" s="333" t="n">
        <f aca="false">(K130+J130)*(K129-J129)/2</f>
        <v>1.6330915</v>
      </c>
      <c r="K131" s="333" t="n">
        <f aca="false">(L130+K130)*(L129-K129)/2</f>
        <v>0.628767000000001</v>
      </c>
      <c r="L131" s="333" t="n">
        <f aca="false">(M130+L130)*(M129-L129)/2</f>
        <v>0.256151</v>
      </c>
      <c r="M131" s="333" t="n">
        <f aca="false">(N130+M130)*(N129-M129)/2</f>
        <v>0.0401359999999999</v>
      </c>
      <c r="N131" s="333" t="n">
        <f aca="false">(O130+N130)*(O129-N129)/2</f>
        <v>0</v>
      </c>
      <c r="O131" s="333" t="n">
        <f aca="false">(P130+O130)*(P129-O129)/2</f>
        <v>0</v>
      </c>
      <c r="P131" s="333" t="n">
        <f aca="false">(Q130+P130)*(Q129-P129)/2</f>
        <v>0</v>
      </c>
      <c r="Q131" s="333" t="n">
        <f aca="false">(R130+Q130)*(R129-Q129)/2</f>
        <v>0</v>
      </c>
      <c r="R131" s="333" t="n">
        <f aca="false">(S130+R130)*(S129-R129)/2</f>
        <v>0</v>
      </c>
      <c r="S131" s="333" t="n">
        <f aca="false">(T130+S130)*(T129-S129)/2</f>
        <v>0</v>
      </c>
      <c r="T131" s="333" t="n">
        <f aca="false">(U130+T130)*(U129-T129)/2</f>
        <v>0</v>
      </c>
      <c r="U131" s="333" t="n">
        <f aca="false">(V130+U130)*(V129-U129)/2</f>
        <v>0</v>
      </c>
      <c r="V131" s="333" t="n">
        <f aca="false">(W130+V130)*(W129-V129)/2</f>
        <v>0</v>
      </c>
      <c r="W131" s="333" t="n">
        <f aca="false">(X130+W130)*(X129-W129)/2</f>
        <v>0</v>
      </c>
      <c r="X131" s="333" t="n">
        <f aca="false">(Y130+X130)*(Y129-X129)/2</f>
        <v>0</v>
      </c>
      <c r="Y131" s="319"/>
    </row>
    <row r="132" customFormat="false" ht="13.5" hidden="false" customHeight="false" outlineLevel="0" collapsed="false">
      <c r="A132" s="160" t="s">
        <v>258</v>
      </c>
    </row>
    <row r="133" customFormat="false" ht="13.5" hidden="false" customHeight="false" outlineLevel="0" collapsed="false">
      <c r="A133" s="321" t="s">
        <v>259</v>
      </c>
      <c r="B133" s="322" t="n">
        <f aca="false">ROW(A133)</f>
        <v>133</v>
      </c>
      <c r="C133" s="305" t="s">
        <v>212</v>
      </c>
      <c r="D133" s="306" t="n">
        <f aca="false">SUM(B136:Y136)</f>
        <v>41.835</v>
      </c>
      <c r="E133" s="305" t="s">
        <v>213</v>
      </c>
      <c r="F133" s="307" t="n">
        <f aca="false">D133/g/J133</f>
        <v>121.843599825251</v>
      </c>
      <c r="G133" s="305" t="s">
        <v>214</v>
      </c>
      <c r="H133" s="323" t="n">
        <v>0.104</v>
      </c>
      <c r="I133" s="305" t="s">
        <v>225</v>
      </c>
      <c r="J133" s="308" t="n">
        <f aca="false">H133-L133</f>
        <v>0.035</v>
      </c>
      <c r="K133" s="305" t="s">
        <v>226</v>
      </c>
      <c r="L133" s="323" t="n">
        <v>0.069</v>
      </c>
      <c r="M133" s="305" t="s">
        <v>217</v>
      </c>
      <c r="N133" s="324" t="n">
        <v>49</v>
      </c>
      <c r="O133" s="305" t="s">
        <v>218</v>
      </c>
      <c r="P133" s="324" t="n">
        <v>49</v>
      </c>
      <c r="Q133" s="305" t="s">
        <v>219</v>
      </c>
      <c r="R133" s="324" t="n">
        <v>98</v>
      </c>
      <c r="S133" s="305" t="s">
        <v>220</v>
      </c>
      <c r="T133" s="324" t="n">
        <v>29</v>
      </c>
      <c r="U133" s="305" t="s">
        <v>8</v>
      </c>
      <c r="V133" s="325" t="s">
        <v>250</v>
      </c>
      <c r="W133" s="311" t="s">
        <v>221</v>
      </c>
      <c r="X133" s="334" t="n">
        <v>1.07</v>
      </c>
      <c r="Y133" s="311" t="s">
        <v>222</v>
      </c>
      <c r="Z133" s="310" t="n">
        <v>11</v>
      </c>
    </row>
    <row r="134" customFormat="false" ht="12.75" hidden="false" customHeight="false" outlineLevel="0" collapsed="false">
      <c r="A134" s="303" t="s">
        <v>227</v>
      </c>
      <c r="B134" s="326" t="n">
        <v>0</v>
      </c>
      <c r="C134" s="327" t="n">
        <v>0.01</v>
      </c>
      <c r="D134" s="327" t="n">
        <v>0.02</v>
      </c>
      <c r="E134" s="327" t="n">
        <v>0.03</v>
      </c>
      <c r="F134" s="327" t="n">
        <v>0.04</v>
      </c>
      <c r="G134" s="327" t="n">
        <v>0.06</v>
      </c>
      <c r="H134" s="327" t="n">
        <v>0.07</v>
      </c>
      <c r="I134" s="327" t="n">
        <v>0.08</v>
      </c>
      <c r="J134" s="327" t="n">
        <v>0.1</v>
      </c>
      <c r="K134" s="327" t="n">
        <v>0.2</v>
      </c>
      <c r="L134" s="327" t="n">
        <v>0.3</v>
      </c>
      <c r="M134" s="327" t="n">
        <v>0.4</v>
      </c>
      <c r="N134" s="327" t="n">
        <v>0.5</v>
      </c>
      <c r="O134" s="327" t="n">
        <v>0.6</v>
      </c>
      <c r="P134" s="327" t="n">
        <v>0.7</v>
      </c>
      <c r="Q134" s="327" t="n">
        <v>0.8</v>
      </c>
      <c r="R134" s="327" t="n">
        <v>0.85</v>
      </c>
      <c r="S134" s="327" t="n">
        <v>0.92</v>
      </c>
      <c r="T134" s="327" t="n">
        <v>0.95</v>
      </c>
      <c r="U134" s="327" t="n">
        <v>0.99</v>
      </c>
      <c r="V134" s="327" t="n">
        <v>1.05</v>
      </c>
      <c r="W134" s="327" t="n">
        <v>1.05</v>
      </c>
      <c r="X134" s="327" t="n">
        <v>2</v>
      </c>
      <c r="Y134" s="315" t="n">
        <v>1000</v>
      </c>
    </row>
    <row r="135" customFormat="false" ht="12.75" hidden="false" customHeight="false" outlineLevel="0" collapsed="false">
      <c r="A135" s="328" t="s">
        <v>228</v>
      </c>
      <c r="B135" s="329" t="n">
        <v>0</v>
      </c>
      <c r="C135" s="330" t="n">
        <v>12</v>
      </c>
      <c r="D135" s="330" t="n">
        <v>46</v>
      </c>
      <c r="E135" s="330" t="n">
        <v>75</v>
      </c>
      <c r="F135" s="330" t="n">
        <v>79</v>
      </c>
      <c r="G135" s="330" t="n">
        <v>77</v>
      </c>
      <c r="H135" s="330" t="n">
        <v>62</v>
      </c>
      <c r="I135" s="330" t="n">
        <v>32</v>
      </c>
      <c r="J135" s="330" t="n">
        <v>35</v>
      </c>
      <c r="K135" s="330" t="n">
        <v>38</v>
      </c>
      <c r="L135" s="330" t="n">
        <v>39</v>
      </c>
      <c r="M135" s="330" t="n">
        <v>41</v>
      </c>
      <c r="N135" s="330" t="n">
        <v>43</v>
      </c>
      <c r="O135" s="330" t="n">
        <v>43</v>
      </c>
      <c r="P135" s="330" t="n">
        <v>43</v>
      </c>
      <c r="Q135" s="330" t="n">
        <v>43</v>
      </c>
      <c r="R135" s="330" t="n">
        <v>47</v>
      </c>
      <c r="S135" s="330" t="n">
        <v>54</v>
      </c>
      <c r="T135" s="330" t="n">
        <v>32</v>
      </c>
      <c r="U135" s="330" t="n">
        <v>8</v>
      </c>
      <c r="V135" s="330" t="n">
        <v>0</v>
      </c>
      <c r="W135" s="330" t="n">
        <v>0</v>
      </c>
      <c r="X135" s="330" t="n">
        <v>0</v>
      </c>
      <c r="Y135" s="331" t="n">
        <v>0</v>
      </c>
    </row>
    <row r="136" customFormat="false" ht="13.5" hidden="false" customHeight="false" outlineLevel="0" collapsed="false">
      <c r="A136" s="316" t="s">
        <v>229</v>
      </c>
      <c r="B136" s="332" t="n">
        <f aca="false">(C135+B135)*(C134-B134)/2</f>
        <v>0.06</v>
      </c>
      <c r="C136" s="333" t="n">
        <f aca="false">(D135+C135)*(D134-C134)/2</f>
        <v>0.29</v>
      </c>
      <c r="D136" s="333" t="n">
        <f aca="false">(E135+D135)*(E134-D134)/2</f>
        <v>0.605</v>
      </c>
      <c r="E136" s="333" t="n">
        <f aca="false">(F135+E135)*(F134-E134)/2</f>
        <v>0.77</v>
      </c>
      <c r="F136" s="333" t="n">
        <f aca="false">(G135+F135)*(G134-F134)/2</f>
        <v>1.56</v>
      </c>
      <c r="G136" s="333" t="n">
        <f aca="false">(H135+G135)*(H134-G134)/2</f>
        <v>0.695000000000001</v>
      </c>
      <c r="H136" s="333" t="n">
        <f aca="false">(I135+H135)*(I134-H134)/2</f>
        <v>0.47</v>
      </c>
      <c r="I136" s="333" t="n">
        <f aca="false">(J135+I135)*(J134-I134)/2</f>
        <v>0.67</v>
      </c>
      <c r="J136" s="333" t="n">
        <f aca="false">(K135+J135)*(K134-J134)/2</f>
        <v>3.65</v>
      </c>
      <c r="K136" s="333" t="n">
        <f aca="false">(L135+K135)*(L134-K134)/2</f>
        <v>3.85</v>
      </c>
      <c r="L136" s="333" t="n">
        <f aca="false">(M135+L135)*(M134-L134)/2</f>
        <v>4</v>
      </c>
      <c r="M136" s="333" t="n">
        <f aca="false">(N135+M135)*(N134-M134)/2</f>
        <v>4.2</v>
      </c>
      <c r="N136" s="333" t="n">
        <f aca="false">(O135+N135)*(O134-N134)/2</f>
        <v>4.3</v>
      </c>
      <c r="O136" s="333" t="n">
        <f aca="false">(P135+O135)*(P134-O134)/2</f>
        <v>4.3</v>
      </c>
      <c r="P136" s="333" t="n">
        <f aca="false">(Q135+P135)*(Q134-P134)/2</f>
        <v>4.3</v>
      </c>
      <c r="Q136" s="333" t="n">
        <f aca="false">(R135+Q135)*(R134-Q134)/2</f>
        <v>2.25</v>
      </c>
      <c r="R136" s="333" t="n">
        <f aca="false">(S135+R135)*(S134-R134)/2</f>
        <v>3.535</v>
      </c>
      <c r="S136" s="333" t="n">
        <f aca="false">(T135+S135)*(T134-S134)/2</f>
        <v>1.29</v>
      </c>
      <c r="T136" s="333" t="n">
        <f aca="false">(U135+T135)*(U134-T134)/2</f>
        <v>0.800000000000001</v>
      </c>
      <c r="U136" s="333" t="n">
        <f aca="false">(V135+U135)*(V134-U134)/2</f>
        <v>0.24</v>
      </c>
      <c r="V136" s="333" t="n">
        <f aca="false">(W135+V135)*(W134-V134)/2</f>
        <v>0</v>
      </c>
      <c r="W136" s="333" t="n">
        <f aca="false">(X135+W135)*(X134-W134)/2</f>
        <v>0</v>
      </c>
      <c r="X136" s="333" t="n">
        <f aca="false">(Y135+X135)*(Y134-X134)/2</f>
        <v>0</v>
      </c>
      <c r="Y136" s="319"/>
    </row>
    <row r="137" customFormat="false" ht="13.5" hidden="false" customHeight="false" outlineLevel="0" collapsed="false">
      <c r="B137" s="320"/>
      <c r="C137" s="320"/>
      <c r="D137" s="320"/>
      <c r="E137" s="320"/>
      <c r="F137" s="320"/>
      <c r="G137" s="320"/>
      <c r="H137" s="320"/>
      <c r="I137" s="320"/>
      <c r="J137" s="320"/>
      <c r="K137" s="320"/>
      <c r="L137" s="320"/>
      <c r="M137" s="320"/>
      <c r="N137" s="320"/>
      <c r="O137" s="320"/>
      <c r="P137" s="320"/>
      <c r="Q137" s="320"/>
      <c r="R137" s="320"/>
      <c r="S137" s="320"/>
      <c r="T137" s="320"/>
      <c r="U137" s="320"/>
      <c r="V137" s="320"/>
      <c r="W137" s="320"/>
      <c r="X137" s="320"/>
      <c r="Y137" s="320"/>
    </row>
    <row r="138" customFormat="false" ht="13.5" hidden="false" customHeight="false" outlineLevel="0" collapsed="false">
      <c r="A138" s="321" t="s">
        <v>260</v>
      </c>
      <c r="B138" s="322" t="n">
        <f aca="false">ROW(A138)</f>
        <v>138</v>
      </c>
      <c r="C138" s="305" t="s">
        <v>212</v>
      </c>
      <c r="D138" s="306" t="n">
        <f aca="false">SUM(B141:Y141)</f>
        <v>52.565</v>
      </c>
      <c r="E138" s="305" t="s">
        <v>213</v>
      </c>
      <c r="F138" s="307" t="n">
        <f aca="false">D138/g/J138</f>
        <v>167.447120285423</v>
      </c>
      <c r="G138" s="305" t="s">
        <v>214</v>
      </c>
      <c r="H138" s="323" t="n">
        <v>0.101</v>
      </c>
      <c r="I138" s="305" t="s">
        <v>225</v>
      </c>
      <c r="J138" s="308" t="n">
        <f aca="false">H138-L138</f>
        <v>0.032</v>
      </c>
      <c r="K138" s="305" t="s">
        <v>226</v>
      </c>
      <c r="L138" s="323" t="n">
        <v>0.069</v>
      </c>
      <c r="M138" s="305" t="s">
        <v>217</v>
      </c>
      <c r="N138" s="324" t="n">
        <v>49</v>
      </c>
      <c r="O138" s="305" t="s">
        <v>218</v>
      </c>
      <c r="P138" s="324" t="n">
        <v>49</v>
      </c>
      <c r="Q138" s="305" t="s">
        <v>219</v>
      </c>
      <c r="R138" s="324" t="n">
        <v>98</v>
      </c>
      <c r="S138" s="305" t="s">
        <v>220</v>
      </c>
      <c r="T138" s="324" t="n">
        <v>29</v>
      </c>
      <c r="U138" s="305" t="s">
        <v>8</v>
      </c>
      <c r="V138" s="325" t="s">
        <v>252</v>
      </c>
      <c r="W138" s="311" t="s">
        <v>221</v>
      </c>
      <c r="X138" s="334" t="n">
        <v>1.8</v>
      </c>
      <c r="Y138" s="311" t="s">
        <v>222</v>
      </c>
      <c r="Z138" s="310" t="n">
        <v>12</v>
      </c>
    </row>
    <row r="139" customFormat="false" ht="12.75" hidden="false" customHeight="false" outlineLevel="0" collapsed="false">
      <c r="A139" s="303" t="s">
        <v>227</v>
      </c>
      <c r="B139" s="326" t="n">
        <v>0</v>
      </c>
      <c r="C139" s="327" t="n">
        <v>0.01</v>
      </c>
      <c r="D139" s="327" t="n">
        <v>0.03</v>
      </c>
      <c r="E139" s="327" t="n">
        <v>0.04</v>
      </c>
      <c r="F139" s="327" t="n">
        <v>0.05</v>
      </c>
      <c r="G139" s="327" t="n">
        <v>0.06</v>
      </c>
      <c r="H139" s="327" t="n">
        <v>0.07</v>
      </c>
      <c r="I139" s="327" t="n">
        <v>0.08</v>
      </c>
      <c r="J139" s="327" t="n">
        <v>0.09</v>
      </c>
      <c r="K139" s="327" t="n">
        <v>0.1</v>
      </c>
      <c r="L139" s="327" t="n">
        <v>0.2</v>
      </c>
      <c r="M139" s="327" t="n">
        <v>0.3</v>
      </c>
      <c r="N139" s="327" t="n">
        <v>0.4</v>
      </c>
      <c r="O139" s="327" t="n">
        <v>0.5</v>
      </c>
      <c r="P139" s="327" t="n">
        <v>0.7</v>
      </c>
      <c r="Q139" s="327" t="n">
        <v>0.8</v>
      </c>
      <c r="R139" s="327" t="n">
        <v>0.9</v>
      </c>
      <c r="S139" s="327" t="n">
        <v>1</v>
      </c>
      <c r="T139" s="327" t="n">
        <v>1.1</v>
      </c>
      <c r="U139" s="327" t="n">
        <v>1.24</v>
      </c>
      <c r="V139" s="327" t="n">
        <v>1.3</v>
      </c>
      <c r="W139" s="327" t="n">
        <v>1.5</v>
      </c>
      <c r="X139" s="327" t="n">
        <v>2</v>
      </c>
      <c r="Y139" s="315" t="n">
        <v>1000</v>
      </c>
    </row>
    <row r="140" customFormat="false" ht="12.75" hidden="false" customHeight="false" outlineLevel="0" collapsed="false">
      <c r="A140" s="328" t="s">
        <v>228</v>
      </c>
      <c r="B140" s="329" t="n">
        <v>0</v>
      </c>
      <c r="C140" s="330" t="n">
        <v>12</v>
      </c>
      <c r="D140" s="330" t="n">
        <v>41</v>
      </c>
      <c r="E140" s="330" t="n">
        <v>42</v>
      </c>
      <c r="F140" s="330" t="n">
        <v>42</v>
      </c>
      <c r="G140" s="330" t="n">
        <v>40</v>
      </c>
      <c r="H140" s="330" t="n">
        <v>34</v>
      </c>
      <c r="I140" s="330" t="n">
        <v>34</v>
      </c>
      <c r="J140" s="330" t="n">
        <v>35</v>
      </c>
      <c r="K140" s="330" t="n">
        <v>36</v>
      </c>
      <c r="L140" s="330" t="n">
        <v>40</v>
      </c>
      <c r="M140" s="330" t="n">
        <v>42</v>
      </c>
      <c r="N140" s="330" t="n">
        <v>43</v>
      </c>
      <c r="O140" s="330" t="n">
        <v>43</v>
      </c>
      <c r="P140" s="330" t="n">
        <v>43</v>
      </c>
      <c r="Q140" s="330" t="n">
        <v>42</v>
      </c>
      <c r="R140" s="330" t="n">
        <v>41</v>
      </c>
      <c r="S140" s="330" t="n">
        <v>40</v>
      </c>
      <c r="T140" s="330" t="n">
        <v>38</v>
      </c>
      <c r="U140" s="330" t="n">
        <v>37</v>
      </c>
      <c r="V140" s="330" t="n">
        <v>12</v>
      </c>
      <c r="W140" s="330" t="n">
        <v>0</v>
      </c>
      <c r="X140" s="330" t="n">
        <v>0</v>
      </c>
      <c r="Y140" s="331" t="n">
        <v>0</v>
      </c>
    </row>
    <row r="141" customFormat="false" ht="13.5" hidden="false" customHeight="false" outlineLevel="0" collapsed="false">
      <c r="A141" s="316" t="s">
        <v>229</v>
      </c>
      <c r="B141" s="332" t="n">
        <f aca="false">(C140+B140)*(C139-B139)/2</f>
        <v>0.06</v>
      </c>
      <c r="C141" s="333" t="n">
        <f aca="false">(D140+C140)*(D139-C139)/2</f>
        <v>0.53</v>
      </c>
      <c r="D141" s="333" t="n">
        <f aca="false">(E140+D140)*(E139-D139)/2</f>
        <v>0.415</v>
      </c>
      <c r="E141" s="333" t="n">
        <f aca="false">(F140+E140)*(F139-E139)/2</f>
        <v>0.42</v>
      </c>
      <c r="F141" s="333" t="n">
        <f aca="false">(G140+F140)*(G139-F139)/2</f>
        <v>0.41</v>
      </c>
      <c r="G141" s="333" t="n">
        <f aca="false">(H140+G140)*(H139-G139)/2</f>
        <v>0.37</v>
      </c>
      <c r="H141" s="333" t="n">
        <f aca="false">(I140+H140)*(I139-H139)/2</f>
        <v>0.34</v>
      </c>
      <c r="I141" s="333" t="n">
        <f aca="false">(J140+I140)*(J139-I139)/2</f>
        <v>0.345</v>
      </c>
      <c r="J141" s="333" t="n">
        <f aca="false">(K140+J140)*(K139-J139)/2</f>
        <v>0.355</v>
      </c>
      <c r="K141" s="333" t="n">
        <f aca="false">(L140+K140)*(L139-K139)/2</f>
        <v>3.8</v>
      </c>
      <c r="L141" s="333" t="n">
        <f aca="false">(M140+L140)*(M139-L139)/2</f>
        <v>4.1</v>
      </c>
      <c r="M141" s="333" t="n">
        <f aca="false">(N140+M140)*(N139-M139)/2</f>
        <v>4.25</v>
      </c>
      <c r="N141" s="333" t="n">
        <f aca="false">(O140+N140)*(O139-N139)/2</f>
        <v>4.3</v>
      </c>
      <c r="O141" s="333" t="n">
        <f aca="false">(P140+O140)*(P139-O139)/2</f>
        <v>8.6</v>
      </c>
      <c r="P141" s="333" t="n">
        <f aca="false">(Q140+P140)*(Q139-P139)/2</f>
        <v>4.25</v>
      </c>
      <c r="Q141" s="333" t="n">
        <f aca="false">(R140+Q140)*(R139-Q139)/2</f>
        <v>4.15</v>
      </c>
      <c r="R141" s="333" t="n">
        <f aca="false">(S140+R140)*(S139-R139)/2</f>
        <v>4.05</v>
      </c>
      <c r="S141" s="333" t="n">
        <f aca="false">(T140+S140)*(T139-S139)/2</f>
        <v>3.9</v>
      </c>
      <c r="T141" s="333" t="n">
        <f aca="false">(U140+T140)*(U139-T139)/2</f>
        <v>5.25</v>
      </c>
      <c r="U141" s="333" t="n">
        <f aca="false">(V140+U140)*(V139-U139)/2</f>
        <v>1.47</v>
      </c>
      <c r="V141" s="333" t="n">
        <f aca="false">(W140+V140)*(W139-V139)/2</f>
        <v>1.2</v>
      </c>
      <c r="W141" s="333" t="n">
        <f aca="false">(X140+W140)*(X139-W139)/2</f>
        <v>0</v>
      </c>
      <c r="X141" s="333" t="n">
        <f aca="false">(Y140+X140)*(Y139-X139)/2</f>
        <v>0</v>
      </c>
      <c r="Y141" s="319"/>
    </row>
    <row r="142" customFormat="false" ht="13.5" hidden="false" customHeight="false" outlineLevel="0" collapsed="false">
      <c r="B142" s="320"/>
      <c r="C142" s="320"/>
      <c r="D142" s="320"/>
      <c r="E142" s="320"/>
      <c r="F142" s="320"/>
      <c r="G142" s="320"/>
      <c r="H142" s="320"/>
      <c r="I142" s="320"/>
      <c r="J142" s="320"/>
      <c r="K142" s="320"/>
      <c r="L142" s="320"/>
      <c r="M142" s="320"/>
      <c r="N142" s="320"/>
      <c r="O142" s="320"/>
      <c r="P142" s="320"/>
      <c r="Q142" s="320"/>
      <c r="R142" s="320"/>
      <c r="S142" s="320"/>
      <c r="T142" s="320"/>
      <c r="U142" s="320"/>
      <c r="V142" s="320"/>
      <c r="W142" s="320"/>
      <c r="X142" s="320"/>
      <c r="Y142" s="320"/>
    </row>
    <row r="143" customFormat="false" ht="13.5" hidden="false" customHeight="false" outlineLevel="0" collapsed="false">
      <c r="A143" s="321" t="s">
        <v>261</v>
      </c>
      <c r="B143" s="322" t="n">
        <f aca="false">ROW(A143)</f>
        <v>143</v>
      </c>
      <c r="C143" s="305" t="s">
        <v>212</v>
      </c>
      <c r="D143" s="306" t="n">
        <f aca="false">SUM(B146:Y146)</f>
        <v>54.1100161221195</v>
      </c>
      <c r="E143" s="305" t="s">
        <v>213</v>
      </c>
      <c r="F143" s="307" t="n">
        <f aca="false">D143/g/J143</f>
        <v>146.696857641246</v>
      </c>
      <c r="G143" s="305" t="s">
        <v>214</v>
      </c>
      <c r="H143" s="323" t="n">
        <v>0.1058</v>
      </c>
      <c r="I143" s="305" t="s">
        <v>225</v>
      </c>
      <c r="J143" s="308" t="n">
        <f aca="false">H143-L143</f>
        <v>0.0376</v>
      </c>
      <c r="K143" s="305" t="s">
        <v>226</v>
      </c>
      <c r="L143" s="323" t="n">
        <v>0.0682</v>
      </c>
      <c r="M143" s="305" t="s">
        <v>217</v>
      </c>
      <c r="N143" s="324" t="n">
        <v>49</v>
      </c>
      <c r="O143" s="305" t="s">
        <v>218</v>
      </c>
      <c r="P143" s="324" t="n">
        <v>49</v>
      </c>
      <c r="Q143" s="305" t="s">
        <v>219</v>
      </c>
      <c r="R143" s="324" t="n">
        <v>98</v>
      </c>
      <c r="S143" s="305" t="s">
        <v>220</v>
      </c>
      <c r="T143" s="324" t="n">
        <v>29</v>
      </c>
      <c r="U143" s="305" t="s">
        <v>8</v>
      </c>
      <c r="V143" s="325" t="s">
        <v>250</v>
      </c>
      <c r="W143" s="311" t="s">
        <v>221</v>
      </c>
      <c r="X143" s="334" t="n">
        <v>1.9</v>
      </c>
      <c r="Y143" s="311" t="s">
        <v>222</v>
      </c>
      <c r="Z143" s="310" t="n">
        <v>12</v>
      </c>
    </row>
    <row r="144" customFormat="false" ht="12.75" hidden="false" customHeight="false" outlineLevel="0" collapsed="false">
      <c r="A144" s="303" t="s">
        <v>227</v>
      </c>
      <c r="B144" s="326" t="n">
        <v>0</v>
      </c>
      <c r="C144" s="327" t="n">
        <v>0.025</v>
      </c>
      <c r="D144" s="327" t="n">
        <v>0.05</v>
      </c>
      <c r="E144" s="327" t="n">
        <v>0.075</v>
      </c>
      <c r="F144" s="327" t="n">
        <v>0.1</v>
      </c>
      <c r="G144" s="327" t="n">
        <v>0.15</v>
      </c>
      <c r="H144" s="327" t="n">
        <v>0.175</v>
      </c>
      <c r="I144" s="327" t="n">
        <v>0.2</v>
      </c>
      <c r="J144" s="327" t="n">
        <v>0.3</v>
      </c>
      <c r="K144" s="327" t="n">
        <v>0.4</v>
      </c>
      <c r="L144" s="327" t="n">
        <v>0.5</v>
      </c>
      <c r="M144" s="327" t="n">
        <v>0.6</v>
      </c>
      <c r="N144" s="327" t="n">
        <v>0.7</v>
      </c>
      <c r="O144" s="327" t="n">
        <v>0.8</v>
      </c>
      <c r="P144" s="327" t="n">
        <v>0.9</v>
      </c>
      <c r="Q144" s="327" t="n">
        <v>1.1</v>
      </c>
      <c r="R144" s="327" t="n">
        <v>1.2</v>
      </c>
      <c r="S144" s="327" t="n">
        <v>1.6</v>
      </c>
      <c r="T144" s="327" t="n">
        <v>1.7</v>
      </c>
      <c r="U144" s="327" t="n">
        <v>1.8</v>
      </c>
      <c r="V144" s="327" t="n">
        <v>1.9</v>
      </c>
      <c r="W144" s="327" t="n">
        <v>1.9999</v>
      </c>
      <c r="X144" s="327" t="n">
        <v>2</v>
      </c>
      <c r="Y144" s="315" t="n">
        <v>1000</v>
      </c>
    </row>
    <row r="145" customFormat="false" ht="12.75" hidden="false" customHeight="false" outlineLevel="0" collapsed="false">
      <c r="A145" s="328" t="s">
        <v>228</v>
      </c>
      <c r="B145" s="329" t="n">
        <v>0</v>
      </c>
      <c r="C145" s="337" t="n">
        <v>15.2574001848975</v>
      </c>
      <c r="D145" s="337" t="n">
        <v>26.3779542555225</v>
      </c>
      <c r="E145" s="337" t="n">
        <v>21.4849104644475</v>
      </c>
      <c r="F145" s="337" t="n">
        <v>24.02039679255</v>
      </c>
      <c r="G145" s="337" t="n">
        <v>28.11276069054</v>
      </c>
      <c r="H145" s="337" t="n">
        <v>28.6910295022125</v>
      </c>
      <c r="I145" s="337" t="n">
        <v>29.18033388132</v>
      </c>
      <c r="J145" s="337" t="n">
        <v>31.49340912801</v>
      </c>
      <c r="K145" s="337" t="n">
        <v>32.56098231879</v>
      </c>
      <c r="L145" s="337" t="n">
        <v>32.827875616485</v>
      </c>
      <c r="M145" s="337" t="n">
        <v>32.649946751355</v>
      </c>
      <c r="N145" s="337" t="n">
        <v>32.38305345366</v>
      </c>
      <c r="O145" s="337" t="n">
        <v>32.2496068048125</v>
      </c>
      <c r="P145" s="337" t="n">
        <v>31.8047846419875</v>
      </c>
      <c r="Q145" s="337" t="n">
        <v>30.5592825860775</v>
      </c>
      <c r="R145" s="337" t="n">
        <v>30.06997820697</v>
      </c>
      <c r="S145" s="337" t="n">
        <v>26.3779542555225</v>
      </c>
      <c r="T145" s="337" t="n">
        <v>24.8655589019175</v>
      </c>
      <c r="U145" s="337" t="n">
        <v>18.4601197572375</v>
      </c>
      <c r="V145" s="337" t="n">
        <v>7.5174945517425</v>
      </c>
      <c r="W145" s="337" t="n">
        <v>1.3789487047575</v>
      </c>
      <c r="X145" s="330" t="n">
        <v>0</v>
      </c>
      <c r="Y145" s="331" t="n">
        <v>0</v>
      </c>
    </row>
    <row r="146" customFormat="false" ht="13.5" hidden="false" customHeight="false" outlineLevel="0" collapsed="false">
      <c r="A146" s="316" t="s">
        <v>229</v>
      </c>
      <c r="B146" s="332" t="n">
        <f aca="false">(C145+B145)*(C144-B144)/2</f>
        <v>0.190717502311219</v>
      </c>
      <c r="C146" s="333" t="n">
        <f aca="false">(D145+C145)*(D144-C144)/2</f>
        <v>0.52044193050525</v>
      </c>
      <c r="D146" s="333" t="n">
        <f aca="false">(E145+D145)*(E144-D144)/2</f>
        <v>0.598285808999625</v>
      </c>
      <c r="E146" s="333" t="n">
        <f aca="false">(F145+E145)*(F144-E144)/2</f>
        <v>0.568816340712469</v>
      </c>
      <c r="F146" s="333" t="n">
        <f aca="false">(G145+F145)*(G144-F144)/2</f>
        <v>1.30332893707725</v>
      </c>
      <c r="G146" s="333" t="n">
        <f aca="false">(H145+G145)*(H144-G144)/2</f>
        <v>0.710047377409406</v>
      </c>
      <c r="H146" s="333" t="n">
        <f aca="false">(I145+H145)*(I144-H144)/2</f>
        <v>0.723392042294157</v>
      </c>
      <c r="I146" s="333" t="n">
        <f aca="false">(J145+I145)*(J144-I144)/2</f>
        <v>3.0336871504665</v>
      </c>
      <c r="J146" s="333" t="n">
        <f aca="false">(K145+J145)*(K144-J144)/2</f>
        <v>3.20271957234</v>
      </c>
      <c r="K146" s="333" t="n">
        <f aca="false">(L145+K145)*(L144-K144)/2</f>
        <v>3.26944289676375</v>
      </c>
      <c r="L146" s="333" t="n">
        <f aca="false">(M145+L145)*(M144-L144)/2</f>
        <v>3.273891118392</v>
      </c>
      <c r="M146" s="333" t="n">
        <f aca="false">(N145+M145)*(N144-M144)/2</f>
        <v>3.25165001025075</v>
      </c>
      <c r="N146" s="333" t="n">
        <f aca="false">(O145+N145)*(O144-N144)/2</f>
        <v>3.23163301292363</v>
      </c>
      <c r="O146" s="333" t="n">
        <f aca="false">(P145+O145)*(P144-O144)/2</f>
        <v>3.20271957234</v>
      </c>
      <c r="P146" s="333" t="n">
        <f aca="false">(Q145+P145)*(Q144-P144)/2</f>
        <v>6.2364067228065</v>
      </c>
      <c r="Q146" s="333" t="n">
        <f aca="false">(R145+Q145)*(R144-Q144)/2</f>
        <v>3.03146303965237</v>
      </c>
      <c r="R146" s="333" t="n">
        <f aca="false">(S145+R145)*(S144-R144)/2</f>
        <v>11.2895864924985</v>
      </c>
      <c r="S146" s="333" t="n">
        <f aca="false">(T145+S145)*(T144-S144)/2</f>
        <v>2.562175657872</v>
      </c>
      <c r="T146" s="333" t="n">
        <f aca="false">(U145+T145)*(U144-T144)/2</f>
        <v>2.16628393295775</v>
      </c>
      <c r="U146" s="333" t="n">
        <f aca="false">(V145+U145)*(V144-U144)/2</f>
        <v>1.298880715449</v>
      </c>
      <c r="V146" s="333" t="n">
        <f aca="false">(W145+V145)*(W144-V144)/2</f>
        <v>0.444377340662175</v>
      </c>
      <c r="W146" s="333" t="n">
        <f aca="false">(X145+W145)*(X144-W144)/2</f>
        <v>6.89474352378674E-005</v>
      </c>
      <c r="X146" s="333" t="n">
        <f aca="false">(Y145+X145)*(Y144-X144)/2</f>
        <v>0</v>
      </c>
      <c r="Y146" s="319"/>
    </row>
    <row r="147" customFormat="false" ht="13.5" hidden="false" customHeight="false" outlineLevel="0" collapsed="false">
      <c r="B147" s="320"/>
      <c r="C147" s="320"/>
      <c r="D147" s="320"/>
      <c r="E147" s="320"/>
      <c r="F147" s="320"/>
      <c r="G147" s="320"/>
      <c r="H147" s="320"/>
      <c r="I147" s="320"/>
      <c r="J147" s="320"/>
      <c r="K147" s="320"/>
      <c r="L147" s="320"/>
      <c r="M147" s="320"/>
      <c r="N147" s="320"/>
      <c r="O147" s="320"/>
      <c r="P147" s="320"/>
      <c r="Q147" s="320"/>
      <c r="R147" s="320"/>
      <c r="S147" s="320"/>
      <c r="T147" s="320"/>
      <c r="U147" s="320"/>
      <c r="V147" s="320"/>
      <c r="W147" s="320"/>
      <c r="X147" s="320"/>
      <c r="Y147" s="320"/>
    </row>
    <row r="148" customFormat="false" ht="13.5" hidden="false" customHeight="false" outlineLevel="0" collapsed="false">
      <c r="A148" s="321" t="s">
        <v>262</v>
      </c>
      <c r="B148" s="322" t="n">
        <f aca="false">ROW(A148)</f>
        <v>148</v>
      </c>
      <c r="C148" s="305" t="s">
        <v>212</v>
      </c>
      <c r="D148" s="306" t="n">
        <f aca="false">SUM(B151:Y151)</f>
        <v>55.589492</v>
      </c>
      <c r="E148" s="305" t="s">
        <v>213</v>
      </c>
      <c r="F148" s="307" t="n">
        <f aca="false">D148/g/J148</f>
        <v>177.081715086646</v>
      </c>
      <c r="G148" s="305" t="s">
        <v>214</v>
      </c>
      <c r="H148" s="323" t="n">
        <v>0.102</v>
      </c>
      <c r="I148" s="305" t="s">
        <v>225</v>
      </c>
      <c r="J148" s="308" t="n">
        <f aca="false">H148-L148</f>
        <v>0.032</v>
      </c>
      <c r="K148" s="305" t="s">
        <v>226</v>
      </c>
      <c r="L148" s="323" t="n">
        <v>0.07</v>
      </c>
      <c r="M148" s="305" t="s">
        <v>217</v>
      </c>
      <c r="N148" s="324" t="n">
        <v>49</v>
      </c>
      <c r="O148" s="305" t="s">
        <v>218</v>
      </c>
      <c r="P148" s="324" t="n">
        <v>49</v>
      </c>
      <c r="Q148" s="305" t="s">
        <v>219</v>
      </c>
      <c r="R148" s="324" t="n">
        <v>98</v>
      </c>
      <c r="S148" s="305" t="s">
        <v>220</v>
      </c>
      <c r="T148" s="324" t="n">
        <v>29</v>
      </c>
      <c r="U148" s="305" t="s">
        <v>8</v>
      </c>
      <c r="V148" s="325" t="s">
        <v>252</v>
      </c>
      <c r="W148" s="311" t="s">
        <v>221</v>
      </c>
      <c r="X148" s="334" t="n">
        <v>0.45</v>
      </c>
      <c r="Y148" s="311" t="s">
        <v>222</v>
      </c>
      <c r="Z148" s="310" t="n">
        <v>12</v>
      </c>
    </row>
    <row r="149" customFormat="false" ht="12.75" hidden="false" customHeight="false" outlineLevel="0" collapsed="false">
      <c r="A149" s="303" t="s">
        <v>227</v>
      </c>
      <c r="B149" s="326" t="n">
        <v>0</v>
      </c>
      <c r="C149" s="327" t="n">
        <v>0.001</v>
      </c>
      <c r="D149" s="327" t="n">
        <v>0.023</v>
      </c>
      <c r="E149" s="327" t="n">
        <v>0.05</v>
      </c>
      <c r="F149" s="327" t="n">
        <v>0.059</v>
      </c>
      <c r="G149" s="327" t="n">
        <v>0.095</v>
      </c>
      <c r="H149" s="327" t="n">
        <v>0.212</v>
      </c>
      <c r="I149" s="327" t="n">
        <v>0.344</v>
      </c>
      <c r="J149" s="327" t="n">
        <v>1.567</v>
      </c>
      <c r="K149" s="327" t="n">
        <v>1.631</v>
      </c>
      <c r="L149" s="327" t="n">
        <v>1.663</v>
      </c>
      <c r="M149" s="327" t="n">
        <v>1.785</v>
      </c>
      <c r="N149" s="327" t="n">
        <v>1.828</v>
      </c>
      <c r="O149" s="327" t="n">
        <v>2</v>
      </c>
      <c r="P149" s="327" t="n">
        <v>2</v>
      </c>
      <c r="Q149" s="327" t="n">
        <v>2</v>
      </c>
      <c r="R149" s="327" t="n">
        <v>2</v>
      </c>
      <c r="S149" s="327" t="n">
        <v>2</v>
      </c>
      <c r="T149" s="327" t="n">
        <v>2</v>
      </c>
      <c r="U149" s="327" t="n">
        <v>2</v>
      </c>
      <c r="V149" s="327" t="n">
        <v>2</v>
      </c>
      <c r="W149" s="327" t="n">
        <v>2</v>
      </c>
      <c r="X149" s="327" t="n">
        <v>2</v>
      </c>
      <c r="Y149" s="315" t="n">
        <v>1000</v>
      </c>
    </row>
    <row r="150" customFormat="false" ht="12.75" hidden="false" customHeight="false" outlineLevel="0" collapsed="false">
      <c r="A150" s="328" t="s">
        <v>228</v>
      </c>
      <c r="B150" s="329" t="n">
        <v>0</v>
      </c>
      <c r="C150" s="330" t="n">
        <v>3.483</v>
      </c>
      <c r="D150" s="330" t="n">
        <v>64.053</v>
      </c>
      <c r="E150" s="330" t="n">
        <v>31.347</v>
      </c>
      <c r="F150" s="330" t="n">
        <v>28.459</v>
      </c>
      <c r="G150" s="330" t="n">
        <v>32.027</v>
      </c>
      <c r="H150" s="330" t="n">
        <v>36.189</v>
      </c>
      <c r="I150" s="330" t="n">
        <v>37.549</v>
      </c>
      <c r="J150" s="330" t="n">
        <v>26.165</v>
      </c>
      <c r="K150" s="330" t="n">
        <v>26.93</v>
      </c>
      <c r="L150" s="330" t="n">
        <v>25.316</v>
      </c>
      <c r="M150" s="330" t="n">
        <v>3.653</v>
      </c>
      <c r="N150" s="330" t="n">
        <v>0</v>
      </c>
      <c r="O150" s="330" t="n">
        <v>0</v>
      </c>
      <c r="P150" s="330" t="n">
        <v>0</v>
      </c>
      <c r="Q150" s="330" t="n">
        <v>0</v>
      </c>
      <c r="R150" s="330" t="n">
        <v>0</v>
      </c>
      <c r="S150" s="330" t="n">
        <v>0</v>
      </c>
      <c r="T150" s="330" t="n">
        <v>0</v>
      </c>
      <c r="U150" s="330" t="n">
        <v>0</v>
      </c>
      <c r="V150" s="330" t="n">
        <v>0</v>
      </c>
      <c r="W150" s="330" t="n">
        <v>0</v>
      </c>
      <c r="X150" s="330" t="n">
        <v>0</v>
      </c>
      <c r="Y150" s="331" t="n">
        <v>0</v>
      </c>
    </row>
    <row r="151" customFormat="false" ht="13.5" hidden="false" customHeight="false" outlineLevel="0" collapsed="false">
      <c r="A151" s="316" t="s">
        <v>229</v>
      </c>
      <c r="B151" s="332" t="n">
        <f aca="false">(C150+B150)*(C149-B149)/2</f>
        <v>0.0017415</v>
      </c>
      <c r="C151" s="333" t="n">
        <f aca="false">(D150+C150)*(D149-C149)/2</f>
        <v>0.742896</v>
      </c>
      <c r="D151" s="333" t="n">
        <f aca="false">(E150+D150)*(E149-D149)/2</f>
        <v>1.2879</v>
      </c>
      <c r="E151" s="333" t="n">
        <f aca="false">(F150+E150)*(F149-E149)/2</f>
        <v>0.269127</v>
      </c>
      <c r="F151" s="333" t="n">
        <f aca="false">(G150+F150)*(G149-F149)/2</f>
        <v>1.088748</v>
      </c>
      <c r="G151" s="333" t="n">
        <f aca="false">(H150+G150)*(H149-G149)/2</f>
        <v>3.990636</v>
      </c>
      <c r="H151" s="333" t="n">
        <f aca="false">(I150+H150)*(I149-H149)/2</f>
        <v>4.866708</v>
      </c>
      <c r="I151" s="333" t="n">
        <f aca="false">(J150+I150)*(J149-I149)/2</f>
        <v>38.961111</v>
      </c>
      <c r="J151" s="333" t="n">
        <f aca="false">(K150+J150)*(K149-J149)/2</f>
        <v>1.69904</v>
      </c>
      <c r="K151" s="333" t="n">
        <f aca="false">(L150+K150)*(L149-K149)/2</f>
        <v>0.835936000000001</v>
      </c>
      <c r="L151" s="333" t="n">
        <f aca="false">(M150+L150)*(M149-L149)/2</f>
        <v>1.767109</v>
      </c>
      <c r="M151" s="333" t="n">
        <f aca="false">(N150+M150)*(N149-M149)/2</f>
        <v>0.0785395000000003</v>
      </c>
      <c r="N151" s="333" t="n">
        <f aca="false">(O150+N150)*(O149-N149)/2</f>
        <v>0</v>
      </c>
      <c r="O151" s="333" t="n">
        <f aca="false">(P150+O150)*(P149-O149)/2</f>
        <v>0</v>
      </c>
      <c r="P151" s="333" t="n">
        <f aca="false">(Q150+P150)*(Q149-P149)/2</f>
        <v>0</v>
      </c>
      <c r="Q151" s="333" t="n">
        <f aca="false">(R150+Q150)*(R149-Q149)/2</f>
        <v>0</v>
      </c>
      <c r="R151" s="333" t="n">
        <f aca="false">(S150+R150)*(S149-R149)/2</f>
        <v>0</v>
      </c>
      <c r="S151" s="333" t="n">
        <f aca="false">(T150+S150)*(T149-S149)/2</f>
        <v>0</v>
      </c>
      <c r="T151" s="333" t="n">
        <f aca="false">(U150+T150)*(U149-T149)/2</f>
        <v>0</v>
      </c>
      <c r="U151" s="333" t="n">
        <f aca="false">(V150+U150)*(V149-U149)/2</f>
        <v>0</v>
      </c>
      <c r="V151" s="333" t="n">
        <f aca="false">(W150+V150)*(W149-V149)/2</f>
        <v>0</v>
      </c>
      <c r="W151" s="333" t="n">
        <f aca="false">(X150+W150)*(X149-W149)/2</f>
        <v>0</v>
      </c>
      <c r="X151" s="333" t="n">
        <f aca="false">(Y150+X150)*(Y149-X149)/2</f>
        <v>0</v>
      </c>
      <c r="Y151" s="319"/>
    </row>
    <row r="152" customFormat="false" ht="13.5" hidden="false" customHeight="false" outlineLevel="0" collapsed="false">
      <c r="B152" s="320"/>
      <c r="C152" s="320"/>
      <c r="D152" s="320"/>
      <c r="E152" s="320"/>
      <c r="F152" s="320"/>
      <c r="G152" s="320"/>
      <c r="H152" s="320"/>
      <c r="I152" s="320"/>
      <c r="J152" s="320"/>
      <c r="K152" s="320"/>
      <c r="L152" s="320"/>
      <c r="M152" s="320"/>
      <c r="N152" s="320"/>
      <c r="O152" s="320"/>
      <c r="P152" s="320"/>
      <c r="Q152" s="320"/>
      <c r="R152" s="320"/>
      <c r="S152" s="320"/>
      <c r="T152" s="320"/>
      <c r="U152" s="320"/>
      <c r="V152" s="320"/>
      <c r="W152" s="320"/>
      <c r="X152" s="320"/>
      <c r="Y152" s="320"/>
    </row>
    <row r="153" customFormat="false" ht="13.5" hidden="false" customHeight="false" outlineLevel="0" collapsed="false">
      <c r="A153" s="321" t="s">
        <v>263</v>
      </c>
      <c r="B153" s="322" t="n">
        <f aca="false">ROW(A153)</f>
        <v>153</v>
      </c>
      <c r="C153" s="305" t="s">
        <v>212</v>
      </c>
      <c r="D153" s="306" t="n">
        <f aca="false">SUM(B156:Y156)</f>
        <v>55.7058845</v>
      </c>
      <c r="E153" s="305" t="s">
        <v>213</v>
      </c>
      <c r="F153" s="307" t="n">
        <f aca="false">D153/g/J153</f>
        <v>180.843298142413</v>
      </c>
      <c r="G153" s="305" t="s">
        <v>214</v>
      </c>
      <c r="H153" s="323" t="n">
        <v>0.1062</v>
      </c>
      <c r="I153" s="305" t="s">
        <v>225</v>
      </c>
      <c r="J153" s="308" t="n">
        <f aca="false">H153-L153</f>
        <v>0.0314</v>
      </c>
      <c r="K153" s="305" t="s">
        <v>226</v>
      </c>
      <c r="L153" s="323" t="n">
        <v>0.0748</v>
      </c>
      <c r="M153" s="305" t="s">
        <v>217</v>
      </c>
      <c r="N153" s="324" t="n">
        <v>49</v>
      </c>
      <c r="O153" s="305" t="s">
        <v>218</v>
      </c>
      <c r="P153" s="324" t="n">
        <v>49</v>
      </c>
      <c r="Q153" s="305" t="s">
        <v>219</v>
      </c>
      <c r="R153" s="324" t="n">
        <v>98</v>
      </c>
      <c r="S153" s="305" t="s">
        <v>220</v>
      </c>
      <c r="T153" s="324" t="n">
        <v>29</v>
      </c>
      <c r="U153" s="305" t="s">
        <v>8</v>
      </c>
      <c r="V153" s="325" t="s">
        <v>252</v>
      </c>
      <c r="W153" s="311" t="s">
        <v>221</v>
      </c>
      <c r="X153" s="334" t="n">
        <v>0.45</v>
      </c>
      <c r="Y153" s="311" t="s">
        <v>222</v>
      </c>
      <c r="Z153" s="310" t="n">
        <v>14</v>
      </c>
    </row>
    <row r="154" customFormat="false" ht="12.75" hidden="false" customHeight="false" outlineLevel="0" collapsed="false">
      <c r="A154" s="303" t="s">
        <v>227</v>
      </c>
      <c r="B154" s="326" t="n">
        <v>0</v>
      </c>
      <c r="C154" s="327" t="n">
        <v>0.013</v>
      </c>
      <c r="D154" s="327" t="n">
        <v>0.017</v>
      </c>
      <c r="E154" s="327" t="n">
        <v>0.04</v>
      </c>
      <c r="F154" s="327" t="n">
        <v>0.125</v>
      </c>
      <c r="G154" s="327" t="n">
        <v>0.179</v>
      </c>
      <c r="H154" s="327" t="n">
        <v>0.222</v>
      </c>
      <c r="I154" s="327" t="n">
        <v>0.289</v>
      </c>
      <c r="J154" s="327" t="n">
        <v>0.354</v>
      </c>
      <c r="K154" s="327" t="n">
        <v>0.394</v>
      </c>
      <c r="L154" s="327" t="n">
        <v>0.406</v>
      </c>
      <c r="M154" s="327" t="n">
        <v>0.416</v>
      </c>
      <c r="N154" s="327" t="n">
        <v>0.423</v>
      </c>
      <c r="O154" s="327" t="n">
        <v>0.431</v>
      </c>
      <c r="P154" s="327" t="n">
        <v>0.447</v>
      </c>
      <c r="Q154" s="327" t="n">
        <v>0.453</v>
      </c>
      <c r="R154" s="327" t="n">
        <v>0.455</v>
      </c>
      <c r="S154" s="327" t="n">
        <v>0.455</v>
      </c>
      <c r="T154" s="327" t="n">
        <v>0.455</v>
      </c>
      <c r="U154" s="327" t="n">
        <v>0.455</v>
      </c>
      <c r="V154" s="327" t="n">
        <v>0.455</v>
      </c>
      <c r="W154" s="327" t="n">
        <v>0.455</v>
      </c>
      <c r="X154" s="327" t="n">
        <v>2</v>
      </c>
      <c r="Y154" s="315" t="n">
        <v>1000</v>
      </c>
    </row>
    <row r="155" customFormat="false" ht="12.75" hidden="false" customHeight="false" outlineLevel="0" collapsed="false">
      <c r="A155" s="328" t="s">
        <v>228</v>
      </c>
      <c r="B155" s="329" t="n">
        <v>0</v>
      </c>
      <c r="C155" s="330" t="n">
        <v>79.242</v>
      </c>
      <c r="D155" s="330" t="n">
        <v>90.427</v>
      </c>
      <c r="E155" s="330" t="n">
        <v>101.422</v>
      </c>
      <c r="F155" s="330" t="n">
        <v>127.583</v>
      </c>
      <c r="G155" s="330" t="n">
        <v>136.114</v>
      </c>
      <c r="H155" s="330" t="n">
        <v>139.905</v>
      </c>
      <c r="I155" s="330" t="n">
        <v>143.507</v>
      </c>
      <c r="J155" s="330" t="n">
        <v>138.578</v>
      </c>
      <c r="K155" s="330" t="n">
        <v>125.498</v>
      </c>
      <c r="L155" s="330" t="n">
        <v>123.602</v>
      </c>
      <c r="M155" s="330" t="n">
        <v>125.118</v>
      </c>
      <c r="N155" s="330" t="n">
        <v>130.047</v>
      </c>
      <c r="O155" s="330" t="n">
        <v>120.569</v>
      </c>
      <c r="P155" s="330" t="n">
        <v>25.592</v>
      </c>
      <c r="Q155" s="330" t="n">
        <v>8.72</v>
      </c>
      <c r="R155" s="330" t="n">
        <v>0</v>
      </c>
      <c r="S155" s="330" t="n">
        <v>0</v>
      </c>
      <c r="T155" s="330" t="n">
        <v>0</v>
      </c>
      <c r="U155" s="330" t="n">
        <v>0</v>
      </c>
      <c r="V155" s="330" t="n">
        <v>0</v>
      </c>
      <c r="W155" s="330" t="n">
        <v>0</v>
      </c>
      <c r="X155" s="330" t="n">
        <v>0</v>
      </c>
      <c r="Y155" s="331" t="n">
        <v>0</v>
      </c>
    </row>
    <row r="156" customFormat="false" ht="13.5" hidden="false" customHeight="false" outlineLevel="0" collapsed="false">
      <c r="A156" s="316" t="s">
        <v>229</v>
      </c>
      <c r="B156" s="332" t="n">
        <f aca="false">(C155+B155)*(C154-B154)/2</f>
        <v>0.515073</v>
      </c>
      <c r="C156" s="333" t="n">
        <f aca="false">(D155+C155)*(D154-C154)/2</f>
        <v>0.339338</v>
      </c>
      <c r="D156" s="333" t="n">
        <f aca="false">(E155+D155)*(E154-D154)/2</f>
        <v>2.2062635</v>
      </c>
      <c r="E156" s="333" t="n">
        <f aca="false">(F155+E155)*(F154-E154)/2</f>
        <v>9.7327125</v>
      </c>
      <c r="F156" s="333" t="n">
        <f aca="false">(G155+F155)*(G154-F154)/2</f>
        <v>7.119819</v>
      </c>
      <c r="G156" s="333" t="n">
        <f aca="false">(H155+G155)*(H154-G154)/2</f>
        <v>5.9344085</v>
      </c>
      <c r="H156" s="333" t="n">
        <f aca="false">(I155+H155)*(I154-H154)/2</f>
        <v>9.494302</v>
      </c>
      <c r="I156" s="333" t="n">
        <f aca="false">(J155+I155)*(J154-I154)/2</f>
        <v>9.1677625</v>
      </c>
      <c r="J156" s="333" t="n">
        <f aca="false">(K155+J155)*(K154-J154)/2</f>
        <v>5.28152000000001</v>
      </c>
      <c r="K156" s="333" t="n">
        <f aca="false">(L155+K155)*(L154-K154)/2</f>
        <v>1.4946</v>
      </c>
      <c r="L156" s="333" t="n">
        <f aca="false">(M155+L155)*(M154-L154)/2</f>
        <v>1.24359999999999</v>
      </c>
      <c r="M156" s="333" t="n">
        <f aca="false">(N155+M155)*(N154-M154)/2</f>
        <v>0.893077500000001</v>
      </c>
      <c r="N156" s="333" t="n">
        <f aca="false">(O155+N155)*(O154-N154)/2</f>
        <v>1.002464</v>
      </c>
      <c r="O156" s="333" t="n">
        <f aca="false">(P155+O155)*(P154-O154)/2</f>
        <v>1.169288</v>
      </c>
      <c r="P156" s="333" t="n">
        <f aca="false">(Q155+P155)*(Q154-P154)/2</f>
        <v>0.102936</v>
      </c>
      <c r="Q156" s="333" t="n">
        <f aca="false">(R155+Q155)*(R154-Q154)/2</f>
        <v>0.00872000000000001</v>
      </c>
      <c r="R156" s="333" t="n">
        <f aca="false">(S155+R155)*(S154-R154)/2</f>
        <v>0</v>
      </c>
      <c r="S156" s="333" t="n">
        <f aca="false">(T155+S155)*(T154-S154)/2</f>
        <v>0</v>
      </c>
      <c r="T156" s="333" t="n">
        <f aca="false">(U155+T155)*(U154-T154)/2</f>
        <v>0</v>
      </c>
      <c r="U156" s="333" t="n">
        <f aca="false">(V155+U155)*(V154-U154)/2</f>
        <v>0</v>
      </c>
      <c r="V156" s="333" t="n">
        <f aca="false">(W155+V155)*(W154-V154)/2</f>
        <v>0</v>
      </c>
      <c r="W156" s="333" t="n">
        <f aca="false">(X155+W155)*(X154-W154)/2</f>
        <v>0</v>
      </c>
      <c r="X156" s="333" t="n">
        <f aca="false">(Y155+X155)*(Y154-X154)/2</f>
        <v>0</v>
      </c>
      <c r="Y156" s="319"/>
    </row>
    <row r="157" customFormat="false" ht="13.5" hidden="false" customHeight="false" outlineLevel="0" collapsed="false">
      <c r="B157" s="320"/>
      <c r="C157" s="320"/>
      <c r="D157" s="320"/>
      <c r="E157" s="320"/>
      <c r="F157" s="320"/>
      <c r="G157" s="320"/>
      <c r="H157" s="320"/>
      <c r="I157" s="320"/>
      <c r="J157" s="320"/>
      <c r="K157" s="320"/>
      <c r="L157" s="320"/>
      <c r="M157" s="320"/>
      <c r="N157" s="320"/>
      <c r="O157" s="320"/>
      <c r="P157" s="320"/>
      <c r="Q157" s="320"/>
      <c r="R157" s="320"/>
      <c r="S157" s="320"/>
      <c r="T157" s="320"/>
      <c r="U157" s="320"/>
      <c r="V157" s="320"/>
      <c r="W157" s="320"/>
      <c r="X157" s="320"/>
      <c r="Y157" s="320"/>
    </row>
    <row r="158" customFormat="false" ht="13.5" hidden="false" customHeight="false" outlineLevel="0" collapsed="false">
      <c r="A158" s="321" t="s">
        <v>264</v>
      </c>
      <c r="B158" s="322" t="n">
        <f aca="false">ROW(A158)</f>
        <v>158</v>
      </c>
      <c r="C158" s="305" t="s">
        <v>212</v>
      </c>
      <c r="D158" s="306" t="n">
        <f aca="false">SUM(B161:Y161)</f>
        <v>57.19</v>
      </c>
      <c r="E158" s="305" t="s">
        <v>213</v>
      </c>
      <c r="F158" s="307" t="n">
        <f aca="false">D158/g/J158</f>
        <v>188.05695307619</v>
      </c>
      <c r="G158" s="305" t="s">
        <v>214</v>
      </c>
      <c r="H158" s="323" t="n">
        <v>0.099</v>
      </c>
      <c r="I158" s="305" t="s">
        <v>225</v>
      </c>
      <c r="J158" s="308" t="n">
        <f aca="false">H158-L158</f>
        <v>0.031</v>
      </c>
      <c r="K158" s="305" t="s">
        <v>226</v>
      </c>
      <c r="L158" s="323" t="n">
        <v>0.068</v>
      </c>
      <c r="M158" s="305" t="s">
        <v>217</v>
      </c>
      <c r="N158" s="324" t="n">
        <v>49</v>
      </c>
      <c r="O158" s="305" t="s">
        <v>218</v>
      </c>
      <c r="P158" s="324" t="n">
        <v>49</v>
      </c>
      <c r="Q158" s="305" t="s">
        <v>219</v>
      </c>
      <c r="R158" s="324" t="n">
        <v>98</v>
      </c>
      <c r="S158" s="305" t="s">
        <v>220</v>
      </c>
      <c r="T158" s="324" t="n">
        <v>29</v>
      </c>
      <c r="U158" s="305" t="s">
        <v>8</v>
      </c>
      <c r="V158" s="325" t="s">
        <v>252</v>
      </c>
      <c r="W158" s="311" t="s">
        <v>221</v>
      </c>
      <c r="X158" s="334" t="n">
        <v>0.96</v>
      </c>
      <c r="Y158" s="311" t="s">
        <v>222</v>
      </c>
      <c r="Z158" s="310" t="n">
        <v>12</v>
      </c>
    </row>
    <row r="159" customFormat="false" ht="12.75" hidden="false" customHeight="false" outlineLevel="0" collapsed="false">
      <c r="A159" s="303" t="s">
        <v>227</v>
      </c>
      <c r="B159" s="326" t="n">
        <v>0</v>
      </c>
      <c r="C159" s="327" t="n">
        <v>0.01</v>
      </c>
      <c r="D159" s="327" t="n">
        <v>0.02</v>
      </c>
      <c r="E159" s="327" t="n">
        <v>0.03</v>
      </c>
      <c r="F159" s="327" t="n">
        <v>0.04</v>
      </c>
      <c r="G159" s="327" t="n">
        <v>0.07</v>
      </c>
      <c r="H159" s="327" t="n">
        <v>0.1</v>
      </c>
      <c r="I159" s="327" t="n">
        <v>0.2</v>
      </c>
      <c r="J159" s="327" t="n">
        <v>0.3</v>
      </c>
      <c r="K159" s="327" t="n">
        <v>0.4</v>
      </c>
      <c r="L159" s="327" t="n">
        <v>0.5</v>
      </c>
      <c r="M159" s="327" t="n">
        <v>0.6</v>
      </c>
      <c r="N159" s="327" t="n">
        <v>0.7</v>
      </c>
      <c r="O159" s="327" t="n">
        <v>0.87</v>
      </c>
      <c r="P159" s="327" t="n">
        <v>0.9</v>
      </c>
      <c r="Q159" s="327" t="n">
        <v>0.97</v>
      </c>
      <c r="R159" s="327" t="n">
        <v>0.97</v>
      </c>
      <c r="S159" s="327" t="n">
        <v>0.97</v>
      </c>
      <c r="T159" s="327" t="n">
        <v>0.97</v>
      </c>
      <c r="U159" s="327" t="n">
        <v>0.97</v>
      </c>
      <c r="V159" s="327" t="n">
        <v>0.97</v>
      </c>
      <c r="W159" s="327" t="n">
        <v>0.97</v>
      </c>
      <c r="X159" s="327" t="n">
        <v>2</v>
      </c>
      <c r="Y159" s="315" t="n">
        <v>1000</v>
      </c>
    </row>
    <row r="160" customFormat="false" ht="12.75" hidden="false" customHeight="false" outlineLevel="0" collapsed="false">
      <c r="A160" s="328" t="s">
        <v>228</v>
      </c>
      <c r="B160" s="329" t="n">
        <v>0</v>
      </c>
      <c r="C160" s="330" t="n">
        <v>16</v>
      </c>
      <c r="D160" s="330" t="n">
        <v>62</v>
      </c>
      <c r="E160" s="330" t="n">
        <v>67</v>
      </c>
      <c r="F160" s="330" t="n">
        <v>71</v>
      </c>
      <c r="G160" s="330" t="n">
        <v>58</v>
      </c>
      <c r="H160" s="330" t="n">
        <v>63</v>
      </c>
      <c r="I160" s="330" t="n">
        <v>67</v>
      </c>
      <c r="J160" s="330" t="n">
        <v>69</v>
      </c>
      <c r="K160" s="330" t="n">
        <v>67</v>
      </c>
      <c r="L160" s="330" t="n">
        <v>65</v>
      </c>
      <c r="M160" s="330" t="n">
        <v>63</v>
      </c>
      <c r="N160" s="330" t="n">
        <v>61</v>
      </c>
      <c r="O160" s="330" t="n">
        <v>60</v>
      </c>
      <c r="P160" s="330" t="n">
        <v>23</v>
      </c>
      <c r="Q160" s="330" t="n">
        <v>0</v>
      </c>
      <c r="R160" s="330" t="n">
        <v>0</v>
      </c>
      <c r="S160" s="330" t="n">
        <v>0</v>
      </c>
      <c r="T160" s="330" t="n">
        <v>0</v>
      </c>
      <c r="U160" s="330" t="n">
        <v>0</v>
      </c>
      <c r="V160" s="330" t="n">
        <v>0</v>
      </c>
      <c r="W160" s="330" t="n">
        <v>0</v>
      </c>
      <c r="X160" s="330" t="n">
        <v>0</v>
      </c>
      <c r="Y160" s="331" t="n">
        <v>0</v>
      </c>
    </row>
    <row r="161" customFormat="false" ht="13.5" hidden="false" customHeight="false" outlineLevel="0" collapsed="false">
      <c r="A161" s="316" t="s">
        <v>229</v>
      </c>
      <c r="B161" s="332" t="n">
        <f aca="false">(C160+B160)*(C159-B159)/2</f>
        <v>0.08</v>
      </c>
      <c r="C161" s="333" t="n">
        <f aca="false">(D160+C160)*(D159-C159)/2</f>
        <v>0.39</v>
      </c>
      <c r="D161" s="333" t="n">
        <f aca="false">(E160+D160)*(E159-D159)/2</f>
        <v>0.645</v>
      </c>
      <c r="E161" s="333" t="n">
        <f aca="false">(F160+E160)*(F159-E159)/2</f>
        <v>0.69</v>
      </c>
      <c r="F161" s="333" t="n">
        <f aca="false">(G160+F160)*(G159-F159)/2</f>
        <v>1.935</v>
      </c>
      <c r="G161" s="333" t="n">
        <f aca="false">(H160+G160)*(H159-G159)/2</f>
        <v>1.815</v>
      </c>
      <c r="H161" s="333" t="n">
        <f aca="false">(I160+H160)*(I159-H159)/2</f>
        <v>6.5</v>
      </c>
      <c r="I161" s="333" t="n">
        <f aca="false">(J160+I160)*(J159-I159)/2</f>
        <v>6.8</v>
      </c>
      <c r="J161" s="333" t="n">
        <f aca="false">(K160+J160)*(K159-J159)/2</f>
        <v>6.8</v>
      </c>
      <c r="K161" s="333" t="n">
        <f aca="false">(L160+K160)*(L159-K159)/2</f>
        <v>6.6</v>
      </c>
      <c r="L161" s="333" t="n">
        <f aca="false">(M160+L160)*(M159-L159)/2</f>
        <v>6.4</v>
      </c>
      <c r="M161" s="333" t="n">
        <f aca="false">(N160+M160)*(N159-M159)/2</f>
        <v>6.2</v>
      </c>
      <c r="N161" s="333" t="n">
        <f aca="false">(O160+N160)*(O159-N159)/2</f>
        <v>10.285</v>
      </c>
      <c r="O161" s="333" t="n">
        <f aca="false">(P160+O160)*(P159-O159)/2</f>
        <v>1.245</v>
      </c>
      <c r="P161" s="333" t="n">
        <f aca="false">(Q160+P160)*(Q159-P159)/2</f>
        <v>0.805</v>
      </c>
      <c r="Q161" s="333" t="n">
        <f aca="false">(R160+Q160)*(R159-Q159)/2</f>
        <v>0</v>
      </c>
      <c r="R161" s="333" t="n">
        <f aca="false">(S160+R160)*(S159-R159)/2</f>
        <v>0</v>
      </c>
      <c r="S161" s="333" t="n">
        <f aca="false">(T160+S160)*(T159-S159)/2</f>
        <v>0</v>
      </c>
      <c r="T161" s="333" t="n">
        <f aca="false">(U160+T160)*(U159-T159)/2</f>
        <v>0</v>
      </c>
      <c r="U161" s="333" t="n">
        <f aca="false">(V160+U160)*(V159-U159)/2</f>
        <v>0</v>
      </c>
      <c r="V161" s="333" t="n">
        <f aca="false">(W160+V160)*(W159-V159)/2</f>
        <v>0</v>
      </c>
      <c r="W161" s="333" t="n">
        <f aca="false">(X160+W160)*(X159-W159)/2</f>
        <v>0</v>
      </c>
      <c r="X161" s="333" t="n">
        <f aca="false">(Y160+X160)*(Y159-X159)/2</f>
        <v>0</v>
      </c>
      <c r="Y161" s="319"/>
    </row>
    <row r="162" customFormat="false" ht="13.5" hidden="false" customHeight="false" outlineLevel="0" collapsed="false">
      <c r="A162" s="160" t="s">
        <v>265</v>
      </c>
      <c r="B162" s="320"/>
      <c r="C162" s="320"/>
      <c r="D162" s="320"/>
      <c r="E162" s="320"/>
      <c r="F162" s="320"/>
      <c r="G162" s="320"/>
      <c r="H162" s="320"/>
      <c r="I162" s="320"/>
      <c r="J162" s="320"/>
      <c r="K162" s="320"/>
      <c r="L162" s="320"/>
      <c r="M162" s="320"/>
      <c r="N162" s="320"/>
      <c r="O162" s="320"/>
      <c r="P162" s="320"/>
      <c r="Q162" s="320"/>
      <c r="R162" s="320"/>
      <c r="S162" s="320"/>
      <c r="T162" s="320"/>
      <c r="U162" s="320"/>
      <c r="V162" s="320"/>
      <c r="W162" s="320"/>
      <c r="X162" s="320"/>
      <c r="Y162" s="320"/>
    </row>
    <row r="163" customFormat="false" ht="13.5" hidden="false" customHeight="false" outlineLevel="0" collapsed="false">
      <c r="A163" s="321" t="s">
        <v>266</v>
      </c>
      <c r="B163" s="322" t="n">
        <f aca="false">ROW(A163)</f>
        <v>163</v>
      </c>
      <c r="C163" s="305" t="s">
        <v>212</v>
      </c>
      <c r="D163" s="306" t="n">
        <f aca="false">SUM(B166:Y166)</f>
        <v>59.702267</v>
      </c>
      <c r="E163" s="305" t="s">
        <v>213</v>
      </c>
      <c r="F163" s="307" t="n">
        <f aca="false">D163/g/J163</f>
        <v>190.779247712813</v>
      </c>
      <c r="G163" s="305" t="s">
        <v>214</v>
      </c>
      <c r="H163" s="323" t="n">
        <v>0.0939</v>
      </c>
      <c r="I163" s="305" t="s">
        <v>225</v>
      </c>
      <c r="J163" s="308" t="n">
        <f aca="false">H163-L163</f>
        <v>0.0319</v>
      </c>
      <c r="K163" s="305" t="s">
        <v>226</v>
      </c>
      <c r="L163" s="323" t="n">
        <f aca="false">0.095-0.033</f>
        <v>0.062</v>
      </c>
      <c r="M163" s="305" t="s">
        <v>217</v>
      </c>
      <c r="N163" s="335" t="n">
        <v>66.5</v>
      </c>
      <c r="O163" s="305" t="s">
        <v>218</v>
      </c>
      <c r="P163" s="335" t="n">
        <v>66.5</v>
      </c>
      <c r="Q163" s="305" t="s">
        <v>219</v>
      </c>
      <c r="R163" s="324" t="n">
        <v>133</v>
      </c>
      <c r="S163" s="305" t="s">
        <v>220</v>
      </c>
      <c r="T163" s="324" t="n">
        <v>24</v>
      </c>
      <c r="U163" s="305" t="s">
        <v>8</v>
      </c>
      <c r="V163" s="325" t="s">
        <v>250</v>
      </c>
      <c r="W163" s="311" t="s">
        <v>221</v>
      </c>
      <c r="X163" s="334" t="n">
        <v>1.2</v>
      </c>
      <c r="Y163" s="311" t="s">
        <v>222</v>
      </c>
      <c r="Z163" s="310" t="n">
        <v>13</v>
      </c>
    </row>
    <row r="164" customFormat="false" ht="12.75" hidden="false" customHeight="false" outlineLevel="0" collapsed="false">
      <c r="A164" s="303" t="s">
        <v>227</v>
      </c>
      <c r="B164" s="326" t="n">
        <v>0</v>
      </c>
      <c r="C164" s="327" t="n">
        <v>0.015</v>
      </c>
      <c r="D164" s="327" t="n">
        <v>0.022</v>
      </c>
      <c r="E164" s="327" t="n">
        <v>0.064</v>
      </c>
      <c r="F164" s="327" t="n">
        <v>0.118</v>
      </c>
      <c r="G164" s="327" t="n">
        <v>0.342</v>
      </c>
      <c r="H164" s="327" t="n">
        <v>0.536</v>
      </c>
      <c r="I164" s="327" t="n">
        <v>0.743</v>
      </c>
      <c r="J164" s="327" t="n">
        <v>0.884</v>
      </c>
      <c r="K164" s="327" t="n">
        <v>0.976</v>
      </c>
      <c r="L164" s="327" t="n">
        <v>1.096</v>
      </c>
      <c r="M164" s="327" t="n">
        <v>1.246</v>
      </c>
      <c r="N164" s="327" t="n">
        <v>1.298</v>
      </c>
      <c r="O164" s="327" t="n">
        <v>2</v>
      </c>
      <c r="P164" s="327" t="n">
        <v>2</v>
      </c>
      <c r="Q164" s="327" t="n">
        <v>2</v>
      </c>
      <c r="R164" s="327" t="n">
        <v>2</v>
      </c>
      <c r="S164" s="327" t="n">
        <v>2</v>
      </c>
      <c r="T164" s="327" t="n">
        <v>2</v>
      </c>
      <c r="U164" s="327" t="n">
        <v>2</v>
      </c>
      <c r="V164" s="327" t="n">
        <v>2</v>
      </c>
      <c r="W164" s="327" t="n">
        <v>2</v>
      </c>
      <c r="X164" s="327" t="n">
        <f aca="false">W164</f>
        <v>2</v>
      </c>
      <c r="Y164" s="315" t="n">
        <v>1000</v>
      </c>
    </row>
    <row r="165" customFormat="false" ht="12.75" hidden="false" customHeight="false" outlineLevel="0" collapsed="false">
      <c r="A165" s="328" t="s">
        <v>228</v>
      </c>
      <c r="B165" s="329" t="n">
        <v>0</v>
      </c>
      <c r="C165" s="330" t="n">
        <v>64.982</v>
      </c>
      <c r="D165" s="330" t="n">
        <v>69.516</v>
      </c>
      <c r="E165" s="330" t="n">
        <v>55.537</v>
      </c>
      <c r="F165" s="330" t="n">
        <v>62.81</v>
      </c>
      <c r="G165" s="330" t="n">
        <v>62.149</v>
      </c>
      <c r="H165" s="330" t="n">
        <v>59.41</v>
      </c>
      <c r="I165" s="330" t="n">
        <v>53.837</v>
      </c>
      <c r="J165" s="330" t="n">
        <v>46.942</v>
      </c>
      <c r="K165" s="330" t="n">
        <v>40.047</v>
      </c>
      <c r="L165" s="330" t="n">
        <v>12.562</v>
      </c>
      <c r="M165" s="330" t="n">
        <v>2.078</v>
      </c>
      <c r="N165" s="330" t="n">
        <v>0</v>
      </c>
      <c r="O165" s="330" t="n">
        <v>0</v>
      </c>
      <c r="P165" s="330" t="n">
        <v>0</v>
      </c>
      <c r="Q165" s="330" t="n">
        <v>0</v>
      </c>
      <c r="R165" s="330" t="n">
        <v>0</v>
      </c>
      <c r="S165" s="330" t="n">
        <v>0</v>
      </c>
      <c r="T165" s="330" t="n">
        <f aca="false">S165</f>
        <v>0</v>
      </c>
      <c r="U165" s="330" t="n">
        <f aca="false">T165</f>
        <v>0</v>
      </c>
      <c r="V165" s="330" t="n">
        <f aca="false">U165</f>
        <v>0</v>
      </c>
      <c r="W165" s="330" t="n">
        <f aca="false">V165</f>
        <v>0</v>
      </c>
      <c r="X165" s="330" t="n">
        <f aca="false">W165</f>
        <v>0</v>
      </c>
      <c r="Y165" s="331" t="n">
        <v>0</v>
      </c>
    </row>
    <row r="166" customFormat="false" ht="13.5" hidden="false" customHeight="false" outlineLevel="0" collapsed="false">
      <c r="A166" s="316" t="s">
        <v>229</v>
      </c>
      <c r="B166" s="332" t="n">
        <f aca="false">(C165+B165)*(C164-B164)/2</f>
        <v>0.487365</v>
      </c>
      <c r="C166" s="333" t="n">
        <f aca="false">(D165+C165)*(D164-C164)/2</f>
        <v>0.470743</v>
      </c>
      <c r="D166" s="333" t="n">
        <f aca="false">(E165+D165)*(E164-D164)/2</f>
        <v>2.626113</v>
      </c>
      <c r="E166" s="333" t="n">
        <f aca="false">(F165+E165)*(F164-E164)/2</f>
        <v>3.195369</v>
      </c>
      <c r="F166" s="333" t="n">
        <f aca="false">(G165+F165)*(G164-F164)/2</f>
        <v>13.995408</v>
      </c>
      <c r="G166" s="333" t="n">
        <f aca="false">(H165+G165)*(H164-G164)/2</f>
        <v>11.791223</v>
      </c>
      <c r="H166" s="333" t="n">
        <f aca="false">(I165+H165)*(I164-H164)/2</f>
        <v>11.7210645</v>
      </c>
      <c r="I166" s="333" t="n">
        <f aca="false">(J165+I165)*(J164-I164)/2</f>
        <v>7.1049195</v>
      </c>
      <c r="J166" s="333" t="n">
        <f aca="false">(K165+J165)*(K164-J164)/2</f>
        <v>4.001494</v>
      </c>
      <c r="K166" s="333" t="n">
        <f aca="false">(L165+K165)*(L164-K164)/2</f>
        <v>3.15654</v>
      </c>
      <c r="L166" s="333" t="n">
        <f aca="false">(M165+L165)*(M164-L164)/2</f>
        <v>1.098</v>
      </c>
      <c r="M166" s="333" t="n">
        <f aca="false">(N165+M165)*(N164-M164)/2</f>
        <v>0.054028</v>
      </c>
      <c r="N166" s="333" t="n">
        <f aca="false">(O165+N165)*(O164-N164)/2</f>
        <v>0</v>
      </c>
      <c r="O166" s="333" t="n">
        <f aca="false">(P165+O165)*(P164-O164)/2</f>
        <v>0</v>
      </c>
      <c r="P166" s="333" t="n">
        <f aca="false">(Q165+P165)*(Q164-P164)/2</f>
        <v>0</v>
      </c>
      <c r="Q166" s="333" t="n">
        <f aca="false">(R165+Q165)*(R164-Q164)/2</f>
        <v>0</v>
      </c>
      <c r="R166" s="333" t="n">
        <f aca="false">(S165+R165)*(S164-R164)/2</f>
        <v>0</v>
      </c>
      <c r="S166" s="333" t="n">
        <f aca="false">(T165+S165)*(T164-S164)/2</f>
        <v>0</v>
      </c>
      <c r="T166" s="333" t="n">
        <f aca="false">(U165+T165)*(U164-T164)/2</f>
        <v>0</v>
      </c>
      <c r="U166" s="333" t="n">
        <f aca="false">(V165+U165)*(V164-U164)/2</f>
        <v>0</v>
      </c>
      <c r="V166" s="333" t="n">
        <f aca="false">(W165+V165)*(W164-V164)/2</f>
        <v>0</v>
      </c>
      <c r="W166" s="333" t="n">
        <f aca="false">(X165+W165)*(X164-W164)/2</f>
        <v>0</v>
      </c>
      <c r="X166" s="333" t="n">
        <f aca="false">(Y165+X165)*(Y164-X164)/2</f>
        <v>0</v>
      </c>
      <c r="Y166" s="319"/>
    </row>
    <row r="167" customFormat="false" ht="13.5" hidden="false" customHeight="false" outlineLevel="0" collapsed="false"/>
    <row r="168" customFormat="false" ht="13.5" hidden="false" customHeight="false" outlineLevel="0" collapsed="false">
      <c r="A168" s="321" t="s">
        <v>267</v>
      </c>
      <c r="B168" s="322" t="n">
        <f aca="false">ROW(A168)</f>
        <v>168</v>
      </c>
      <c r="C168" s="305" t="s">
        <v>212</v>
      </c>
      <c r="D168" s="306" t="n">
        <f aca="false">SUM(B171:Y171)</f>
        <v>68.380603</v>
      </c>
      <c r="E168" s="305" t="s">
        <v>213</v>
      </c>
      <c r="F168" s="307" t="n">
        <f aca="false">D168/g/J168</f>
        <v>134.048073002431</v>
      </c>
      <c r="G168" s="305" t="s">
        <v>214</v>
      </c>
      <c r="H168" s="323" t="n">
        <v>0.1075</v>
      </c>
      <c r="I168" s="305" t="s">
        <v>225</v>
      </c>
      <c r="J168" s="308" t="n">
        <f aca="false">H168-L168</f>
        <v>0.052</v>
      </c>
      <c r="K168" s="305" t="s">
        <v>226</v>
      </c>
      <c r="L168" s="323" t="n">
        <v>0.0555</v>
      </c>
      <c r="M168" s="305" t="s">
        <v>217</v>
      </c>
      <c r="N168" s="335" t="n">
        <v>66.5</v>
      </c>
      <c r="O168" s="305" t="s">
        <v>218</v>
      </c>
      <c r="P168" s="335" t="n">
        <v>66.5</v>
      </c>
      <c r="Q168" s="305" t="s">
        <v>219</v>
      </c>
      <c r="R168" s="324" t="n">
        <v>133</v>
      </c>
      <c r="S168" s="305" t="s">
        <v>220</v>
      </c>
      <c r="T168" s="324" t="n">
        <v>24</v>
      </c>
      <c r="U168" s="305" t="s">
        <v>8</v>
      </c>
      <c r="V168" s="325" t="s">
        <v>250</v>
      </c>
      <c r="W168" s="311" t="s">
        <v>221</v>
      </c>
      <c r="X168" s="334" t="n">
        <v>0.86</v>
      </c>
      <c r="Y168" s="311" t="s">
        <v>222</v>
      </c>
      <c r="Z168" s="310" t="n">
        <v>13</v>
      </c>
    </row>
    <row r="169" customFormat="false" ht="12.75" hidden="false" customHeight="false" outlineLevel="0" collapsed="false">
      <c r="A169" s="303" t="s">
        <v>227</v>
      </c>
      <c r="B169" s="326" t="n">
        <v>0</v>
      </c>
      <c r="C169" s="327" t="n">
        <v>0.005</v>
      </c>
      <c r="D169" s="327" t="n">
        <v>0.013</v>
      </c>
      <c r="E169" s="327" t="n">
        <v>0.022</v>
      </c>
      <c r="F169" s="327" t="n">
        <v>0.043</v>
      </c>
      <c r="G169" s="327" t="n">
        <v>0.119</v>
      </c>
      <c r="H169" s="327" t="n">
        <v>0.198</v>
      </c>
      <c r="I169" s="327" t="n">
        <v>0.267</v>
      </c>
      <c r="J169" s="327" t="n">
        <v>0.343</v>
      </c>
      <c r="K169" s="327" t="n">
        <v>0.404</v>
      </c>
      <c r="L169" s="327" t="n">
        <v>0.498</v>
      </c>
      <c r="M169" s="327" t="n">
        <v>0.555</v>
      </c>
      <c r="N169" s="327" t="n">
        <v>0.622</v>
      </c>
      <c r="O169" s="327" t="n">
        <v>0.663</v>
      </c>
      <c r="P169" s="327" t="n">
        <v>0.704</v>
      </c>
      <c r="Q169" s="327" t="n">
        <v>0.729</v>
      </c>
      <c r="R169" s="327" t="n">
        <v>0.747</v>
      </c>
      <c r="S169" s="327" t="n">
        <v>0.768</v>
      </c>
      <c r="T169" s="327" t="n">
        <v>0.821</v>
      </c>
      <c r="U169" s="327" t="n">
        <v>0.852</v>
      </c>
      <c r="V169" s="327" t="n">
        <v>0.892</v>
      </c>
      <c r="W169" s="327" t="n">
        <v>1</v>
      </c>
      <c r="X169" s="327" t="n">
        <v>2</v>
      </c>
      <c r="Y169" s="315" t="n">
        <v>1000</v>
      </c>
    </row>
    <row r="170" customFormat="false" ht="12.75" hidden="false" customHeight="false" outlineLevel="0" collapsed="false">
      <c r="A170" s="328" t="s">
        <v>228</v>
      </c>
      <c r="B170" s="329" t="n">
        <v>0</v>
      </c>
      <c r="C170" s="330" t="n">
        <v>60</v>
      </c>
      <c r="D170" s="330" t="n">
        <v>89.007</v>
      </c>
      <c r="E170" s="330" t="n">
        <v>96.291</v>
      </c>
      <c r="F170" s="330" t="n">
        <v>81.722</v>
      </c>
      <c r="G170" s="330" t="n">
        <v>85.563</v>
      </c>
      <c r="H170" s="330" t="n">
        <v>87.947</v>
      </c>
      <c r="I170" s="330" t="n">
        <v>89.272</v>
      </c>
      <c r="J170" s="330" t="n">
        <v>89.934</v>
      </c>
      <c r="K170" s="330" t="n">
        <v>90.861</v>
      </c>
      <c r="L170" s="330" t="n">
        <v>91.523</v>
      </c>
      <c r="M170" s="330" t="n">
        <v>89.669</v>
      </c>
      <c r="N170" s="330" t="n">
        <v>83.974</v>
      </c>
      <c r="O170" s="330" t="n">
        <v>80.53</v>
      </c>
      <c r="P170" s="330" t="n">
        <v>78.94</v>
      </c>
      <c r="Q170" s="330" t="n">
        <v>74.172</v>
      </c>
      <c r="R170" s="330" t="n">
        <v>66.887</v>
      </c>
      <c r="S170" s="330" t="n">
        <v>53.775</v>
      </c>
      <c r="T170" s="330" t="n">
        <v>18.543</v>
      </c>
      <c r="U170" s="330" t="n">
        <v>7.815</v>
      </c>
      <c r="V170" s="330" t="n">
        <v>2.119</v>
      </c>
      <c r="W170" s="330" t="n">
        <v>0</v>
      </c>
      <c r="X170" s="330" t="n">
        <v>0</v>
      </c>
      <c r="Y170" s="331" t="n">
        <v>0</v>
      </c>
    </row>
    <row r="171" customFormat="false" ht="13.5" hidden="false" customHeight="false" outlineLevel="0" collapsed="false">
      <c r="A171" s="316" t="s">
        <v>229</v>
      </c>
      <c r="B171" s="332" t="n">
        <f aca="false">(C170+B170)*(C169-B169)/2</f>
        <v>0.15</v>
      </c>
      <c r="C171" s="333" t="n">
        <f aca="false">(D170+C170)*(D169-C169)/2</f>
        <v>0.596028</v>
      </c>
      <c r="D171" s="333" t="n">
        <f aca="false">(E170+D170)*(E169-D169)/2</f>
        <v>0.833841</v>
      </c>
      <c r="E171" s="333" t="n">
        <f aca="false">(F170+E170)*(F169-E169)/2</f>
        <v>1.8691365</v>
      </c>
      <c r="F171" s="333" t="n">
        <f aca="false">(G170+F170)*(G169-F169)/2</f>
        <v>6.35683</v>
      </c>
      <c r="G171" s="333" t="n">
        <f aca="false">(H170+G170)*(H169-G169)/2</f>
        <v>6.853645</v>
      </c>
      <c r="H171" s="333" t="n">
        <f aca="false">(I170+H170)*(I169-H169)/2</f>
        <v>6.1140555</v>
      </c>
      <c r="I171" s="333" t="n">
        <f aca="false">(J170+I170)*(J169-I169)/2</f>
        <v>6.809828</v>
      </c>
      <c r="J171" s="333" t="n">
        <f aca="false">(K170+J170)*(K169-J169)/2</f>
        <v>5.5142475</v>
      </c>
      <c r="K171" s="333" t="n">
        <f aca="false">(L170+K170)*(L169-K169)/2</f>
        <v>8.572048</v>
      </c>
      <c r="L171" s="333" t="n">
        <f aca="false">(M170+L170)*(M169-L169)/2</f>
        <v>5.16397200000001</v>
      </c>
      <c r="M171" s="333" t="n">
        <f aca="false">(N170+M170)*(N169-M169)/2</f>
        <v>5.8170405</v>
      </c>
      <c r="N171" s="333" t="n">
        <f aca="false">(O170+N170)*(O169-N169)/2</f>
        <v>3.372332</v>
      </c>
      <c r="O171" s="333" t="n">
        <f aca="false">(P170+O170)*(P169-O169)/2</f>
        <v>3.26913499999999</v>
      </c>
      <c r="P171" s="333" t="n">
        <f aca="false">(Q170+P170)*(Q169-P169)/2</f>
        <v>1.9139</v>
      </c>
      <c r="Q171" s="333" t="n">
        <f aca="false">(R170+Q170)*(R169-Q169)/2</f>
        <v>1.269531</v>
      </c>
      <c r="R171" s="333" t="n">
        <f aca="false">(S170+R170)*(S169-R169)/2</f>
        <v>1.266951</v>
      </c>
      <c r="S171" s="333" t="n">
        <f aca="false">(T170+S170)*(T169-S169)/2</f>
        <v>1.916427</v>
      </c>
      <c r="T171" s="333" t="n">
        <f aca="false">(U170+T170)*(U169-T169)/2</f>
        <v>0.408549</v>
      </c>
      <c r="U171" s="333" t="n">
        <f aca="false">(V170+U170)*(V169-U169)/2</f>
        <v>0.19868</v>
      </c>
      <c r="V171" s="333" t="n">
        <f aca="false">(W170+V170)*(W169-V169)/2</f>
        <v>0.114426</v>
      </c>
      <c r="W171" s="333" t="n">
        <f aca="false">(X170+W170)*(X169-W169)/2</f>
        <v>0</v>
      </c>
      <c r="X171" s="333" t="n">
        <f aca="false">(Y170+X170)*(Y169-X169)/2</f>
        <v>0</v>
      </c>
      <c r="Y171" s="319"/>
    </row>
    <row r="172" customFormat="false" ht="13.5" hidden="false" customHeight="false" outlineLevel="0" collapsed="false">
      <c r="B172" s="320"/>
      <c r="C172" s="320"/>
      <c r="D172" s="320"/>
      <c r="E172" s="320"/>
      <c r="F172" s="320"/>
      <c r="G172" s="320"/>
      <c r="H172" s="320"/>
      <c r="I172" s="320"/>
      <c r="J172" s="320"/>
      <c r="K172" s="320"/>
      <c r="L172" s="320"/>
      <c r="M172" s="320"/>
      <c r="N172" s="320"/>
      <c r="O172" s="320"/>
      <c r="P172" s="320"/>
      <c r="Q172" s="320"/>
      <c r="R172" s="320"/>
      <c r="S172" s="320"/>
      <c r="T172" s="320"/>
      <c r="U172" s="320"/>
      <c r="V172" s="320"/>
      <c r="W172" s="320"/>
      <c r="X172" s="320"/>
      <c r="Y172" s="320"/>
    </row>
    <row r="173" customFormat="false" ht="13.5" hidden="false" customHeight="false" outlineLevel="0" collapsed="false">
      <c r="A173" s="321" t="s">
        <v>268</v>
      </c>
      <c r="B173" s="322" t="n">
        <f aca="false">ROW(A173)</f>
        <v>173</v>
      </c>
      <c r="C173" s="305" t="s">
        <v>212</v>
      </c>
      <c r="D173" s="306" t="n">
        <f aca="false">SUM(B176:Y176)</f>
        <v>67.9854285</v>
      </c>
      <c r="E173" s="305" t="s">
        <v>213</v>
      </c>
      <c r="F173" s="307" t="n">
        <f aca="false">D173/g/J173</f>
        <v>181.895458595199</v>
      </c>
      <c r="G173" s="305" t="s">
        <v>214</v>
      </c>
      <c r="H173" s="323" t="n">
        <v>0.0918</v>
      </c>
      <c r="I173" s="305" t="s">
        <v>225</v>
      </c>
      <c r="J173" s="308" t="n">
        <f aca="false">H173-L173</f>
        <v>0.0381</v>
      </c>
      <c r="K173" s="305" t="s">
        <v>226</v>
      </c>
      <c r="L173" s="323" t="n">
        <v>0.0537</v>
      </c>
      <c r="M173" s="305" t="s">
        <v>217</v>
      </c>
      <c r="N173" s="335" t="n">
        <v>66.5</v>
      </c>
      <c r="O173" s="305" t="s">
        <v>218</v>
      </c>
      <c r="P173" s="335" t="n">
        <v>66.5</v>
      </c>
      <c r="Q173" s="305" t="s">
        <v>219</v>
      </c>
      <c r="R173" s="324" t="n">
        <v>133</v>
      </c>
      <c r="S173" s="305" t="s">
        <v>220</v>
      </c>
      <c r="T173" s="324" t="n">
        <v>24</v>
      </c>
      <c r="U173" s="305" t="s">
        <v>8</v>
      </c>
      <c r="V173" s="325" t="s">
        <v>250</v>
      </c>
      <c r="W173" s="311" t="s">
        <v>221</v>
      </c>
      <c r="X173" s="334" t="n">
        <v>0.33</v>
      </c>
      <c r="Y173" s="311" t="s">
        <v>222</v>
      </c>
      <c r="Z173" s="310" t="n">
        <v>15</v>
      </c>
    </row>
    <row r="174" customFormat="false" ht="12.75" hidden="false" customHeight="false" outlineLevel="0" collapsed="false">
      <c r="A174" s="303" t="s">
        <v>227</v>
      </c>
      <c r="B174" s="326" t="n">
        <v>0</v>
      </c>
      <c r="C174" s="327" t="n">
        <v>0.004</v>
      </c>
      <c r="D174" s="327" t="n">
        <v>0.007</v>
      </c>
      <c r="E174" s="327" t="n">
        <v>0.01</v>
      </c>
      <c r="F174" s="327" t="n">
        <v>0.022</v>
      </c>
      <c r="G174" s="327" t="n">
        <v>0.028</v>
      </c>
      <c r="H174" s="327" t="n">
        <v>0.041</v>
      </c>
      <c r="I174" s="327" t="n">
        <v>0.058</v>
      </c>
      <c r="J174" s="327" t="n">
        <v>0.077</v>
      </c>
      <c r="K174" s="327" t="n">
        <v>0.089</v>
      </c>
      <c r="L174" s="327" t="n">
        <v>0.097</v>
      </c>
      <c r="M174" s="327" t="n">
        <v>0.119</v>
      </c>
      <c r="N174" s="327" t="n">
        <v>0.147</v>
      </c>
      <c r="O174" s="327" t="n">
        <v>0.177</v>
      </c>
      <c r="P174" s="327" t="n">
        <v>0.207</v>
      </c>
      <c r="Q174" s="327" t="n">
        <v>0.253</v>
      </c>
      <c r="R174" s="327" t="n">
        <v>0.259</v>
      </c>
      <c r="S174" s="327" t="n">
        <v>0.272</v>
      </c>
      <c r="T174" s="327" t="n">
        <v>0.28</v>
      </c>
      <c r="U174" s="327" t="n">
        <v>0.286</v>
      </c>
      <c r="V174" s="327" t="n">
        <v>0.294</v>
      </c>
      <c r="W174" s="327" t="n">
        <v>0.328</v>
      </c>
      <c r="X174" s="327" t="n">
        <v>2</v>
      </c>
      <c r="Y174" s="315" t="n">
        <v>1000</v>
      </c>
    </row>
    <row r="175" customFormat="false" ht="12.75" hidden="false" customHeight="false" outlineLevel="0" collapsed="false">
      <c r="A175" s="328" t="s">
        <v>228</v>
      </c>
      <c r="B175" s="329" t="n">
        <v>0</v>
      </c>
      <c r="C175" s="337" t="n">
        <v>100.528</v>
      </c>
      <c r="D175" s="337" t="n">
        <v>197.493</v>
      </c>
      <c r="E175" s="337" t="n">
        <v>222.032</v>
      </c>
      <c r="F175" s="337" t="n">
        <v>241.425</v>
      </c>
      <c r="G175" s="337" t="n">
        <v>237.863</v>
      </c>
      <c r="H175" s="337" t="n">
        <v>239.446</v>
      </c>
      <c r="I175" s="337" t="n">
        <v>252.507</v>
      </c>
      <c r="J175" s="337" t="n">
        <v>263.984</v>
      </c>
      <c r="K175" s="337" t="n">
        <v>275.462</v>
      </c>
      <c r="L175" s="337" t="n">
        <v>271.504</v>
      </c>
      <c r="M175" s="337" t="n">
        <v>278.628</v>
      </c>
      <c r="N175" s="337" t="n">
        <v>281.398</v>
      </c>
      <c r="O175" s="337" t="n">
        <v>272.296</v>
      </c>
      <c r="P175" s="337" t="n">
        <v>258.443</v>
      </c>
      <c r="Q175" s="337" t="n">
        <v>218.47</v>
      </c>
      <c r="R175" s="337" t="n">
        <v>188.786</v>
      </c>
      <c r="S175" s="337" t="n">
        <v>74.802</v>
      </c>
      <c r="T175" s="337" t="n">
        <v>31.266</v>
      </c>
      <c r="U175" s="337" t="n">
        <v>15.831</v>
      </c>
      <c r="V175" s="337" t="n">
        <v>8.707</v>
      </c>
      <c r="W175" s="337" t="n">
        <v>0</v>
      </c>
      <c r="X175" s="330" t="n">
        <v>0</v>
      </c>
      <c r="Y175" s="331" t="n">
        <v>0</v>
      </c>
    </row>
    <row r="176" customFormat="false" ht="13.5" hidden="false" customHeight="false" outlineLevel="0" collapsed="false">
      <c r="A176" s="316" t="s">
        <v>229</v>
      </c>
      <c r="B176" s="332" t="n">
        <f aca="false">(C175+B175)*(C174-B174)/2</f>
        <v>0.201056</v>
      </c>
      <c r="C176" s="333" t="n">
        <f aca="false">(D175+C175)*(D174-C174)/2</f>
        <v>0.4470315</v>
      </c>
      <c r="D176" s="333" t="n">
        <f aca="false">(E175+D175)*(E174-D174)/2</f>
        <v>0.6292875</v>
      </c>
      <c r="E176" s="333" t="n">
        <f aca="false">(F175+E175)*(F174-E174)/2</f>
        <v>2.780742</v>
      </c>
      <c r="F176" s="333" t="n">
        <f aca="false">(G175+F175)*(G174-F174)/2</f>
        <v>1.437864</v>
      </c>
      <c r="G176" s="333" t="n">
        <f aca="false">(H175+G175)*(H174-G174)/2</f>
        <v>3.1025085</v>
      </c>
      <c r="H176" s="333" t="n">
        <f aca="false">(I175+H175)*(I174-H174)/2</f>
        <v>4.1816005</v>
      </c>
      <c r="I176" s="333" t="n">
        <f aca="false">(J175+I175)*(J174-I174)/2</f>
        <v>4.9066645</v>
      </c>
      <c r="J176" s="333" t="n">
        <f aca="false">(K175+J175)*(K174-J174)/2</f>
        <v>3.236676</v>
      </c>
      <c r="K176" s="333" t="n">
        <f aca="false">(L175+K175)*(L174-K174)/2</f>
        <v>2.187864</v>
      </c>
      <c r="L176" s="333" t="n">
        <f aca="false">(M175+L175)*(M174-L174)/2</f>
        <v>6.051452</v>
      </c>
      <c r="M176" s="333" t="n">
        <f aca="false">(N175+M175)*(N174-M174)/2</f>
        <v>7.840364</v>
      </c>
      <c r="N176" s="333" t="n">
        <f aca="false">(O175+N175)*(O174-N174)/2</f>
        <v>8.30541</v>
      </c>
      <c r="O176" s="333" t="n">
        <f aca="false">(P175+O175)*(P174-O174)/2</f>
        <v>7.961085</v>
      </c>
      <c r="P176" s="333" t="n">
        <f aca="false">(Q175+P175)*(Q174-P174)/2</f>
        <v>10.968999</v>
      </c>
      <c r="Q176" s="333" t="n">
        <f aca="false">(R175+Q175)*(R174-Q174)/2</f>
        <v>1.221768</v>
      </c>
      <c r="R176" s="333" t="n">
        <f aca="false">(S175+R175)*(S174-R174)/2</f>
        <v>1.713322</v>
      </c>
      <c r="S176" s="333" t="n">
        <f aca="false">(T175+S175)*(T174-S174)/2</f>
        <v>0.424272</v>
      </c>
      <c r="T176" s="333" t="n">
        <f aca="false">(U175+T175)*(U174-T174)/2</f>
        <v>0.141290999999999</v>
      </c>
      <c r="U176" s="333" t="n">
        <f aca="false">(V175+U175)*(V174-U174)/2</f>
        <v>0.0981520000000001</v>
      </c>
      <c r="V176" s="333" t="n">
        <f aca="false">(W175+V175)*(W174-V174)/2</f>
        <v>0.148019</v>
      </c>
      <c r="W176" s="333" t="n">
        <f aca="false">(X175+W175)*(X174-W174)/2</f>
        <v>0</v>
      </c>
      <c r="X176" s="333" t="n">
        <f aca="false">(Y175+X175)*(Y174-X174)/2</f>
        <v>0</v>
      </c>
      <c r="Y176" s="319"/>
    </row>
    <row r="177" customFormat="false" ht="13.5" hidden="false" customHeight="false" outlineLevel="0" collapsed="false">
      <c r="B177" s="320"/>
      <c r="C177" s="320"/>
      <c r="D177" s="320"/>
      <c r="E177" s="320"/>
      <c r="F177" s="320"/>
      <c r="G177" s="320"/>
      <c r="H177" s="320"/>
      <c r="I177" s="320"/>
      <c r="J177" s="320"/>
      <c r="K177" s="320"/>
      <c r="L177" s="320"/>
      <c r="M177" s="320"/>
      <c r="N177" s="320"/>
      <c r="O177" s="320"/>
      <c r="P177" s="320"/>
      <c r="Q177" s="320"/>
      <c r="R177" s="320"/>
      <c r="S177" s="320"/>
      <c r="T177" s="320"/>
      <c r="U177" s="320"/>
      <c r="V177" s="320"/>
      <c r="W177" s="320"/>
      <c r="X177" s="320"/>
      <c r="Y177" s="320"/>
    </row>
    <row r="178" customFormat="false" ht="13.5" hidden="false" customHeight="false" outlineLevel="0" collapsed="false">
      <c r="A178" s="321" t="s">
        <v>269</v>
      </c>
      <c r="B178" s="322" t="n">
        <f aca="false">ROW(A178)</f>
        <v>178</v>
      </c>
      <c r="C178" s="305" t="s">
        <v>212</v>
      </c>
      <c r="D178" s="306" t="n">
        <f aca="false">SUM(B181:Y181)</f>
        <v>73.5573815</v>
      </c>
      <c r="E178" s="305" t="s">
        <v>213</v>
      </c>
      <c r="F178" s="307" t="n">
        <f aca="false">D178/g/J178</f>
        <v>156.866193023087</v>
      </c>
      <c r="G178" s="305" t="s">
        <v>214</v>
      </c>
      <c r="H178" s="323" t="n">
        <v>0.1022</v>
      </c>
      <c r="I178" s="305" t="s">
        <v>225</v>
      </c>
      <c r="J178" s="308" t="n">
        <f aca="false">H178-L178</f>
        <v>0.0478</v>
      </c>
      <c r="K178" s="305" t="s">
        <v>226</v>
      </c>
      <c r="L178" s="323" t="n">
        <v>0.0544</v>
      </c>
      <c r="M178" s="305" t="s">
        <v>217</v>
      </c>
      <c r="N178" s="335" t="n">
        <v>66.5</v>
      </c>
      <c r="O178" s="305" t="s">
        <v>218</v>
      </c>
      <c r="P178" s="335" t="n">
        <v>66.5</v>
      </c>
      <c r="Q178" s="305" t="s">
        <v>219</v>
      </c>
      <c r="R178" s="324" t="n">
        <v>133</v>
      </c>
      <c r="S178" s="305" t="s">
        <v>220</v>
      </c>
      <c r="T178" s="324" t="n">
        <v>24</v>
      </c>
      <c r="U178" s="305" t="s">
        <v>8</v>
      </c>
      <c r="V178" s="325" t="s">
        <v>250</v>
      </c>
      <c r="W178" s="311" t="s">
        <v>221</v>
      </c>
      <c r="X178" s="334" t="n">
        <v>2.36</v>
      </c>
      <c r="Y178" s="311" t="s">
        <v>222</v>
      </c>
      <c r="Z178" s="310" t="n">
        <v>6</v>
      </c>
    </row>
    <row r="179" customFormat="false" ht="12.75" hidden="false" customHeight="false" outlineLevel="0" collapsed="false">
      <c r="A179" s="303" t="s">
        <v>227</v>
      </c>
      <c r="B179" s="326" t="n">
        <v>0</v>
      </c>
      <c r="C179" s="327" t="n">
        <v>0.014</v>
      </c>
      <c r="D179" s="327" t="n">
        <v>0.056</v>
      </c>
      <c r="E179" s="327" t="n">
        <v>0.092</v>
      </c>
      <c r="F179" s="327" t="n">
        <v>0.16</v>
      </c>
      <c r="G179" s="327" t="n">
        <v>0.232</v>
      </c>
      <c r="H179" s="327" t="n">
        <v>0.363</v>
      </c>
      <c r="I179" s="327" t="n">
        <v>0.499</v>
      </c>
      <c r="J179" s="327" t="n">
        <v>0.655</v>
      </c>
      <c r="K179" s="327" t="n">
        <v>0.843</v>
      </c>
      <c r="L179" s="327" t="n">
        <v>1.216</v>
      </c>
      <c r="M179" s="327" t="n">
        <v>1.368</v>
      </c>
      <c r="N179" s="327" t="n">
        <v>1.54</v>
      </c>
      <c r="O179" s="327" t="n">
        <v>1.675</v>
      </c>
      <c r="P179" s="327" t="n">
        <v>1.861</v>
      </c>
      <c r="Q179" s="327" t="n">
        <v>2.013</v>
      </c>
      <c r="R179" s="327" t="n">
        <v>2.159</v>
      </c>
      <c r="S179" s="327" t="n">
        <v>2.302</v>
      </c>
      <c r="T179" s="327" t="n">
        <v>2.462</v>
      </c>
      <c r="U179" s="327" t="n">
        <v>2.598</v>
      </c>
      <c r="V179" s="327" t="n">
        <v>2.598</v>
      </c>
      <c r="W179" s="327" t="n">
        <v>2.598</v>
      </c>
      <c r="X179" s="327" t="n">
        <v>2.598</v>
      </c>
      <c r="Y179" s="315" t="n">
        <v>1000</v>
      </c>
    </row>
    <row r="180" customFormat="false" ht="12.75" hidden="false" customHeight="false" outlineLevel="0" collapsed="false">
      <c r="A180" s="328" t="s">
        <v>228</v>
      </c>
      <c r="B180" s="329" t="n">
        <v>0</v>
      </c>
      <c r="C180" s="337" t="n">
        <v>54.222</v>
      </c>
      <c r="D180" s="337" t="n">
        <v>43.456</v>
      </c>
      <c r="E180" s="337" t="n">
        <v>50.185</v>
      </c>
      <c r="F180" s="337" t="n">
        <v>54.063</v>
      </c>
      <c r="G180" s="337" t="n">
        <v>48.364</v>
      </c>
      <c r="H180" s="337" t="n">
        <v>45.752</v>
      </c>
      <c r="I180" s="337" t="n">
        <v>43.14</v>
      </c>
      <c r="J180" s="337" t="n">
        <v>40.29</v>
      </c>
      <c r="K180" s="337" t="n">
        <v>37.836</v>
      </c>
      <c r="L180" s="337" t="n">
        <v>32.612</v>
      </c>
      <c r="M180" s="337" t="n">
        <v>30.317</v>
      </c>
      <c r="N180" s="337" t="n">
        <v>26.359</v>
      </c>
      <c r="O180" s="337" t="n">
        <v>23.509</v>
      </c>
      <c r="P180" s="337" t="n">
        <v>19.077</v>
      </c>
      <c r="Q180" s="337" t="n">
        <v>14.565</v>
      </c>
      <c r="R180" s="337" t="n">
        <v>10.053</v>
      </c>
      <c r="S180" s="337" t="n">
        <v>4.828</v>
      </c>
      <c r="T180" s="337" t="n">
        <v>1.504</v>
      </c>
      <c r="U180" s="330" t="n">
        <v>0</v>
      </c>
      <c r="V180" s="330" t="n">
        <v>0</v>
      </c>
      <c r="W180" s="330" t="n">
        <v>0</v>
      </c>
      <c r="X180" s="330" t="n">
        <v>0</v>
      </c>
      <c r="Y180" s="331" t="n">
        <v>0</v>
      </c>
    </row>
    <row r="181" customFormat="false" ht="13.5" hidden="false" customHeight="false" outlineLevel="0" collapsed="false">
      <c r="A181" s="316" t="s">
        <v>229</v>
      </c>
      <c r="B181" s="332" t="n">
        <f aca="false">(C180+B180)*(C179-B179)/2</f>
        <v>0.379554</v>
      </c>
      <c r="C181" s="333" t="n">
        <f aca="false">(D180+C180)*(D179-C179)/2</f>
        <v>2.051238</v>
      </c>
      <c r="D181" s="333" t="n">
        <f aca="false">(E180+D180)*(E179-D179)/2</f>
        <v>1.685538</v>
      </c>
      <c r="E181" s="333" t="n">
        <f aca="false">(F180+E180)*(F179-E179)/2</f>
        <v>3.544432</v>
      </c>
      <c r="F181" s="333" t="n">
        <f aca="false">(G180+F180)*(G179-F179)/2</f>
        <v>3.687372</v>
      </c>
      <c r="G181" s="333" t="n">
        <f aca="false">(H180+G180)*(H179-G179)/2</f>
        <v>6.164598</v>
      </c>
      <c r="H181" s="333" t="n">
        <f aca="false">(I180+H180)*(I179-H179)/2</f>
        <v>6.044656</v>
      </c>
      <c r="I181" s="333" t="n">
        <f aca="false">(J180+I180)*(J179-I179)/2</f>
        <v>6.50754</v>
      </c>
      <c r="J181" s="333" t="n">
        <f aca="false">(K180+J180)*(K179-J179)/2</f>
        <v>7.343844</v>
      </c>
      <c r="K181" s="333" t="n">
        <f aca="false">(L180+K180)*(L179-K179)/2</f>
        <v>13.138552</v>
      </c>
      <c r="L181" s="333" t="n">
        <f aca="false">(M180+L180)*(M179-L179)/2</f>
        <v>4.782604</v>
      </c>
      <c r="M181" s="333" t="n">
        <f aca="false">(N180+M180)*(N179-M179)/2</f>
        <v>4.874136</v>
      </c>
      <c r="N181" s="333" t="n">
        <f aca="false">(O180+N180)*(O179-N179)/2</f>
        <v>3.36609</v>
      </c>
      <c r="O181" s="333" t="n">
        <f aca="false">(P180+O180)*(P179-O179)/2</f>
        <v>3.960498</v>
      </c>
      <c r="P181" s="333" t="n">
        <f aca="false">(Q180+P180)*(Q179-P179)/2</f>
        <v>2.556792</v>
      </c>
      <c r="Q181" s="333" t="n">
        <f aca="false">(R180+Q180)*(R179-Q179)/2</f>
        <v>1.797114</v>
      </c>
      <c r="R181" s="333" t="n">
        <f aca="false">(S180+R180)*(S179-R179)/2</f>
        <v>1.0639915</v>
      </c>
      <c r="S181" s="333" t="n">
        <f aca="false">(T180+S180)*(T179-S179)/2</f>
        <v>0.506560000000001</v>
      </c>
      <c r="T181" s="333" t="n">
        <f aca="false">(U180+T180)*(U179-T179)/2</f>
        <v>0.102272</v>
      </c>
      <c r="U181" s="333" t="n">
        <f aca="false">(V180+U180)*(V179-U179)/2</f>
        <v>0</v>
      </c>
      <c r="V181" s="333" t="n">
        <f aca="false">(W180+V180)*(W179-V179)/2</f>
        <v>0</v>
      </c>
      <c r="W181" s="333" t="n">
        <f aca="false">(X180+W180)*(X179-W179)/2</f>
        <v>0</v>
      </c>
      <c r="X181" s="333" t="n">
        <f aca="false">(Y180+X180)*(Y179-X179)/2</f>
        <v>0</v>
      </c>
      <c r="Y181" s="319"/>
    </row>
    <row r="182" customFormat="false" ht="13.5" hidden="false" customHeight="false" outlineLevel="0" collapsed="false">
      <c r="B182" s="320"/>
      <c r="C182" s="320"/>
      <c r="D182" s="320"/>
      <c r="E182" s="320"/>
      <c r="F182" s="320"/>
      <c r="G182" s="320"/>
      <c r="H182" s="320"/>
      <c r="I182" s="320"/>
      <c r="J182" s="320"/>
      <c r="K182" s="320"/>
      <c r="L182" s="320"/>
      <c r="M182" s="320"/>
      <c r="N182" s="320"/>
      <c r="O182" s="320"/>
      <c r="P182" s="320"/>
      <c r="Q182" s="320"/>
      <c r="R182" s="320"/>
      <c r="S182" s="320"/>
      <c r="T182" s="320"/>
      <c r="U182" s="320"/>
      <c r="V182" s="320"/>
      <c r="W182" s="320"/>
      <c r="X182" s="320"/>
      <c r="Y182" s="320"/>
    </row>
    <row r="183" customFormat="false" ht="13.5" hidden="false" customHeight="false" outlineLevel="0" collapsed="false">
      <c r="A183" s="321" t="s">
        <v>270</v>
      </c>
      <c r="B183" s="322" t="n">
        <f aca="false">ROW(A183)</f>
        <v>183</v>
      </c>
      <c r="C183" s="305" t="s">
        <v>212</v>
      </c>
      <c r="D183" s="306" t="n">
        <f aca="false">SUM(B186:Y186)</f>
        <v>73.169518</v>
      </c>
      <c r="E183" s="305" t="s">
        <v>213</v>
      </c>
      <c r="F183" s="307" t="n">
        <f aca="false">D183/g/J183</f>
        <v>177.587296733168</v>
      </c>
      <c r="G183" s="305" t="s">
        <v>214</v>
      </c>
      <c r="H183" s="323" t="n">
        <v>0.096</v>
      </c>
      <c r="I183" s="305" t="s">
        <v>225</v>
      </c>
      <c r="J183" s="308" t="n">
        <f aca="false">H183-L183</f>
        <v>0.042</v>
      </c>
      <c r="K183" s="305" t="s">
        <v>226</v>
      </c>
      <c r="L183" s="323" t="n">
        <v>0.054</v>
      </c>
      <c r="M183" s="305" t="s">
        <v>217</v>
      </c>
      <c r="N183" s="335" t="n">
        <v>66.5</v>
      </c>
      <c r="O183" s="305" t="s">
        <v>218</v>
      </c>
      <c r="P183" s="335" t="n">
        <v>66.5</v>
      </c>
      <c r="Q183" s="305" t="s">
        <v>219</v>
      </c>
      <c r="R183" s="324" t="n">
        <v>133</v>
      </c>
      <c r="S183" s="305" t="s">
        <v>220</v>
      </c>
      <c r="T183" s="324" t="n">
        <v>24</v>
      </c>
      <c r="U183" s="305" t="s">
        <v>8</v>
      </c>
      <c r="V183" s="325" t="s">
        <v>250</v>
      </c>
      <c r="W183" s="311" t="s">
        <v>221</v>
      </c>
      <c r="X183" s="334" t="n">
        <v>0.87</v>
      </c>
      <c r="Y183" s="311" t="s">
        <v>222</v>
      </c>
      <c r="Z183" s="310" t="n">
        <v>15</v>
      </c>
    </row>
    <row r="184" customFormat="false" ht="12.75" hidden="false" customHeight="false" outlineLevel="0" collapsed="false">
      <c r="A184" s="303" t="s">
        <v>227</v>
      </c>
      <c r="B184" s="326" t="n">
        <v>0</v>
      </c>
      <c r="C184" s="327" t="n">
        <v>0.01</v>
      </c>
      <c r="D184" s="327" t="n">
        <v>0.023</v>
      </c>
      <c r="E184" s="327" t="n">
        <v>0.04</v>
      </c>
      <c r="F184" s="327" t="n">
        <v>0.118</v>
      </c>
      <c r="G184" s="327" t="n">
        <v>0.283</v>
      </c>
      <c r="H184" s="327" t="n">
        <v>0.51</v>
      </c>
      <c r="I184" s="327" t="n">
        <v>0.688</v>
      </c>
      <c r="J184" s="327" t="n">
        <v>0.787</v>
      </c>
      <c r="K184" s="327" t="n">
        <v>0.852</v>
      </c>
      <c r="L184" s="327" t="n">
        <v>0.873</v>
      </c>
      <c r="M184" s="327" t="n">
        <v>0.873</v>
      </c>
      <c r="N184" s="327" t="n">
        <v>0.873</v>
      </c>
      <c r="O184" s="327" t="n">
        <v>0.873</v>
      </c>
      <c r="P184" s="327" t="n">
        <v>0.873</v>
      </c>
      <c r="Q184" s="327" t="n">
        <v>0.873</v>
      </c>
      <c r="R184" s="327" t="n">
        <v>0.873</v>
      </c>
      <c r="S184" s="327" t="n">
        <v>0.873</v>
      </c>
      <c r="T184" s="327" t="n">
        <v>0.873</v>
      </c>
      <c r="U184" s="327" t="n">
        <v>0.873</v>
      </c>
      <c r="V184" s="327" t="n">
        <v>0.873</v>
      </c>
      <c r="W184" s="327" t="n">
        <v>0.873</v>
      </c>
      <c r="X184" s="327" t="n">
        <v>2</v>
      </c>
      <c r="Y184" s="315" t="n">
        <v>1000</v>
      </c>
    </row>
    <row r="185" customFormat="false" ht="12.75" hidden="false" customHeight="false" outlineLevel="0" collapsed="false">
      <c r="A185" s="328" t="s">
        <v>228</v>
      </c>
      <c r="B185" s="329" t="n">
        <v>0</v>
      </c>
      <c r="C185" s="337" t="n">
        <v>76.074</v>
      </c>
      <c r="D185" s="337" t="n">
        <v>100.185</v>
      </c>
      <c r="E185" s="337" t="n">
        <v>92.425</v>
      </c>
      <c r="F185" s="337" t="n">
        <v>100.878</v>
      </c>
      <c r="G185" s="337" t="n">
        <v>102.402</v>
      </c>
      <c r="H185" s="337" t="n">
        <v>96.443</v>
      </c>
      <c r="I185" s="337" t="n">
        <v>87.436</v>
      </c>
      <c r="J185" s="337" t="n">
        <v>25.912</v>
      </c>
      <c r="K185" s="337" t="n">
        <v>7.206</v>
      </c>
      <c r="L185" s="330" t="n">
        <v>0</v>
      </c>
      <c r="M185" s="330" t="n">
        <v>0</v>
      </c>
      <c r="N185" s="330" t="n">
        <v>0</v>
      </c>
      <c r="O185" s="330" t="n">
        <v>0</v>
      </c>
      <c r="P185" s="330" t="n">
        <v>0</v>
      </c>
      <c r="Q185" s="330" t="n">
        <v>0</v>
      </c>
      <c r="R185" s="330" t="n">
        <v>0</v>
      </c>
      <c r="S185" s="330" t="n">
        <v>0</v>
      </c>
      <c r="T185" s="330" t="n">
        <v>0</v>
      </c>
      <c r="U185" s="330" t="n">
        <v>0</v>
      </c>
      <c r="V185" s="330" t="n">
        <v>0</v>
      </c>
      <c r="W185" s="330" t="n">
        <v>0</v>
      </c>
      <c r="X185" s="330" t="n">
        <v>0</v>
      </c>
      <c r="Y185" s="331" t="n">
        <v>0</v>
      </c>
    </row>
    <row r="186" customFormat="false" ht="13.5" hidden="false" customHeight="false" outlineLevel="0" collapsed="false">
      <c r="A186" s="316" t="s">
        <v>229</v>
      </c>
      <c r="B186" s="332" t="n">
        <f aca="false">(C185+B185)*(C184-B184)/2</f>
        <v>0.38037</v>
      </c>
      <c r="C186" s="333" t="n">
        <f aca="false">(D185+C185)*(D184-C184)/2</f>
        <v>1.1456835</v>
      </c>
      <c r="D186" s="333" t="n">
        <f aca="false">(E185+D185)*(E184-D184)/2</f>
        <v>1.637185</v>
      </c>
      <c r="E186" s="333" t="n">
        <f aca="false">(F185+E185)*(F184-E184)/2</f>
        <v>7.538817</v>
      </c>
      <c r="F186" s="333" t="n">
        <f aca="false">(G185+F185)*(G184-F184)/2</f>
        <v>16.7706</v>
      </c>
      <c r="G186" s="333" t="n">
        <f aca="false">(H185+G185)*(H184-G184)/2</f>
        <v>22.5689075</v>
      </c>
      <c r="H186" s="333" t="n">
        <f aca="false">(I185+H185)*(I184-H184)/2</f>
        <v>16.365231</v>
      </c>
      <c r="I186" s="333" t="n">
        <f aca="false">(J185+I185)*(J184-I184)/2</f>
        <v>5.61072600000001</v>
      </c>
      <c r="J186" s="333" t="n">
        <f aca="false">(K185+J185)*(K184-J184)/2</f>
        <v>1.076335</v>
      </c>
      <c r="K186" s="333" t="n">
        <f aca="false">(L185+K185)*(L184-K184)/2</f>
        <v>0.0756630000000001</v>
      </c>
      <c r="L186" s="333" t="n">
        <f aca="false">(M185+L185)*(M184-L184)/2</f>
        <v>0</v>
      </c>
      <c r="M186" s="333" t="n">
        <f aca="false">(N185+M185)*(N184-M184)/2</f>
        <v>0</v>
      </c>
      <c r="N186" s="333" t="n">
        <f aca="false">(O185+N185)*(O184-N184)/2</f>
        <v>0</v>
      </c>
      <c r="O186" s="333" t="n">
        <f aca="false">(P185+O185)*(P184-O184)/2</f>
        <v>0</v>
      </c>
      <c r="P186" s="333" t="n">
        <f aca="false">(Q185+P185)*(Q184-P184)/2</f>
        <v>0</v>
      </c>
      <c r="Q186" s="333" t="n">
        <f aca="false">(R185+Q185)*(R184-Q184)/2</f>
        <v>0</v>
      </c>
      <c r="R186" s="333" t="n">
        <f aca="false">(S185+R185)*(S184-R184)/2</f>
        <v>0</v>
      </c>
      <c r="S186" s="333" t="n">
        <f aca="false">(T185+S185)*(T184-S184)/2</f>
        <v>0</v>
      </c>
      <c r="T186" s="333" t="n">
        <f aca="false">(U185+T185)*(U184-T184)/2</f>
        <v>0</v>
      </c>
      <c r="U186" s="333" t="n">
        <f aca="false">(V185+U185)*(V184-U184)/2</f>
        <v>0</v>
      </c>
      <c r="V186" s="333" t="n">
        <f aca="false">(W185+V185)*(W184-V184)/2</f>
        <v>0</v>
      </c>
      <c r="W186" s="333" t="n">
        <f aca="false">(X185+W185)*(X184-W184)/2</f>
        <v>0</v>
      </c>
      <c r="X186" s="333" t="n">
        <f aca="false">(Y185+X185)*(Y184-X184)/2</f>
        <v>0</v>
      </c>
      <c r="Y186" s="319"/>
    </row>
    <row r="187" customFormat="false" ht="13.5" hidden="false" customHeight="false" outlineLevel="0" collapsed="false">
      <c r="B187" s="320"/>
      <c r="C187" s="320"/>
      <c r="D187" s="320"/>
      <c r="E187" s="320"/>
      <c r="F187" s="320"/>
      <c r="G187" s="320"/>
      <c r="H187" s="320"/>
      <c r="I187" s="320"/>
      <c r="J187" s="320"/>
      <c r="K187" s="320"/>
      <c r="L187" s="320"/>
      <c r="M187" s="320"/>
      <c r="N187" s="320"/>
      <c r="O187" s="320"/>
      <c r="P187" s="320"/>
      <c r="Q187" s="320"/>
      <c r="R187" s="320"/>
      <c r="S187" s="320"/>
      <c r="T187" s="320"/>
      <c r="U187" s="320"/>
      <c r="V187" s="320"/>
      <c r="W187" s="320"/>
      <c r="X187" s="320"/>
      <c r="Y187" s="320"/>
    </row>
    <row r="188" customFormat="false" ht="13.5" hidden="false" customHeight="false" outlineLevel="0" collapsed="false">
      <c r="A188" s="321" t="s">
        <v>271</v>
      </c>
      <c r="B188" s="322" t="n">
        <f aca="false">ROW(A188)</f>
        <v>188</v>
      </c>
      <c r="C188" s="305" t="s">
        <v>212</v>
      </c>
      <c r="D188" s="306" t="n">
        <f aca="false">SUM(B191:Y191)</f>
        <v>75.254384</v>
      </c>
      <c r="E188" s="305" t="s">
        <v>213</v>
      </c>
      <c r="F188" s="307" t="n">
        <f aca="false">D188/g/J188</f>
        <v>232.460334229142</v>
      </c>
      <c r="G188" s="305" t="s">
        <v>214</v>
      </c>
      <c r="H188" s="323" t="n">
        <v>0.095</v>
      </c>
      <c r="I188" s="305" t="s">
        <v>225</v>
      </c>
      <c r="J188" s="308" t="n">
        <f aca="false">H188-L188</f>
        <v>0.033</v>
      </c>
      <c r="K188" s="305" t="s">
        <v>226</v>
      </c>
      <c r="L188" s="323" t="n">
        <f aca="false">0.095-0.033</f>
        <v>0.062</v>
      </c>
      <c r="M188" s="305" t="s">
        <v>217</v>
      </c>
      <c r="N188" s="335" t="n">
        <v>66.5</v>
      </c>
      <c r="O188" s="305" t="s">
        <v>218</v>
      </c>
      <c r="P188" s="335" t="n">
        <v>66.5</v>
      </c>
      <c r="Q188" s="305" t="s">
        <v>219</v>
      </c>
      <c r="R188" s="324" t="n">
        <v>133</v>
      </c>
      <c r="S188" s="305" t="s">
        <v>220</v>
      </c>
      <c r="T188" s="324" t="n">
        <v>24</v>
      </c>
      <c r="U188" s="305" t="s">
        <v>8</v>
      </c>
      <c r="V188" s="325" t="s">
        <v>250</v>
      </c>
      <c r="W188" s="311" t="s">
        <v>221</v>
      </c>
      <c r="X188" s="334" t="n">
        <v>1.5</v>
      </c>
      <c r="Y188" s="311" t="s">
        <v>222</v>
      </c>
      <c r="Z188" s="310" t="n">
        <v>12</v>
      </c>
    </row>
    <row r="189" customFormat="false" ht="12.75" hidden="false" customHeight="false" outlineLevel="0" collapsed="false">
      <c r="A189" s="303" t="s">
        <v>227</v>
      </c>
      <c r="B189" s="326" t="n">
        <v>0</v>
      </c>
      <c r="C189" s="327" t="n">
        <v>0.02</v>
      </c>
      <c r="D189" s="327" t="n">
        <v>0.031</v>
      </c>
      <c r="E189" s="327" t="n">
        <v>0.062</v>
      </c>
      <c r="F189" s="327" t="n">
        <v>0.117</v>
      </c>
      <c r="G189" s="327" t="n">
        <v>1.211</v>
      </c>
      <c r="H189" s="327" t="n">
        <v>1.376</v>
      </c>
      <c r="I189" s="327" t="n">
        <v>1.456</v>
      </c>
      <c r="J189" s="327" t="n">
        <v>1.532</v>
      </c>
      <c r="K189" s="327" t="n">
        <v>1.577</v>
      </c>
      <c r="L189" s="327" t="n">
        <v>2</v>
      </c>
      <c r="M189" s="327" t="n">
        <v>2</v>
      </c>
      <c r="N189" s="327" t="n">
        <v>2</v>
      </c>
      <c r="O189" s="327" t="n">
        <v>2</v>
      </c>
      <c r="P189" s="327" t="n">
        <v>2</v>
      </c>
      <c r="Q189" s="327" t="n">
        <v>2</v>
      </c>
      <c r="R189" s="327" t="n">
        <v>2</v>
      </c>
      <c r="S189" s="327" t="n">
        <v>2</v>
      </c>
      <c r="T189" s="327" t="n">
        <v>2</v>
      </c>
      <c r="U189" s="327" t="n">
        <v>2</v>
      </c>
      <c r="V189" s="327" t="n">
        <v>2</v>
      </c>
      <c r="W189" s="327" t="n">
        <v>2</v>
      </c>
      <c r="X189" s="327" t="n">
        <f aca="false">W189</f>
        <v>2</v>
      </c>
      <c r="Y189" s="315" t="n">
        <v>1000</v>
      </c>
    </row>
    <row r="190" customFormat="false" ht="12.75" hidden="false" customHeight="false" outlineLevel="0" collapsed="false">
      <c r="A190" s="328" t="s">
        <v>228</v>
      </c>
      <c r="B190" s="329" t="n">
        <v>0</v>
      </c>
      <c r="C190" s="330" t="n">
        <v>75.924</v>
      </c>
      <c r="D190" s="330" t="n">
        <v>84.148</v>
      </c>
      <c r="E190" s="330" t="n">
        <v>70.441</v>
      </c>
      <c r="F190" s="330" t="n">
        <v>73.659</v>
      </c>
      <c r="G190" s="330" t="n">
        <v>38.737</v>
      </c>
      <c r="H190" s="330" t="n">
        <v>14.779</v>
      </c>
      <c r="I190" s="330" t="n">
        <v>7.271</v>
      </c>
      <c r="J190" s="330" t="n">
        <v>3.337</v>
      </c>
      <c r="K190" s="330" t="n">
        <v>0</v>
      </c>
      <c r="L190" s="330" t="n">
        <v>0</v>
      </c>
      <c r="M190" s="330" t="n">
        <v>0</v>
      </c>
      <c r="N190" s="330" t="n">
        <v>0</v>
      </c>
      <c r="O190" s="330" t="n">
        <v>0</v>
      </c>
      <c r="P190" s="330" t="n">
        <v>0</v>
      </c>
      <c r="Q190" s="330" t="n">
        <v>0</v>
      </c>
      <c r="R190" s="330" t="n">
        <v>0</v>
      </c>
      <c r="S190" s="330" t="n">
        <v>0</v>
      </c>
      <c r="T190" s="330" t="n">
        <f aca="false">S190</f>
        <v>0</v>
      </c>
      <c r="U190" s="330" t="n">
        <f aca="false">T190</f>
        <v>0</v>
      </c>
      <c r="V190" s="330" t="n">
        <f aca="false">U190</f>
        <v>0</v>
      </c>
      <c r="W190" s="330" t="n">
        <f aca="false">V190</f>
        <v>0</v>
      </c>
      <c r="X190" s="330" t="n">
        <f aca="false">W190</f>
        <v>0</v>
      </c>
      <c r="Y190" s="331" t="n">
        <v>0</v>
      </c>
    </row>
    <row r="191" customFormat="false" ht="13.5" hidden="false" customHeight="false" outlineLevel="0" collapsed="false">
      <c r="A191" s="316" t="s">
        <v>229</v>
      </c>
      <c r="B191" s="332" t="n">
        <f aca="false">(C190+B190)*(C189-B189)/2</f>
        <v>0.75924</v>
      </c>
      <c r="C191" s="333" t="n">
        <f aca="false">(D190+C190)*(D189-C189)/2</f>
        <v>0.880396</v>
      </c>
      <c r="D191" s="333" t="n">
        <f aca="false">(E190+D190)*(E189-D189)/2</f>
        <v>2.3961295</v>
      </c>
      <c r="E191" s="333" t="n">
        <f aca="false">(F190+E190)*(F189-E189)/2</f>
        <v>3.96275</v>
      </c>
      <c r="F191" s="333" t="n">
        <f aca="false">(G190+F190)*(G189-F189)/2</f>
        <v>61.480612</v>
      </c>
      <c r="G191" s="333" t="n">
        <f aca="false">(H190+G190)*(H189-G189)/2</f>
        <v>4.41507</v>
      </c>
      <c r="H191" s="333" t="n">
        <f aca="false">(I190+H190)*(I189-H189)/2</f>
        <v>0.882000000000001</v>
      </c>
      <c r="I191" s="333" t="n">
        <f aca="false">(J190+I190)*(J189-I189)/2</f>
        <v>0.403104</v>
      </c>
      <c r="J191" s="333" t="n">
        <f aca="false">(K190+J190)*(K189-J189)/2</f>
        <v>0.0750824999999999</v>
      </c>
      <c r="K191" s="333" t="n">
        <f aca="false">(L190+K190)*(L189-K189)/2</f>
        <v>0</v>
      </c>
      <c r="L191" s="333" t="n">
        <f aca="false">(M190+L190)*(M189-L189)/2</f>
        <v>0</v>
      </c>
      <c r="M191" s="333" t="n">
        <f aca="false">(N190+M190)*(N189-M189)/2</f>
        <v>0</v>
      </c>
      <c r="N191" s="333" t="n">
        <f aca="false">(O190+N190)*(O189-N189)/2</f>
        <v>0</v>
      </c>
      <c r="O191" s="333" t="n">
        <f aca="false">(P190+O190)*(P189-O189)/2</f>
        <v>0</v>
      </c>
      <c r="P191" s="333" t="n">
        <f aca="false">(Q190+P190)*(Q189-P189)/2</f>
        <v>0</v>
      </c>
      <c r="Q191" s="333" t="n">
        <f aca="false">(R190+Q190)*(R189-Q189)/2</f>
        <v>0</v>
      </c>
      <c r="R191" s="333" t="n">
        <f aca="false">(S190+R190)*(S189-R189)/2</f>
        <v>0</v>
      </c>
      <c r="S191" s="333" t="n">
        <f aca="false">(T190+S190)*(T189-S189)/2</f>
        <v>0</v>
      </c>
      <c r="T191" s="333" t="n">
        <f aca="false">(U190+T190)*(U189-T189)/2</f>
        <v>0</v>
      </c>
      <c r="U191" s="333" t="n">
        <f aca="false">(V190+U190)*(V189-U189)/2</f>
        <v>0</v>
      </c>
      <c r="V191" s="333" t="n">
        <f aca="false">(W190+V190)*(W189-V189)/2</f>
        <v>0</v>
      </c>
      <c r="W191" s="333" t="n">
        <f aca="false">(X190+W190)*(X189-W189)/2</f>
        <v>0</v>
      </c>
      <c r="X191" s="333" t="n">
        <f aca="false">(Y190+X190)*(Y189-X189)/2</f>
        <v>0</v>
      </c>
      <c r="Y191" s="319"/>
    </row>
    <row r="192" customFormat="false" ht="13.5" hidden="false" customHeight="false" outlineLevel="0" collapsed="false">
      <c r="A192" s="160" t="s">
        <v>272</v>
      </c>
      <c r="B192" s="320"/>
      <c r="C192" s="320"/>
      <c r="D192" s="320"/>
      <c r="E192" s="320"/>
      <c r="F192" s="320"/>
      <c r="G192" s="320"/>
      <c r="H192" s="320"/>
      <c r="I192" s="320"/>
      <c r="J192" s="320"/>
      <c r="K192" s="320"/>
      <c r="L192" s="320"/>
      <c r="M192" s="320"/>
      <c r="N192" s="320"/>
      <c r="O192" s="320"/>
      <c r="P192" s="320"/>
      <c r="Q192" s="320"/>
      <c r="R192" s="320"/>
      <c r="S192" s="320"/>
      <c r="T192" s="320"/>
      <c r="U192" s="320"/>
      <c r="V192" s="320"/>
      <c r="W192" s="320"/>
      <c r="X192" s="320"/>
      <c r="Y192" s="320"/>
    </row>
    <row r="193" customFormat="false" ht="13.5" hidden="false" customHeight="false" outlineLevel="0" collapsed="false">
      <c r="A193" s="321" t="s">
        <v>273</v>
      </c>
      <c r="B193" s="322" t="n">
        <f aca="false">ROW(A193)</f>
        <v>193</v>
      </c>
      <c r="C193" s="305" t="s">
        <v>212</v>
      </c>
      <c r="D193" s="306" t="n">
        <f aca="false">SUM(B196:Y196)</f>
        <v>141.05</v>
      </c>
      <c r="E193" s="305" t="s">
        <v>213</v>
      </c>
      <c r="F193" s="307" t="n">
        <f aca="false">D193/g/J193</f>
        <v>186.245926489307</v>
      </c>
      <c r="G193" s="305" t="s">
        <v>214</v>
      </c>
      <c r="H193" s="323" t="n">
        <v>0.1619</v>
      </c>
      <c r="I193" s="305" t="s">
        <v>225</v>
      </c>
      <c r="J193" s="308" t="n">
        <f aca="false">H193-L193</f>
        <v>0.0772</v>
      </c>
      <c r="K193" s="305" t="s">
        <v>226</v>
      </c>
      <c r="L193" s="323" t="n">
        <v>0.0847</v>
      </c>
      <c r="M193" s="305" t="s">
        <v>217</v>
      </c>
      <c r="N193" s="324" t="n">
        <v>114</v>
      </c>
      <c r="O193" s="305" t="s">
        <v>218</v>
      </c>
      <c r="P193" s="324" t="n">
        <v>114</v>
      </c>
      <c r="Q193" s="305" t="s">
        <v>219</v>
      </c>
      <c r="R193" s="324" t="n">
        <v>228</v>
      </c>
      <c r="S193" s="305" t="s">
        <v>220</v>
      </c>
      <c r="T193" s="324" t="n">
        <v>24</v>
      </c>
      <c r="U193" s="305" t="s">
        <v>8</v>
      </c>
      <c r="V193" s="325" t="s">
        <v>256</v>
      </c>
      <c r="W193" s="311" t="s">
        <v>221</v>
      </c>
      <c r="X193" s="334" t="n">
        <v>0.96</v>
      </c>
      <c r="Y193" s="311" t="s">
        <v>222</v>
      </c>
      <c r="Z193" s="310" t="n">
        <v>15</v>
      </c>
    </row>
    <row r="194" customFormat="false" ht="12.75" hidden="false" customHeight="false" outlineLevel="0" collapsed="false">
      <c r="A194" s="303" t="s">
        <v>227</v>
      </c>
      <c r="B194" s="326" t="n">
        <v>0</v>
      </c>
      <c r="C194" s="327" t="n">
        <v>0.02</v>
      </c>
      <c r="D194" s="327" t="n">
        <v>0.03</v>
      </c>
      <c r="E194" s="327" t="n">
        <v>0.05</v>
      </c>
      <c r="F194" s="327" t="n">
        <v>0.6</v>
      </c>
      <c r="G194" s="327" t="n">
        <v>0.67</v>
      </c>
      <c r="H194" s="327" t="n">
        <v>0.7</v>
      </c>
      <c r="I194" s="327" t="n">
        <v>0.8</v>
      </c>
      <c r="J194" s="327" t="n">
        <v>0.9</v>
      </c>
      <c r="K194" s="327" t="n">
        <v>1.05</v>
      </c>
      <c r="L194" s="327" t="n">
        <f aca="false">K194</f>
        <v>1.05</v>
      </c>
      <c r="M194" s="327" t="n">
        <f aca="false">L194</f>
        <v>1.05</v>
      </c>
      <c r="N194" s="327" t="n">
        <f aca="false">M194</f>
        <v>1.05</v>
      </c>
      <c r="O194" s="327" t="n">
        <f aca="false">N194</f>
        <v>1.05</v>
      </c>
      <c r="P194" s="327" t="n">
        <f aca="false">O194</f>
        <v>1.05</v>
      </c>
      <c r="Q194" s="327" t="n">
        <f aca="false">P194</f>
        <v>1.05</v>
      </c>
      <c r="R194" s="327" t="n">
        <f aca="false">Q194</f>
        <v>1.05</v>
      </c>
      <c r="S194" s="327" t="n">
        <f aca="false">R194</f>
        <v>1.05</v>
      </c>
      <c r="T194" s="327" t="n">
        <f aca="false">S194</f>
        <v>1.05</v>
      </c>
      <c r="U194" s="327" t="n">
        <f aca="false">T194</f>
        <v>1.05</v>
      </c>
      <c r="V194" s="327" t="n">
        <f aca="false">U194</f>
        <v>1.05</v>
      </c>
      <c r="W194" s="327" t="n">
        <f aca="false">V194</f>
        <v>1.05</v>
      </c>
      <c r="X194" s="327" t="n">
        <v>2</v>
      </c>
      <c r="Y194" s="315" t="n">
        <v>1000</v>
      </c>
    </row>
    <row r="195" customFormat="false" ht="12.75" hidden="false" customHeight="false" outlineLevel="0" collapsed="false">
      <c r="A195" s="328" t="s">
        <v>228</v>
      </c>
      <c r="B195" s="329" t="n">
        <v>0</v>
      </c>
      <c r="C195" s="330" t="n">
        <v>350</v>
      </c>
      <c r="D195" s="330" t="n">
        <v>250</v>
      </c>
      <c r="E195" s="330" t="n">
        <v>210</v>
      </c>
      <c r="F195" s="330" t="n">
        <v>150</v>
      </c>
      <c r="G195" s="330" t="n">
        <v>140</v>
      </c>
      <c r="H195" s="330" t="n">
        <v>130</v>
      </c>
      <c r="I195" s="330" t="n">
        <v>65</v>
      </c>
      <c r="J195" s="330" t="n">
        <v>30</v>
      </c>
      <c r="K195" s="330" t="n">
        <v>0</v>
      </c>
      <c r="L195" s="330" t="n">
        <v>0</v>
      </c>
      <c r="M195" s="330" t="n">
        <v>0</v>
      </c>
      <c r="N195" s="330" t="n">
        <v>0</v>
      </c>
      <c r="O195" s="330" t="n">
        <v>0</v>
      </c>
      <c r="P195" s="330" t="n">
        <v>0</v>
      </c>
      <c r="Q195" s="330" t="n">
        <v>0</v>
      </c>
      <c r="R195" s="330" t="n">
        <v>0</v>
      </c>
      <c r="S195" s="330" t="n">
        <f aca="false">R195</f>
        <v>0</v>
      </c>
      <c r="T195" s="330" t="n">
        <f aca="false">S195</f>
        <v>0</v>
      </c>
      <c r="U195" s="330" t="n">
        <f aca="false">T195</f>
        <v>0</v>
      </c>
      <c r="V195" s="330" t="n">
        <f aca="false">U195</f>
        <v>0</v>
      </c>
      <c r="W195" s="330" t="n">
        <f aca="false">V195</f>
        <v>0</v>
      </c>
      <c r="X195" s="330" t="n">
        <f aca="false">W195</f>
        <v>0</v>
      </c>
      <c r="Y195" s="331" t="n">
        <v>0</v>
      </c>
    </row>
    <row r="196" customFormat="false" ht="13.5" hidden="false" customHeight="false" outlineLevel="0" collapsed="false">
      <c r="A196" s="316" t="s">
        <v>229</v>
      </c>
      <c r="B196" s="332" t="n">
        <f aca="false">(C195+B195)*(C194-B194)/2</f>
        <v>3.5</v>
      </c>
      <c r="C196" s="333" t="n">
        <f aca="false">(D195+C195)*(D194-C194)/2</f>
        <v>3</v>
      </c>
      <c r="D196" s="333" t="n">
        <f aca="false">(E195+D195)*(E194-D194)/2</f>
        <v>4.6</v>
      </c>
      <c r="E196" s="333" t="n">
        <f aca="false">(F195+E195)*(F194-E194)/2</f>
        <v>99</v>
      </c>
      <c r="F196" s="333" t="n">
        <f aca="false">(G195+F195)*(G194-F194)/2</f>
        <v>10.15</v>
      </c>
      <c r="G196" s="333" t="n">
        <f aca="false">(H195+G195)*(H194-G194)/2</f>
        <v>4.04999999999999</v>
      </c>
      <c r="H196" s="333" t="n">
        <f aca="false">(I195+H195)*(I194-H194)/2</f>
        <v>9.75000000000001</v>
      </c>
      <c r="I196" s="333" t="n">
        <f aca="false">(J195+I195)*(J194-I194)/2</f>
        <v>4.75</v>
      </c>
      <c r="J196" s="333" t="n">
        <f aca="false">(K195+J195)*(K194-J194)/2</f>
        <v>2.25</v>
      </c>
      <c r="K196" s="333" t="n">
        <f aca="false">(L195+K195)*(L194-K194)/2</f>
        <v>0</v>
      </c>
      <c r="L196" s="333" t="n">
        <f aca="false">(M195+L195)*(M194-L194)/2</f>
        <v>0</v>
      </c>
      <c r="M196" s="333" t="n">
        <f aca="false">(N195+M195)*(N194-M194)/2</f>
        <v>0</v>
      </c>
      <c r="N196" s="333" t="n">
        <f aca="false">(O195+N195)*(O194-N194)/2</f>
        <v>0</v>
      </c>
      <c r="O196" s="333" t="n">
        <f aca="false">(P195+O195)*(P194-O194)/2</f>
        <v>0</v>
      </c>
      <c r="P196" s="333" t="n">
        <f aca="false">(Q195+P195)*(Q194-P194)/2</f>
        <v>0</v>
      </c>
      <c r="Q196" s="333" t="n">
        <f aca="false">(R195+Q195)*(R194-Q194)/2</f>
        <v>0</v>
      </c>
      <c r="R196" s="333" t="n">
        <f aca="false">(S195+R195)*(S194-R194)/2</f>
        <v>0</v>
      </c>
      <c r="S196" s="333" t="n">
        <f aca="false">(T195+S195)*(T194-S194)/2</f>
        <v>0</v>
      </c>
      <c r="T196" s="333" t="n">
        <f aca="false">(U195+T195)*(U194-T194)/2</f>
        <v>0</v>
      </c>
      <c r="U196" s="333" t="n">
        <f aca="false">(V195+U195)*(V194-U194)/2</f>
        <v>0</v>
      </c>
      <c r="V196" s="333" t="n">
        <f aca="false">(W195+V195)*(W194-V194)/2</f>
        <v>0</v>
      </c>
      <c r="W196" s="333" t="n">
        <f aca="false">(X195+W195)*(X194-W194)/2</f>
        <v>0</v>
      </c>
      <c r="X196" s="333" t="n">
        <f aca="false">(Y195+X195)*(Y194-X194)/2</f>
        <v>0</v>
      </c>
      <c r="Y196" s="319"/>
    </row>
    <row r="197" customFormat="false" ht="13.5" hidden="false" customHeight="false" outlineLevel="0" collapsed="false">
      <c r="A197" s="320" t="s">
        <v>274</v>
      </c>
      <c r="B197" s="320"/>
      <c r="C197" s="320"/>
      <c r="D197" s="320"/>
      <c r="E197" s="320"/>
      <c r="F197" s="320"/>
      <c r="G197" s="320"/>
      <c r="H197" s="320"/>
      <c r="I197" s="320"/>
      <c r="J197" s="320"/>
      <c r="K197" s="320"/>
      <c r="L197" s="320"/>
      <c r="M197" s="320"/>
      <c r="N197" s="320"/>
      <c r="O197" s="320"/>
      <c r="P197" s="320"/>
      <c r="Q197" s="320"/>
      <c r="R197" s="320"/>
      <c r="S197" s="320"/>
      <c r="T197" s="320"/>
      <c r="U197" s="320"/>
      <c r="V197" s="320"/>
      <c r="W197" s="320"/>
      <c r="X197" s="320"/>
      <c r="Y197" s="320"/>
    </row>
    <row r="198" customFormat="false" ht="13.5" hidden="false" customHeight="false" outlineLevel="0" collapsed="false">
      <c r="A198" s="321" t="s">
        <v>275</v>
      </c>
      <c r="B198" s="322" t="n">
        <f aca="false">ROW(A198)</f>
        <v>198</v>
      </c>
      <c r="C198" s="305" t="s">
        <v>212</v>
      </c>
      <c r="D198" s="306" t="n">
        <f aca="false">SUM(B201:Y201)</f>
        <v>142.44</v>
      </c>
      <c r="E198" s="305" t="s">
        <v>213</v>
      </c>
      <c r="F198" s="307" t="n">
        <f aca="false">D198/g/J198</f>
        <v>192.061874019061</v>
      </c>
      <c r="G198" s="305" t="s">
        <v>214</v>
      </c>
      <c r="H198" s="323" t="n">
        <v>0.1599</v>
      </c>
      <c r="I198" s="305" t="s">
        <v>225</v>
      </c>
      <c r="J198" s="308" t="n">
        <f aca="false">H198-L198</f>
        <v>0.0756</v>
      </c>
      <c r="K198" s="305" t="s">
        <v>226</v>
      </c>
      <c r="L198" s="323" t="n">
        <v>0.0843</v>
      </c>
      <c r="M198" s="305" t="s">
        <v>217</v>
      </c>
      <c r="N198" s="324" t="n">
        <v>114</v>
      </c>
      <c r="O198" s="305" t="s">
        <v>218</v>
      </c>
      <c r="P198" s="324" t="n">
        <v>114</v>
      </c>
      <c r="Q198" s="305" t="s">
        <v>219</v>
      </c>
      <c r="R198" s="324" t="n">
        <v>228</v>
      </c>
      <c r="S198" s="305" t="s">
        <v>220</v>
      </c>
      <c r="T198" s="324" t="n">
        <v>24</v>
      </c>
      <c r="U198" s="305" t="s">
        <v>8</v>
      </c>
      <c r="V198" s="325" t="s">
        <v>245</v>
      </c>
      <c r="W198" s="311" t="s">
        <v>221</v>
      </c>
      <c r="X198" s="334" t="n">
        <v>0.97</v>
      </c>
      <c r="Y198" s="311" t="s">
        <v>222</v>
      </c>
      <c r="Z198" s="310"/>
    </row>
    <row r="199" customFormat="false" ht="12.75" hidden="false" customHeight="false" outlineLevel="0" collapsed="false">
      <c r="A199" s="303" t="s">
        <v>227</v>
      </c>
      <c r="B199" s="326" t="n">
        <v>0</v>
      </c>
      <c r="C199" s="327" t="n">
        <v>0.02</v>
      </c>
      <c r="D199" s="327" t="n">
        <v>0.04</v>
      </c>
      <c r="E199" s="327" t="n">
        <v>0.62</v>
      </c>
      <c r="F199" s="327" t="n">
        <v>0.66</v>
      </c>
      <c r="G199" s="327" t="n">
        <v>0.68</v>
      </c>
      <c r="H199" s="327" t="n">
        <v>0.8</v>
      </c>
      <c r="I199" s="327" t="n">
        <v>0.84</v>
      </c>
      <c r="J199" s="327" t="n">
        <v>0.88</v>
      </c>
      <c r="K199" s="327" t="n">
        <v>0.92</v>
      </c>
      <c r="L199" s="327" t="n">
        <v>0.96</v>
      </c>
      <c r="M199" s="327" t="n">
        <v>1</v>
      </c>
      <c r="N199" s="327" t="n">
        <v>1.08</v>
      </c>
      <c r="O199" s="327" t="n">
        <v>2</v>
      </c>
      <c r="P199" s="327" t="n">
        <v>2</v>
      </c>
      <c r="Q199" s="327" t="n">
        <v>2</v>
      </c>
      <c r="R199" s="327" t="n">
        <v>2</v>
      </c>
      <c r="S199" s="327" t="n">
        <f aca="false">R199</f>
        <v>2</v>
      </c>
      <c r="T199" s="327" t="n">
        <f aca="false">S199</f>
        <v>2</v>
      </c>
      <c r="U199" s="327" t="n">
        <f aca="false">T199</f>
        <v>2</v>
      </c>
      <c r="V199" s="327" t="n">
        <f aca="false">U199</f>
        <v>2</v>
      </c>
      <c r="W199" s="327" t="n">
        <f aca="false">V199</f>
        <v>2</v>
      </c>
      <c r="X199" s="327" t="n">
        <f aca="false">W199</f>
        <v>2</v>
      </c>
      <c r="Y199" s="315" t="n">
        <v>1000</v>
      </c>
    </row>
    <row r="200" customFormat="false" ht="12.75" hidden="false" customHeight="false" outlineLevel="0" collapsed="false">
      <c r="A200" s="328" t="s">
        <v>228</v>
      </c>
      <c r="B200" s="329" t="n">
        <v>0</v>
      </c>
      <c r="C200" s="330" t="n">
        <v>250</v>
      </c>
      <c r="D200" s="330" t="n">
        <v>210</v>
      </c>
      <c r="E200" s="330" t="n">
        <v>160</v>
      </c>
      <c r="F200" s="330" t="n">
        <v>150</v>
      </c>
      <c r="G200" s="330" t="n">
        <v>142</v>
      </c>
      <c r="H200" s="330" t="n">
        <v>62</v>
      </c>
      <c r="I200" s="330" t="n">
        <v>48</v>
      </c>
      <c r="J200" s="330" t="n">
        <v>34</v>
      </c>
      <c r="K200" s="330" t="n">
        <v>24</v>
      </c>
      <c r="L200" s="330" t="n">
        <v>15</v>
      </c>
      <c r="M200" s="330" t="n">
        <v>10</v>
      </c>
      <c r="N200" s="330" t="n">
        <v>0</v>
      </c>
      <c r="O200" s="330" t="n">
        <v>0</v>
      </c>
      <c r="P200" s="330" t="n">
        <v>0</v>
      </c>
      <c r="Q200" s="330" t="n">
        <v>0</v>
      </c>
      <c r="R200" s="330" t="n">
        <v>0</v>
      </c>
      <c r="S200" s="330" t="n">
        <f aca="false">R200</f>
        <v>0</v>
      </c>
      <c r="T200" s="330" t="n">
        <f aca="false">S200</f>
        <v>0</v>
      </c>
      <c r="U200" s="330" t="n">
        <f aca="false">T200</f>
        <v>0</v>
      </c>
      <c r="V200" s="330" t="n">
        <f aca="false">U200</f>
        <v>0</v>
      </c>
      <c r="W200" s="330" t="n">
        <f aca="false">V200</f>
        <v>0</v>
      </c>
      <c r="X200" s="330" t="n">
        <f aca="false">W200</f>
        <v>0</v>
      </c>
      <c r="Y200" s="331" t="n">
        <v>0</v>
      </c>
    </row>
    <row r="201" customFormat="false" ht="13.5" hidden="false" customHeight="false" outlineLevel="0" collapsed="false">
      <c r="A201" s="316" t="s">
        <v>229</v>
      </c>
      <c r="B201" s="332" t="n">
        <f aca="false">(C200+B200)*(C199-B199)/2</f>
        <v>2.5</v>
      </c>
      <c r="C201" s="333" t="n">
        <f aca="false">(D200+C200)*(D199-C199)/2</f>
        <v>4.6</v>
      </c>
      <c r="D201" s="333" t="n">
        <f aca="false">(E200+D200)*(E199-D199)/2</f>
        <v>107.3</v>
      </c>
      <c r="E201" s="333" t="n">
        <f aca="false">(F200+E200)*(F199-E199)/2</f>
        <v>6.20000000000001</v>
      </c>
      <c r="F201" s="333" t="n">
        <f aca="false">(G200+F200)*(G199-F199)/2</f>
        <v>2.92</v>
      </c>
      <c r="G201" s="333" t="n">
        <f aca="false">(H200+G200)*(H199-G199)/2</f>
        <v>12.24</v>
      </c>
      <c r="H201" s="333" t="n">
        <f aca="false">(I200+H200)*(I199-H199)/2</f>
        <v>2.2</v>
      </c>
      <c r="I201" s="333" t="n">
        <f aca="false">(J200+I200)*(J199-I199)/2</f>
        <v>1.64</v>
      </c>
      <c r="J201" s="333" t="n">
        <f aca="false">(K200+J200)*(K199-J199)/2</f>
        <v>1.16</v>
      </c>
      <c r="K201" s="333" t="n">
        <f aca="false">(L200+K200)*(L199-K199)/2</f>
        <v>0.779999999999999</v>
      </c>
      <c r="L201" s="333" t="n">
        <f aca="false">(M200+L200)*(M199-L199)/2</f>
        <v>0.5</v>
      </c>
      <c r="M201" s="333" t="n">
        <f aca="false">(N200+M200)*(N199-M199)/2</f>
        <v>0.4</v>
      </c>
      <c r="N201" s="333" t="n">
        <f aca="false">(O200+N200)*(O199-N199)/2</f>
        <v>0</v>
      </c>
      <c r="O201" s="333" t="n">
        <f aca="false">(P200+O200)*(P199-O199)/2</f>
        <v>0</v>
      </c>
      <c r="P201" s="333" t="n">
        <f aca="false">(Q200+P200)*(Q199-P199)/2</f>
        <v>0</v>
      </c>
      <c r="Q201" s="333" t="n">
        <f aca="false">(R200+Q200)*(R199-Q199)/2</f>
        <v>0</v>
      </c>
      <c r="R201" s="333" t="n">
        <f aca="false">(S200+R200)*(S199-R199)/2</f>
        <v>0</v>
      </c>
      <c r="S201" s="333" t="n">
        <f aca="false">(T200+S200)*(T199-S199)/2</f>
        <v>0</v>
      </c>
      <c r="T201" s="333" t="n">
        <f aca="false">(U200+T200)*(U199-T199)/2</f>
        <v>0</v>
      </c>
      <c r="U201" s="333" t="n">
        <f aca="false">(V200+U200)*(V199-U199)/2</f>
        <v>0</v>
      </c>
      <c r="V201" s="333" t="n">
        <f aca="false">(W200+V200)*(W199-V199)/2</f>
        <v>0</v>
      </c>
      <c r="W201" s="333" t="n">
        <f aca="false">(X200+W200)*(X199-W199)/2</f>
        <v>0</v>
      </c>
      <c r="X201" s="333" t="n">
        <f aca="false">(Y200+X200)*(Y199-X199)/2</f>
        <v>0</v>
      </c>
      <c r="Y201" s="319"/>
    </row>
    <row r="202" customFormat="false" ht="13.5" hidden="false" customHeight="false" outlineLevel="0" collapsed="false">
      <c r="B202" s="320"/>
      <c r="C202" s="320"/>
      <c r="D202" s="320"/>
      <c r="E202" s="320"/>
      <c r="F202" s="320"/>
      <c r="G202" s="320"/>
      <c r="H202" s="320"/>
      <c r="I202" s="320"/>
      <c r="J202" s="320"/>
      <c r="K202" s="320"/>
      <c r="L202" s="320"/>
      <c r="M202" s="320"/>
      <c r="N202" s="320"/>
      <c r="O202" s="320"/>
      <c r="P202" s="320"/>
      <c r="Q202" s="320"/>
      <c r="R202" s="320"/>
      <c r="S202" s="320"/>
      <c r="T202" s="320"/>
      <c r="U202" s="320"/>
      <c r="V202" s="320"/>
      <c r="W202" s="320"/>
      <c r="X202" s="320"/>
      <c r="Y202" s="320"/>
    </row>
    <row r="203" customFormat="false" ht="13.5" hidden="false" customHeight="false" outlineLevel="0" collapsed="false">
      <c r="A203" s="321" t="s">
        <v>276</v>
      </c>
      <c r="B203" s="322" t="n">
        <f aca="false">ROW(A203)</f>
        <v>203</v>
      </c>
      <c r="C203" s="305" t="s">
        <v>212</v>
      </c>
      <c r="D203" s="306" t="n">
        <f aca="false">SUM(B206:Y206)</f>
        <v>143.08845</v>
      </c>
      <c r="E203" s="305" t="s">
        <v>213</v>
      </c>
      <c r="F203" s="307" t="n">
        <f aca="false">D203/g/J203</f>
        <v>168.235047211905</v>
      </c>
      <c r="G203" s="305" t="s">
        <v>214</v>
      </c>
      <c r="H203" s="323" t="n">
        <v>0.1725</v>
      </c>
      <c r="I203" s="305" t="s">
        <v>225</v>
      </c>
      <c r="J203" s="308" t="n">
        <f aca="false">H203-L203</f>
        <v>0.0867</v>
      </c>
      <c r="K203" s="305" t="s">
        <v>226</v>
      </c>
      <c r="L203" s="323" t="n">
        <v>0.0858</v>
      </c>
      <c r="M203" s="305" t="s">
        <v>217</v>
      </c>
      <c r="N203" s="324" t="n">
        <v>114</v>
      </c>
      <c r="O203" s="305" t="s">
        <v>218</v>
      </c>
      <c r="P203" s="324" t="n">
        <v>114</v>
      </c>
      <c r="Q203" s="305" t="s">
        <v>219</v>
      </c>
      <c r="R203" s="324" t="n">
        <v>228</v>
      </c>
      <c r="S203" s="305" t="s">
        <v>220</v>
      </c>
      <c r="T203" s="324" t="n">
        <v>24</v>
      </c>
      <c r="U203" s="305" t="s">
        <v>8</v>
      </c>
      <c r="V203" s="325" t="s">
        <v>256</v>
      </c>
      <c r="W203" s="311" t="s">
        <v>221</v>
      </c>
      <c r="X203" s="334" t="n">
        <v>0.97</v>
      </c>
      <c r="Y203" s="311" t="s">
        <v>222</v>
      </c>
      <c r="Z203" s="310" t="n">
        <v>11</v>
      </c>
    </row>
    <row r="204" customFormat="false" ht="12.75" hidden="false" customHeight="false" outlineLevel="0" collapsed="false">
      <c r="A204" s="303" t="s">
        <v>227</v>
      </c>
      <c r="B204" s="326" t="n">
        <v>0</v>
      </c>
      <c r="C204" s="327" t="n">
        <v>0.008</v>
      </c>
      <c r="D204" s="327" t="n">
        <v>0.013</v>
      </c>
      <c r="E204" s="327" t="n">
        <v>0.022</v>
      </c>
      <c r="F204" s="327" t="n">
        <v>0.035</v>
      </c>
      <c r="G204" s="327" t="n">
        <v>0.063</v>
      </c>
      <c r="H204" s="327" t="n">
        <v>0.103</v>
      </c>
      <c r="I204" s="327" t="n">
        <v>0.196</v>
      </c>
      <c r="J204" s="327" t="n">
        <v>0.311</v>
      </c>
      <c r="K204" s="327" t="n">
        <v>0.474</v>
      </c>
      <c r="L204" s="327" t="n">
        <v>0.564</v>
      </c>
      <c r="M204" s="327" t="n">
        <v>0.762</v>
      </c>
      <c r="N204" s="327" t="n">
        <v>0.858</v>
      </c>
      <c r="O204" s="327" t="n">
        <v>0.928</v>
      </c>
      <c r="P204" s="327" t="n">
        <v>1.038</v>
      </c>
      <c r="Q204" s="327" t="n">
        <v>1.08</v>
      </c>
      <c r="R204" s="327" t="n">
        <v>1.131</v>
      </c>
      <c r="S204" s="327" t="n">
        <v>1.185</v>
      </c>
      <c r="T204" s="327" t="n">
        <v>1.224</v>
      </c>
      <c r="U204" s="327" t="n">
        <v>1.258</v>
      </c>
      <c r="V204" s="327" t="n">
        <v>1.4</v>
      </c>
      <c r="W204" s="327" t="n">
        <v>1.441</v>
      </c>
      <c r="X204" s="327" t="n">
        <v>2</v>
      </c>
      <c r="Y204" s="315" t="n">
        <v>1000</v>
      </c>
    </row>
    <row r="205" customFormat="false" ht="12.75" hidden="false" customHeight="false" outlineLevel="0" collapsed="false">
      <c r="A205" s="328" t="s">
        <v>228</v>
      </c>
      <c r="B205" s="329" t="n">
        <v>0</v>
      </c>
      <c r="C205" s="330" t="n">
        <v>168.643</v>
      </c>
      <c r="D205" s="330" t="n">
        <v>177.339</v>
      </c>
      <c r="E205" s="330" t="n">
        <v>177.866</v>
      </c>
      <c r="F205" s="330" t="n">
        <v>171.278</v>
      </c>
      <c r="G205" s="330" t="n">
        <v>157.839</v>
      </c>
      <c r="H205" s="330" t="n">
        <v>154.941</v>
      </c>
      <c r="I205" s="330" t="n">
        <v>148.88</v>
      </c>
      <c r="J205" s="330" t="n">
        <v>144.137</v>
      </c>
      <c r="K205" s="330" t="n">
        <v>138.076</v>
      </c>
      <c r="L205" s="330" t="n">
        <v>135.705</v>
      </c>
      <c r="M205" s="330" t="n">
        <v>125.955</v>
      </c>
      <c r="N205" s="330" t="n">
        <v>116.733</v>
      </c>
      <c r="O205" s="330" t="n">
        <v>101.713</v>
      </c>
      <c r="P205" s="330" t="n">
        <v>57.444</v>
      </c>
      <c r="Q205" s="330" t="n">
        <v>42.688</v>
      </c>
      <c r="R205" s="330" t="n">
        <v>31.884</v>
      </c>
      <c r="S205" s="330" t="n">
        <v>17.655</v>
      </c>
      <c r="T205" s="330" t="n">
        <v>9.486</v>
      </c>
      <c r="U205" s="330" t="n">
        <v>5.27</v>
      </c>
      <c r="V205" s="330" t="n">
        <v>0.791</v>
      </c>
      <c r="W205" s="330" t="n">
        <v>0</v>
      </c>
      <c r="X205" s="330" t="n">
        <f aca="false">W205</f>
        <v>0</v>
      </c>
      <c r="Y205" s="331" t="n">
        <v>0</v>
      </c>
    </row>
    <row r="206" customFormat="false" ht="13.5" hidden="false" customHeight="false" outlineLevel="0" collapsed="false">
      <c r="A206" s="316" t="s">
        <v>229</v>
      </c>
      <c r="B206" s="332" t="n">
        <f aca="false">(C205+B205)*(C204-B204)/2</f>
        <v>0.674572</v>
      </c>
      <c r="C206" s="333" t="n">
        <f aca="false">(D205+C205)*(D204-C204)/2</f>
        <v>0.864955</v>
      </c>
      <c r="D206" s="333" t="n">
        <f aca="false">(E205+D205)*(E204-D204)/2</f>
        <v>1.5984225</v>
      </c>
      <c r="E206" s="333" t="n">
        <f aca="false">(F205+E205)*(F204-E204)/2</f>
        <v>2.269436</v>
      </c>
      <c r="F206" s="333" t="n">
        <f aca="false">(G205+F205)*(G204-F204)/2</f>
        <v>4.607638</v>
      </c>
      <c r="G206" s="333" t="n">
        <f aca="false">(H205+G205)*(H204-G204)/2</f>
        <v>6.2556</v>
      </c>
      <c r="H206" s="333" t="n">
        <f aca="false">(I205+H205)*(I204-H204)/2</f>
        <v>14.1276765</v>
      </c>
      <c r="I206" s="333" t="n">
        <f aca="false">(J205+I205)*(J204-I204)/2</f>
        <v>16.8484775</v>
      </c>
      <c r="J206" s="333" t="n">
        <f aca="false">(K205+J205)*(K204-J204)/2</f>
        <v>23.0003595</v>
      </c>
      <c r="K206" s="333" t="n">
        <f aca="false">(L205+K205)*(L204-K204)/2</f>
        <v>12.320145</v>
      </c>
      <c r="L206" s="333" t="n">
        <f aca="false">(M205+L205)*(M204-L204)/2</f>
        <v>25.90434</v>
      </c>
      <c r="M206" s="333" t="n">
        <f aca="false">(N205+M205)*(N204-M204)/2</f>
        <v>11.649024</v>
      </c>
      <c r="N206" s="333" t="n">
        <f aca="false">(O205+N205)*(O204-N204)/2</f>
        <v>7.64561000000001</v>
      </c>
      <c r="O206" s="333" t="n">
        <f aca="false">(P205+O205)*(P204-O204)/2</f>
        <v>8.753635</v>
      </c>
      <c r="P206" s="333" t="n">
        <f aca="false">(Q205+P205)*(Q204-P204)/2</f>
        <v>2.102772</v>
      </c>
      <c r="Q206" s="333" t="n">
        <f aca="false">(R205+Q205)*(R204-Q204)/2</f>
        <v>1.901586</v>
      </c>
      <c r="R206" s="333" t="n">
        <f aca="false">(S205+R205)*(S204-R204)/2</f>
        <v>1.337553</v>
      </c>
      <c r="S206" s="333" t="n">
        <f aca="false">(T205+S205)*(T204-S204)/2</f>
        <v>0.529249499999999</v>
      </c>
      <c r="T206" s="333" t="n">
        <f aca="false">(U205+T205)*(U204-T204)/2</f>
        <v>0.250852</v>
      </c>
      <c r="U206" s="333" t="n">
        <f aca="false">(V205+U205)*(V204-U204)/2</f>
        <v>0.430331</v>
      </c>
      <c r="V206" s="333" t="n">
        <f aca="false">(W205+V205)*(W204-V204)/2</f>
        <v>0.0162155000000001</v>
      </c>
      <c r="W206" s="333" t="n">
        <f aca="false">(X205+W205)*(X204-W204)/2</f>
        <v>0</v>
      </c>
      <c r="X206" s="333" t="n">
        <f aca="false">(Y205+X205)*(Y204-X204)/2</f>
        <v>0</v>
      </c>
      <c r="Y206" s="319"/>
    </row>
    <row r="207" customFormat="false" ht="13.5" hidden="false" customHeight="false" outlineLevel="0" collapsed="false">
      <c r="B207" s="320"/>
      <c r="C207" s="320"/>
      <c r="D207" s="320"/>
      <c r="E207" s="320"/>
      <c r="F207" s="320"/>
      <c r="G207" s="320"/>
      <c r="H207" s="320"/>
      <c r="I207" s="320"/>
      <c r="J207" s="320"/>
      <c r="K207" s="320"/>
      <c r="L207" s="320"/>
      <c r="M207" s="320"/>
      <c r="N207" s="320"/>
      <c r="O207" s="320"/>
      <c r="P207" s="320"/>
      <c r="Q207" s="320"/>
      <c r="R207" s="320"/>
      <c r="S207" s="320"/>
      <c r="T207" s="320"/>
      <c r="U207" s="320"/>
      <c r="V207" s="320"/>
      <c r="W207" s="320"/>
      <c r="X207" s="320"/>
      <c r="Y207" s="320"/>
    </row>
    <row r="208" customFormat="false" ht="13.5" hidden="false" customHeight="false" outlineLevel="0" collapsed="false">
      <c r="A208" s="321" t="s">
        <v>277</v>
      </c>
      <c r="B208" s="322" t="n">
        <f aca="false">ROW(A208)</f>
        <v>208</v>
      </c>
      <c r="C208" s="305" t="s">
        <v>212</v>
      </c>
      <c r="D208" s="306" t="n">
        <f aca="false">SUM(B211:Y211)</f>
        <v>139.423417</v>
      </c>
      <c r="E208" s="305" t="s">
        <v>213</v>
      </c>
      <c r="F208" s="307" t="n">
        <f aca="false">D208/g/J208</f>
        <v>158.620277459225</v>
      </c>
      <c r="G208" s="305" t="s">
        <v>214</v>
      </c>
      <c r="H208" s="323" t="n">
        <v>0.1945</v>
      </c>
      <c r="I208" s="305" t="s">
        <v>225</v>
      </c>
      <c r="J208" s="308" t="n">
        <f aca="false">H208-L208</f>
        <v>0.0896</v>
      </c>
      <c r="K208" s="305" t="s">
        <v>226</v>
      </c>
      <c r="L208" s="323" t="n">
        <v>0.1049</v>
      </c>
      <c r="M208" s="305" t="s">
        <v>217</v>
      </c>
      <c r="N208" s="324" t="n">
        <v>114</v>
      </c>
      <c r="O208" s="305" t="s">
        <v>218</v>
      </c>
      <c r="P208" s="324" t="n">
        <v>144</v>
      </c>
      <c r="Q208" s="305" t="s">
        <v>219</v>
      </c>
      <c r="R208" s="324" t="n">
        <v>228</v>
      </c>
      <c r="S208" s="305" t="s">
        <v>220</v>
      </c>
      <c r="T208" s="324" t="n">
        <v>24</v>
      </c>
      <c r="U208" s="305" t="s">
        <v>8</v>
      </c>
      <c r="V208" s="325" t="s">
        <v>256</v>
      </c>
      <c r="W208" s="311" t="s">
        <v>221</v>
      </c>
      <c r="X208" s="334" t="n">
        <v>1.3</v>
      </c>
      <c r="Y208" s="311" t="s">
        <v>222</v>
      </c>
      <c r="Z208" s="310" t="n">
        <v>12</v>
      </c>
    </row>
    <row r="209" customFormat="false" ht="12.75" hidden="false" customHeight="false" outlineLevel="0" collapsed="false">
      <c r="A209" s="303" t="s">
        <v>227</v>
      </c>
      <c r="B209" s="326" t="n">
        <v>0</v>
      </c>
      <c r="C209" s="327" t="n">
        <v>0.011</v>
      </c>
      <c r="D209" s="327" t="n">
        <v>0.022</v>
      </c>
      <c r="E209" s="327" t="n">
        <v>0.046</v>
      </c>
      <c r="F209" s="327" t="n">
        <v>0.081</v>
      </c>
      <c r="G209" s="327" t="n">
        <v>0.219</v>
      </c>
      <c r="H209" s="327" t="n">
        <v>0.253</v>
      </c>
      <c r="I209" s="327" t="n">
        <v>0.274</v>
      </c>
      <c r="J209" s="327" t="n">
        <v>0.305</v>
      </c>
      <c r="K209" s="327" t="n">
        <v>0.412</v>
      </c>
      <c r="L209" s="327" t="n">
        <v>0.789</v>
      </c>
      <c r="M209" s="327" t="n">
        <v>0.899</v>
      </c>
      <c r="N209" s="327" t="n">
        <v>0.953</v>
      </c>
      <c r="O209" s="327" t="n">
        <v>0.999</v>
      </c>
      <c r="P209" s="327" t="n">
        <v>1.03</v>
      </c>
      <c r="Q209" s="327" t="n">
        <v>1.057</v>
      </c>
      <c r="R209" s="327" t="n">
        <v>1.102</v>
      </c>
      <c r="S209" s="327" t="n">
        <v>1.154</v>
      </c>
      <c r="T209" s="327" t="n">
        <v>1.197</v>
      </c>
      <c r="U209" s="327" t="n">
        <v>1.277</v>
      </c>
      <c r="V209" s="327" t="n">
        <v>1.335</v>
      </c>
      <c r="W209" s="327" t="n">
        <v>1.451</v>
      </c>
      <c r="X209" s="327" t="n">
        <v>2</v>
      </c>
      <c r="Y209" s="315" t="n">
        <v>1000</v>
      </c>
    </row>
    <row r="210" customFormat="false" ht="12.75" hidden="false" customHeight="false" outlineLevel="0" collapsed="false">
      <c r="A210" s="328" t="s">
        <v>228</v>
      </c>
      <c r="B210" s="329" t="n">
        <v>0</v>
      </c>
      <c r="C210" s="330" t="n">
        <v>198.418</v>
      </c>
      <c r="D210" s="330" t="n">
        <v>221.835</v>
      </c>
      <c r="E210" s="330" t="n">
        <v>212.658</v>
      </c>
      <c r="F210" s="330" t="n">
        <v>218.354</v>
      </c>
      <c r="G210" s="330" t="n">
        <v>204.43</v>
      </c>
      <c r="H210" s="330" t="n">
        <v>195.886</v>
      </c>
      <c r="I210" s="330" t="n">
        <v>183.544</v>
      </c>
      <c r="J210" s="330" t="n">
        <v>88.291</v>
      </c>
      <c r="K210" s="330" t="n">
        <v>93.671</v>
      </c>
      <c r="L210" s="330" t="n">
        <v>93.987</v>
      </c>
      <c r="M210" s="330" t="n">
        <v>91.139</v>
      </c>
      <c r="N210" s="330" t="n">
        <v>89.873</v>
      </c>
      <c r="O210" s="330" t="n">
        <v>87.025</v>
      </c>
      <c r="P210" s="330" t="n">
        <v>81.329</v>
      </c>
      <c r="Q210" s="330" t="n">
        <v>69.937</v>
      </c>
      <c r="R210" s="330" t="n">
        <v>54.114</v>
      </c>
      <c r="S210" s="330" t="n">
        <v>42.405</v>
      </c>
      <c r="T210" s="330" t="n">
        <v>31.646</v>
      </c>
      <c r="U210" s="330" t="n">
        <v>17.089</v>
      </c>
      <c r="V210" s="330" t="n">
        <v>9.81</v>
      </c>
      <c r="W210" s="330" t="n">
        <v>0</v>
      </c>
      <c r="X210" s="330" t="n">
        <v>0</v>
      </c>
      <c r="Y210" s="331" t="n">
        <v>0</v>
      </c>
    </row>
    <row r="211" customFormat="false" ht="13.5" hidden="false" customHeight="false" outlineLevel="0" collapsed="false">
      <c r="A211" s="316" t="s">
        <v>229</v>
      </c>
      <c r="B211" s="332" t="n">
        <f aca="false">(C210+B210)*(C209-B209)/2</f>
        <v>1.091299</v>
      </c>
      <c r="C211" s="333" t="n">
        <f aca="false">(D210+C210)*(D209-C209)/2</f>
        <v>2.3113915</v>
      </c>
      <c r="D211" s="333" t="n">
        <f aca="false">(E210+D210)*(E209-D209)/2</f>
        <v>5.213916</v>
      </c>
      <c r="E211" s="333" t="n">
        <f aca="false">(F210+E210)*(F209-E209)/2</f>
        <v>7.54271</v>
      </c>
      <c r="F211" s="333" t="n">
        <f aca="false">(G210+F210)*(G209-F209)/2</f>
        <v>29.172096</v>
      </c>
      <c r="G211" s="333" t="n">
        <f aca="false">(H210+G210)*(H209-G209)/2</f>
        <v>6.805372</v>
      </c>
      <c r="H211" s="333" t="n">
        <f aca="false">(I210+H210)*(I209-H209)/2</f>
        <v>3.984015</v>
      </c>
      <c r="I211" s="333" t="n">
        <f aca="false">(J210+I210)*(J209-I209)/2</f>
        <v>4.2134425</v>
      </c>
      <c r="J211" s="333" t="n">
        <f aca="false">(K210+J210)*(K209-J209)/2</f>
        <v>9.734967</v>
      </c>
      <c r="K211" s="333" t="n">
        <f aca="false">(L210+K210)*(L209-K209)/2</f>
        <v>35.373533</v>
      </c>
      <c r="L211" s="333" t="n">
        <f aca="false">(M210+L210)*(M209-L209)/2</f>
        <v>10.18193</v>
      </c>
      <c r="M211" s="333" t="n">
        <f aca="false">(N210+M210)*(N209-M209)/2</f>
        <v>4.88732399999999</v>
      </c>
      <c r="N211" s="333" t="n">
        <f aca="false">(O210+N210)*(O209-N209)/2</f>
        <v>4.068654</v>
      </c>
      <c r="O211" s="333" t="n">
        <f aca="false">(P210+O210)*(P209-O209)/2</f>
        <v>2.609487</v>
      </c>
      <c r="P211" s="333" t="n">
        <f aca="false">(Q210+P210)*(Q209-P209)/2</f>
        <v>2.04209099999999</v>
      </c>
      <c r="Q211" s="333" t="n">
        <f aca="false">(R210+Q210)*(R209-Q209)/2</f>
        <v>2.79114750000001</v>
      </c>
      <c r="R211" s="333" t="n">
        <f aca="false">(S210+R210)*(S209-R209)/2</f>
        <v>2.50949399999999</v>
      </c>
      <c r="S211" s="333" t="n">
        <f aca="false">(T210+S210)*(T209-S209)/2</f>
        <v>1.59209650000001</v>
      </c>
      <c r="T211" s="333" t="n">
        <f aca="false">(U210+T210)*(U209-T209)/2</f>
        <v>1.9494</v>
      </c>
      <c r="U211" s="333" t="n">
        <f aca="false">(V210+U210)*(V209-U209)/2</f>
        <v>0.780071000000001</v>
      </c>
      <c r="V211" s="333" t="n">
        <f aca="false">(W210+V210)*(W209-V209)/2</f>
        <v>0.568980000000001</v>
      </c>
      <c r="W211" s="333" t="n">
        <f aca="false">(X210+W210)*(X209-W209)/2</f>
        <v>0</v>
      </c>
      <c r="X211" s="333" t="n">
        <f aca="false">(Y210+X210)*(Y209-X209)/2</f>
        <v>0</v>
      </c>
      <c r="Y211" s="319"/>
    </row>
    <row r="212" customFormat="false" ht="13.5" hidden="false" customHeight="false" outlineLevel="0" collapsed="false">
      <c r="A212" s="160" t="s">
        <v>278</v>
      </c>
      <c r="B212" s="320"/>
      <c r="C212" s="320"/>
      <c r="D212" s="320"/>
      <c r="E212" s="320"/>
      <c r="F212" s="320"/>
      <c r="G212" s="320"/>
      <c r="H212" s="320"/>
      <c r="I212" s="320"/>
      <c r="J212" s="320"/>
      <c r="K212" s="320"/>
      <c r="L212" s="320"/>
      <c r="M212" s="320"/>
      <c r="N212" s="320"/>
      <c r="O212" s="320"/>
      <c r="P212" s="320"/>
      <c r="Q212" s="320"/>
      <c r="R212" s="320"/>
      <c r="S212" s="320"/>
      <c r="T212" s="320"/>
      <c r="U212" s="320"/>
      <c r="V212" s="320"/>
      <c r="W212" s="320"/>
      <c r="X212" s="320"/>
      <c r="Y212" s="320"/>
    </row>
    <row r="213" customFormat="false" ht="13.5" hidden="false" customHeight="false" outlineLevel="0" collapsed="false">
      <c r="A213" s="321" t="s">
        <v>279</v>
      </c>
      <c r="B213" s="322" t="n">
        <f aca="false">ROW(A213)</f>
        <v>213</v>
      </c>
      <c r="C213" s="305" t="s">
        <v>212</v>
      </c>
      <c r="D213" s="306" t="n">
        <f aca="false">SUM(B216:Y216)</f>
        <v>82.7985</v>
      </c>
      <c r="E213" s="305" t="s">
        <v>213</v>
      </c>
      <c r="F213" s="307" t="n">
        <f aca="false">D213/g/J213</f>
        <v>131.878344801223</v>
      </c>
      <c r="G213" s="305" t="s">
        <v>214</v>
      </c>
      <c r="H213" s="323" t="n">
        <v>0.152</v>
      </c>
      <c r="I213" s="305" t="s">
        <v>225</v>
      </c>
      <c r="J213" s="308" t="n">
        <f aca="false">H213-L213</f>
        <v>0.064</v>
      </c>
      <c r="K213" s="305" t="s">
        <v>226</v>
      </c>
      <c r="L213" s="323" t="n">
        <v>0.088</v>
      </c>
      <c r="M213" s="305" t="s">
        <v>217</v>
      </c>
      <c r="N213" s="324" t="n">
        <v>71</v>
      </c>
      <c r="O213" s="305" t="s">
        <v>218</v>
      </c>
      <c r="P213" s="324" t="n">
        <v>71</v>
      </c>
      <c r="Q213" s="305" t="s">
        <v>219</v>
      </c>
      <c r="R213" s="324" t="n">
        <v>142</v>
      </c>
      <c r="S213" s="305" t="s">
        <v>220</v>
      </c>
      <c r="T213" s="324" t="n">
        <v>29</v>
      </c>
      <c r="U213" s="305" t="s">
        <v>8</v>
      </c>
      <c r="V213" s="325" t="s">
        <v>256</v>
      </c>
      <c r="W213" s="311" t="s">
        <v>221</v>
      </c>
      <c r="X213" s="334" t="n">
        <v>0.96</v>
      </c>
      <c r="Y213" s="311" t="s">
        <v>222</v>
      </c>
      <c r="Z213" s="310" t="n">
        <v>11</v>
      </c>
    </row>
    <row r="214" customFormat="false" ht="12.75" hidden="false" customHeight="false" outlineLevel="0" collapsed="false">
      <c r="A214" s="303" t="s">
        <v>227</v>
      </c>
      <c r="B214" s="326" t="n">
        <v>0</v>
      </c>
      <c r="C214" s="327" t="n">
        <v>0.02</v>
      </c>
      <c r="D214" s="327" t="n">
        <v>0.03</v>
      </c>
      <c r="E214" s="327" t="n">
        <v>0.04</v>
      </c>
      <c r="F214" s="327" t="n">
        <v>0.06</v>
      </c>
      <c r="G214" s="327" t="n">
        <v>0.08</v>
      </c>
      <c r="H214" s="327" t="n">
        <v>0.15</v>
      </c>
      <c r="I214" s="327" t="n">
        <v>0.18</v>
      </c>
      <c r="J214" s="327" t="n">
        <v>0.2</v>
      </c>
      <c r="K214" s="327" t="n">
        <v>0.3</v>
      </c>
      <c r="L214" s="327" t="n">
        <v>0.4</v>
      </c>
      <c r="M214" s="327" t="n">
        <v>0.5</v>
      </c>
      <c r="N214" s="327" t="n">
        <v>0.6</v>
      </c>
      <c r="O214" s="327" t="n">
        <v>0.7</v>
      </c>
      <c r="P214" s="327" t="n">
        <v>0.82</v>
      </c>
      <c r="Q214" s="327" t="n">
        <v>0.93</v>
      </c>
      <c r="R214" s="327" t="n">
        <v>1</v>
      </c>
      <c r="S214" s="327" t="n">
        <f aca="false">R214</f>
        <v>1</v>
      </c>
      <c r="T214" s="327" t="n">
        <f aca="false">S214</f>
        <v>1</v>
      </c>
      <c r="U214" s="327" t="n">
        <f aca="false">T214</f>
        <v>1</v>
      </c>
      <c r="V214" s="327" t="n">
        <f aca="false">U214</f>
        <v>1</v>
      </c>
      <c r="W214" s="327" t="n">
        <f aca="false">V214</f>
        <v>1</v>
      </c>
      <c r="X214" s="327" t="n">
        <v>2</v>
      </c>
      <c r="Y214" s="315" t="n">
        <v>1000</v>
      </c>
    </row>
    <row r="215" customFormat="false" ht="12.75" hidden="false" customHeight="false" outlineLevel="0" collapsed="false">
      <c r="A215" s="328" t="s">
        <v>228</v>
      </c>
      <c r="B215" s="329" t="n">
        <v>0</v>
      </c>
      <c r="C215" s="330" t="n">
        <v>41.9</v>
      </c>
      <c r="D215" s="330" t="n">
        <v>92.1</v>
      </c>
      <c r="E215" s="330" t="n">
        <v>116.7</v>
      </c>
      <c r="F215" s="330" t="n">
        <v>112.7</v>
      </c>
      <c r="G215" s="330" t="n">
        <v>82.7</v>
      </c>
      <c r="H215" s="330" t="n">
        <v>84.7</v>
      </c>
      <c r="I215" s="330" t="n">
        <v>86.2</v>
      </c>
      <c r="J215" s="330" t="n">
        <v>87.9</v>
      </c>
      <c r="K215" s="330" t="n">
        <v>90.9</v>
      </c>
      <c r="L215" s="330" t="n">
        <v>93.9</v>
      </c>
      <c r="M215" s="330" t="n">
        <v>95.3</v>
      </c>
      <c r="N215" s="330" t="n">
        <v>96.8</v>
      </c>
      <c r="O215" s="330" t="n">
        <v>97.6</v>
      </c>
      <c r="P215" s="330" t="n">
        <v>108.2</v>
      </c>
      <c r="Q215" s="330" t="n">
        <v>11</v>
      </c>
      <c r="R215" s="330" t="n">
        <v>0</v>
      </c>
      <c r="S215" s="330" t="n">
        <f aca="false">R215</f>
        <v>0</v>
      </c>
      <c r="T215" s="330" t="n">
        <f aca="false">S215</f>
        <v>0</v>
      </c>
      <c r="U215" s="330" t="n">
        <f aca="false">T215</f>
        <v>0</v>
      </c>
      <c r="V215" s="330" t="n">
        <f aca="false">U215</f>
        <v>0</v>
      </c>
      <c r="W215" s="330" t="n">
        <f aca="false">V215</f>
        <v>0</v>
      </c>
      <c r="X215" s="330" t="n">
        <f aca="false">W215</f>
        <v>0</v>
      </c>
      <c r="Y215" s="331" t="n">
        <v>0</v>
      </c>
    </row>
    <row r="216" customFormat="false" ht="13.5" hidden="false" customHeight="false" outlineLevel="0" collapsed="false">
      <c r="A216" s="316" t="s">
        <v>229</v>
      </c>
      <c r="B216" s="332" t="n">
        <f aca="false">(C215+B215)*(C214-B214)/2</f>
        <v>0.419</v>
      </c>
      <c r="C216" s="333" t="n">
        <f aca="false">(D215+C215)*(D214-C214)/2</f>
        <v>0.67</v>
      </c>
      <c r="D216" s="333" t="n">
        <f aca="false">(E215+D215)*(E214-D214)/2</f>
        <v>1.044</v>
      </c>
      <c r="E216" s="333" t="n">
        <f aca="false">(F215+E215)*(F214-E214)/2</f>
        <v>2.294</v>
      </c>
      <c r="F216" s="333" t="n">
        <f aca="false">(G215+F215)*(G214-F214)/2</f>
        <v>1.954</v>
      </c>
      <c r="G216" s="333" t="n">
        <f aca="false">(H215+G215)*(H214-G214)/2</f>
        <v>5.859</v>
      </c>
      <c r="H216" s="333" t="n">
        <f aca="false">(I215+H215)*(I214-H214)/2</f>
        <v>2.5635</v>
      </c>
      <c r="I216" s="333" t="n">
        <f aca="false">(J215+I215)*(J214-I214)/2</f>
        <v>1.741</v>
      </c>
      <c r="J216" s="333" t="n">
        <f aca="false">(K215+J215)*(K214-J214)/2</f>
        <v>8.94</v>
      </c>
      <c r="K216" s="333" t="n">
        <f aca="false">(L215+K215)*(L214-K214)/2</f>
        <v>9.24</v>
      </c>
      <c r="L216" s="333" t="n">
        <f aca="false">(M215+L215)*(M214-L214)/2</f>
        <v>9.46</v>
      </c>
      <c r="M216" s="333" t="n">
        <f aca="false">(N215+M215)*(N214-M214)/2</f>
        <v>9.605</v>
      </c>
      <c r="N216" s="333" t="n">
        <f aca="false">(O215+N215)*(O214-N214)/2</f>
        <v>9.72</v>
      </c>
      <c r="O216" s="333" t="n">
        <f aca="false">(P215+O215)*(P214-O214)/2</f>
        <v>12.348</v>
      </c>
      <c r="P216" s="333" t="n">
        <f aca="false">(Q215+P215)*(Q214-P214)/2</f>
        <v>6.55600000000001</v>
      </c>
      <c r="Q216" s="333" t="n">
        <f aca="false">(R215+Q215)*(R214-Q214)/2</f>
        <v>0.385</v>
      </c>
      <c r="R216" s="333" t="n">
        <f aca="false">(S215+R215)*(S214-R214)/2</f>
        <v>0</v>
      </c>
      <c r="S216" s="333" t="n">
        <f aca="false">(T215+S215)*(T214-S214)/2</f>
        <v>0</v>
      </c>
      <c r="T216" s="333" t="n">
        <f aca="false">(U215+T215)*(U214-T214)/2</f>
        <v>0</v>
      </c>
      <c r="U216" s="333" t="n">
        <f aca="false">(V215+U215)*(V214-U214)/2</f>
        <v>0</v>
      </c>
      <c r="V216" s="333" t="n">
        <f aca="false">(W215+V215)*(W214-V214)/2</f>
        <v>0</v>
      </c>
      <c r="W216" s="333" t="n">
        <f aca="false">(X215+W215)*(X214-W214)/2</f>
        <v>0</v>
      </c>
      <c r="X216" s="333" t="n">
        <f aca="false">(Y215+X215)*(Y214-X214)/2</f>
        <v>0</v>
      </c>
      <c r="Y216" s="319"/>
    </row>
    <row r="217" customFormat="false" ht="13.5" hidden="false" customHeight="false" outlineLevel="0" collapsed="false">
      <c r="B217" s="320"/>
      <c r="C217" s="320"/>
      <c r="D217" s="320"/>
      <c r="E217" s="320"/>
      <c r="F217" s="320"/>
      <c r="G217" s="320"/>
      <c r="H217" s="320"/>
      <c r="I217" s="320"/>
      <c r="J217" s="320"/>
      <c r="K217" s="320"/>
      <c r="L217" s="320"/>
      <c r="M217" s="320"/>
      <c r="N217" s="320"/>
      <c r="O217" s="320"/>
      <c r="P217" s="320"/>
      <c r="Q217" s="320"/>
      <c r="R217" s="320"/>
      <c r="S217" s="320"/>
      <c r="T217" s="320"/>
      <c r="U217" s="320"/>
      <c r="V217" s="320"/>
      <c r="W217" s="320"/>
      <c r="X217" s="320"/>
      <c r="Y217" s="320"/>
    </row>
    <row r="218" customFormat="false" ht="13.5" hidden="false" customHeight="false" outlineLevel="0" collapsed="false">
      <c r="A218" s="321" t="s">
        <v>280</v>
      </c>
      <c r="B218" s="322" t="n">
        <f aca="false">ROW(A218)</f>
        <v>218</v>
      </c>
      <c r="C218" s="305" t="s">
        <v>212</v>
      </c>
      <c r="D218" s="306" t="n">
        <f aca="false">SUM(B221:Y221)</f>
        <v>98.2571011630364</v>
      </c>
      <c r="E218" s="305" t="s">
        <v>213</v>
      </c>
      <c r="F218" s="307" t="n">
        <f aca="false">D218/g/J218</f>
        <v>177.588907618938</v>
      </c>
      <c r="G218" s="305" t="s">
        <v>214</v>
      </c>
      <c r="H218" s="323" t="n">
        <v>0.1432</v>
      </c>
      <c r="I218" s="305" t="s">
        <v>225</v>
      </c>
      <c r="J218" s="308" t="n">
        <f aca="false">H218-L218</f>
        <v>0.0564</v>
      </c>
      <c r="K218" s="305" t="s">
        <v>226</v>
      </c>
      <c r="L218" s="323" t="n">
        <v>0.0868</v>
      </c>
      <c r="M218" s="305" t="s">
        <v>217</v>
      </c>
      <c r="N218" s="324" t="n">
        <v>71</v>
      </c>
      <c r="O218" s="305" t="s">
        <v>218</v>
      </c>
      <c r="P218" s="324" t="n">
        <v>71</v>
      </c>
      <c r="Q218" s="305" t="s">
        <v>219</v>
      </c>
      <c r="R218" s="324" t="n">
        <v>142</v>
      </c>
      <c r="S218" s="305" t="s">
        <v>220</v>
      </c>
      <c r="T218" s="324" t="n">
        <v>29</v>
      </c>
      <c r="U218" s="305" t="s">
        <v>8</v>
      </c>
      <c r="V218" s="325" t="s">
        <v>256</v>
      </c>
      <c r="W218" s="311" t="s">
        <v>221</v>
      </c>
      <c r="X218" s="334" t="n">
        <v>1.15</v>
      </c>
      <c r="Y218" s="311" t="s">
        <v>222</v>
      </c>
      <c r="Z218" s="310" t="n">
        <v>14</v>
      </c>
    </row>
    <row r="219" customFormat="false" ht="12.75" hidden="false" customHeight="false" outlineLevel="0" collapsed="false">
      <c r="A219" s="303" t="s">
        <v>227</v>
      </c>
      <c r="B219" s="326" t="n">
        <v>0</v>
      </c>
      <c r="C219" s="327" t="n">
        <v>0.015</v>
      </c>
      <c r="D219" s="327" t="n">
        <v>0.03</v>
      </c>
      <c r="E219" s="327" t="n">
        <v>0.045</v>
      </c>
      <c r="F219" s="327" t="n">
        <v>0.06</v>
      </c>
      <c r="G219" s="327" t="n">
        <v>0.075</v>
      </c>
      <c r="H219" s="327" t="n">
        <v>0.09</v>
      </c>
      <c r="I219" s="327" t="n">
        <v>0.105</v>
      </c>
      <c r="J219" s="327" t="n">
        <v>0.12</v>
      </c>
      <c r="K219" s="327" t="n">
        <v>0.18</v>
      </c>
      <c r="L219" s="327" t="n">
        <v>0.24</v>
      </c>
      <c r="M219" s="327" t="n">
        <v>0.3</v>
      </c>
      <c r="N219" s="327" t="n">
        <v>0.48</v>
      </c>
      <c r="O219" s="327" t="n">
        <v>0.6</v>
      </c>
      <c r="P219" s="327" t="n">
        <v>0.66</v>
      </c>
      <c r="Q219" s="327" t="n">
        <v>0.72</v>
      </c>
      <c r="R219" s="327" t="n">
        <v>0.78</v>
      </c>
      <c r="S219" s="327" t="n">
        <v>0.84</v>
      </c>
      <c r="T219" s="327" t="n">
        <v>0.9</v>
      </c>
      <c r="U219" s="327" t="n">
        <v>0.96</v>
      </c>
      <c r="V219" s="327" t="n">
        <v>1.035</v>
      </c>
      <c r="W219" s="327" t="n">
        <v>1.2</v>
      </c>
      <c r="X219" s="327" t="n">
        <v>2</v>
      </c>
      <c r="Y219" s="315" t="n">
        <v>1000</v>
      </c>
    </row>
    <row r="220" customFormat="false" ht="12.75" hidden="false" customHeight="false" outlineLevel="0" collapsed="false">
      <c r="A220" s="328" t="s">
        <v>228</v>
      </c>
      <c r="B220" s="329" t="n">
        <v>0</v>
      </c>
      <c r="C220" s="337" t="n">
        <v>99.3287889588225</v>
      </c>
      <c r="D220" s="337" t="n">
        <v>109.07039432469</v>
      </c>
      <c r="E220" s="337" t="n">
        <v>65.2554112864275</v>
      </c>
      <c r="F220" s="337" t="n">
        <v>67.5684865331175</v>
      </c>
      <c r="G220" s="337" t="n">
        <v>73.929443461515</v>
      </c>
      <c r="H220" s="337" t="n">
        <v>74.3297834080575</v>
      </c>
      <c r="I220" s="337" t="n">
        <v>78.1552540083525</v>
      </c>
      <c r="J220" s="337" t="n">
        <v>78.6000761711775</v>
      </c>
      <c r="K220" s="337" t="n">
        <v>82.20313569006</v>
      </c>
      <c r="L220" s="337" t="n">
        <v>84.51621093675</v>
      </c>
      <c r="M220" s="337" t="n">
        <v>88.519610402175</v>
      </c>
      <c r="N220" s="337" t="n">
        <v>95.102978411985</v>
      </c>
      <c r="O220" s="337" t="n">
        <v>95.54780057481</v>
      </c>
      <c r="P220" s="337" t="n">
        <v>94.48022738403</v>
      </c>
      <c r="Q220" s="337" t="n">
        <v>92.1226699210575</v>
      </c>
      <c r="R220" s="337" t="n">
        <v>90.7437212163</v>
      </c>
      <c r="S220" s="337" t="n">
        <v>88.964432565</v>
      </c>
      <c r="T220" s="337" t="n">
        <v>85.4058552624</v>
      </c>
      <c r="U220" s="337" t="n">
        <v>83.44863774597</v>
      </c>
      <c r="V220" s="337" t="n">
        <v>88.07478823935</v>
      </c>
      <c r="W220" s="337" t="n">
        <v>0</v>
      </c>
      <c r="X220" s="330" t="n">
        <v>0</v>
      </c>
      <c r="Y220" s="331" t="n">
        <v>0</v>
      </c>
    </row>
    <row r="221" customFormat="false" ht="13.5" hidden="false" customHeight="false" outlineLevel="0" collapsed="false">
      <c r="A221" s="316" t="s">
        <v>229</v>
      </c>
      <c r="B221" s="332" t="n">
        <f aca="false">(C220+B220)*(C219-B219)/2</f>
        <v>0.744965917191169</v>
      </c>
      <c r="C221" s="333" t="n">
        <f aca="false">(D220+C220)*(D219-C219)/2</f>
        <v>1.56299387462634</v>
      </c>
      <c r="D221" s="333" t="n">
        <f aca="false">(E220+D220)*(E219-D219)/2</f>
        <v>1.30744354208338</v>
      </c>
      <c r="E221" s="333" t="n">
        <f aca="false">(F220+E220)*(F219-E219)/2</f>
        <v>0.996179233646587</v>
      </c>
      <c r="F221" s="333" t="n">
        <f aca="false">(G220+F220)*(G219-F219)/2</f>
        <v>1.06123447495974</v>
      </c>
      <c r="G221" s="333" t="n">
        <f aca="false">(H220+G220)*(H219-G219)/2</f>
        <v>1.11194420152179</v>
      </c>
      <c r="H221" s="333" t="n">
        <f aca="false">(I220+H220)*(I219-H219)/2</f>
        <v>1.14363778062307</v>
      </c>
      <c r="I221" s="333" t="n">
        <f aca="false">(J220+I220)*(J219-I219)/2</f>
        <v>1.17566497634648</v>
      </c>
      <c r="J221" s="333" t="n">
        <f aca="false">(K220+J220)*(K219-J219)/2</f>
        <v>4.82409635583713</v>
      </c>
      <c r="K221" s="333" t="n">
        <f aca="false">(L220+K220)*(L219-K219)/2</f>
        <v>5.0015803988043</v>
      </c>
      <c r="L221" s="333" t="n">
        <f aca="false">(M220+L220)*(M219-L219)/2</f>
        <v>5.19107464016775</v>
      </c>
      <c r="M221" s="333" t="n">
        <f aca="false">(N220+M220)*(N219-M219)/2</f>
        <v>16.5260329932744</v>
      </c>
      <c r="N221" s="333" t="n">
        <f aca="false">(O220+N220)*(O219-N219)/2</f>
        <v>11.4390467392077</v>
      </c>
      <c r="O221" s="333" t="n">
        <f aca="false">(P220+O220)*(P219-O219)/2</f>
        <v>5.7008408387652</v>
      </c>
      <c r="P221" s="333" t="n">
        <f aca="false">(Q220+P220)*(Q219-P219)/2</f>
        <v>5.59808691915262</v>
      </c>
      <c r="Q221" s="333" t="n">
        <f aca="false">(R220+Q220)*(R219-Q219)/2</f>
        <v>5.48599173412073</v>
      </c>
      <c r="R221" s="333" t="n">
        <f aca="false">(S220+R220)*(S219-R219)/2</f>
        <v>5.39124461343899</v>
      </c>
      <c r="S221" s="333" t="n">
        <f aca="false">(T220+S220)*(T219-S219)/2</f>
        <v>5.231108634822</v>
      </c>
      <c r="T221" s="333" t="n">
        <f aca="false">(U220+T220)*(U219-T219)/2</f>
        <v>5.0656347902511</v>
      </c>
      <c r="U221" s="333" t="n">
        <f aca="false">(V220+U220)*(V219-U219)/2</f>
        <v>6.4321284744495</v>
      </c>
      <c r="V221" s="333" t="n">
        <f aca="false">(W220+V220)*(W219-V219)/2</f>
        <v>7.26617002974638</v>
      </c>
      <c r="W221" s="333" t="n">
        <f aca="false">(X220+W220)*(X219-W219)/2</f>
        <v>0</v>
      </c>
      <c r="X221" s="333" t="n">
        <f aca="false">(Y220+X220)*(Y219-X219)/2</f>
        <v>0</v>
      </c>
      <c r="Y221" s="319"/>
    </row>
    <row r="222" customFormat="false" ht="13.5" hidden="false" customHeight="false" outlineLevel="0" collapsed="false">
      <c r="B222" s="320"/>
      <c r="C222" s="320"/>
      <c r="D222" s="320"/>
      <c r="E222" s="320"/>
      <c r="F222" s="320"/>
      <c r="G222" s="320"/>
      <c r="H222" s="320"/>
      <c r="I222" s="320"/>
      <c r="J222" s="320"/>
      <c r="K222" s="320"/>
      <c r="L222" s="320"/>
      <c r="M222" s="320"/>
      <c r="N222" s="320"/>
      <c r="O222" s="320"/>
      <c r="P222" s="320"/>
      <c r="Q222" s="320"/>
      <c r="R222" s="320"/>
      <c r="S222" s="320"/>
      <c r="T222" s="320"/>
      <c r="U222" s="320"/>
      <c r="V222" s="320"/>
      <c r="W222" s="320"/>
      <c r="X222" s="320"/>
      <c r="Y222" s="320"/>
    </row>
    <row r="223" customFormat="false" ht="13.5" hidden="false" customHeight="false" outlineLevel="0" collapsed="false">
      <c r="A223" s="321" t="s">
        <v>281</v>
      </c>
      <c r="B223" s="322" t="n">
        <f aca="false">ROW(A223)</f>
        <v>223</v>
      </c>
      <c r="C223" s="305" t="s">
        <v>212</v>
      </c>
      <c r="D223" s="306" t="n">
        <f aca="false">SUM(B226:Y226)</f>
        <v>109.6063985</v>
      </c>
      <c r="E223" s="305" t="s">
        <v>213</v>
      </c>
      <c r="F223" s="307" t="n">
        <f aca="false">D223/g/J223</f>
        <v>194.311746664894</v>
      </c>
      <c r="G223" s="305" t="s">
        <v>214</v>
      </c>
      <c r="H223" s="323" t="n">
        <v>0.1413</v>
      </c>
      <c r="I223" s="305" t="s">
        <v>225</v>
      </c>
      <c r="J223" s="308" t="n">
        <f aca="false">H223-L223</f>
        <v>0.0575</v>
      </c>
      <c r="K223" s="305" t="s">
        <v>226</v>
      </c>
      <c r="L223" s="323" t="n">
        <v>0.0838</v>
      </c>
      <c r="M223" s="305" t="s">
        <v>217</v>
      </c>
      <c r="N223" s="324" t="n">
        <v>71</v>
      </c>
      <c r="O223" s="305" t="s">
        <v>218</v>
      </c>
      <c r="P223" s="324" t="n">
        <v>71</v>
      </c>
      <c r="Q223" s="305" t="s">
        <v>219</v>
      </c>
      <c r="R223" s="324" t="n">
        <v>142</v>
      </c>
      <c r="S223" s="305" t="s">
        <v>220</v>
      </c>
      <c r="T223" s="324" t="n">
        <v>29</v>
      </c>
      <c r="U223" s="305" t="s">
        <v>8</v>
      </c>
      <c r="V223" s="325" t="s">
        <v>245</v>
      </c>
      <c r="W223" s="311" t="s">
        <v>221</v>
      </c>
      <c r="X223" s="334" t="n">
        <v>0.45</v>
      </c>
      <c r="Y223" s="311" t="s">
        <v>222</v>
      </c>
      <c r="Z223" s="310" t="n">
        <v>14</v>
      </c>
    </row>
    <row r="224" customFormat="false" ht="12.75" hidden="false" customHeight="false" outlineLevel="0" collapsed="false">
      <c r="A224" s="303" t="s">
        <v>227</v>
      </c>
      <c r="B224" s="326" t="n">
        <v>0</v>
      </c>
      <c r="C224" s="327" t="n">
        <v>0.006</v>
      </c>
      <c r="D224" s="327" t="n">
        <v>0.011</v>
      </c>
      <c r="E224" s="327" t="n">
        <v>0.016</v>
      </c>
      <c r="F224" s="327" t="n">
        <v>0.031</v>
      </c>
      <c r="G224" s="327" t="n">
        <v>0.075</v>
      </c>
      <c r="H224" s="327" t="n">
        <v>0.122</v>
      </c>
      <c r="I224" s="327" t="n">
        <v>0.216</v>
      </c>
      <c r="J224" s="327" t="n">
        <v>0.25</v>
      </c>
      <c r="K224" s="327" t="n">
        <v>0.287</v>
      </c>
      <c r="L224" s="327" t="n">
        <v>0.354</v>
      </c>
      <c r="M224" s="327" t="n">
        <v>0.374</v>
      </c>
      <c r="N224" s="327" t="n">
        <v>0.4</v>
      </c>
      <c r="O224" s="327" t="n">
        <v>0.413</v>
      </c>
      <c r="P224" s="327" t="n">
        <v>0.42</v>
      </c>
      <c r="Q224" s="327" t="n">
        <v>0.433</v>
      </c>
      <c r="R224" s="327" t="n">
        <v>0.445</v>
      </c>
      <c r="S224" s="327" t="n">
        <v>0.454</v>
      </c>
      <c r="T224" s="327" t="n">
        <f aca="false">S224</f>
        <v>0.454</v>
      </c>
      <c r="U224" s="327" t="n">
        <f aca="false">T224</f>
        <v>0.454</v>
      </c>
      <c r="V224" s="327" t="n">
        <f aca="false">U224</f>
        <v>0.454</v>
      </c>
      <c r="W224" s="327" t="n">
        <f aca="false">V224</f>
        <v>0.454</v>
      </c>
      <c r="X224" s="327" t="n">
        <v>2</v>
      </c>
      <c r="Y224" s="315" t="n">
        <v>1000</v>
      </c>
    </row>
    <row r="225" customFormat="false" ht="12.75" hidden="false" customHeight="false" outlineLevel="0" collapsed="false">
      <c r="A225" s="328" t="s">
        <v>228</v>
      </c>
      <c r="B225" s="329" t="n">
        <v>0</v>
      </c>
      <c r="C225" s="330" t="n">
        <v>151.621</v>
      </c>
      <c r="D225" s="330" t="n">
        <v>198.079</v>
      </c>
      <c r="E225" s="330" t="n">
        <v>203.121</v>
      </c>
      <c r="F225" s="330" t="n">
        <v>201.681</v>
      </c>
      <c r="G225" s="330" t="n">
        <v>226.17</v>
      </c>
      <c r="H225" s="330" t="n">
        <v>250.3</v>
      </c>
      <c r="I225" s="330" t="n">
        <v>280.192</v>
      </c>
      <c r="J225" s="330" t="n">
        <v>287.035</v>
      </c>
      <c r="K225" s="330" t="n">
        <v>284.874</v>
      </c>
      <c r="L225" s="330" t="n">
        <v>269.748</v>
      </c>
      <c r="M225" s="330" t="n">
        <v>258.583</v>
      </c>
      <c r="N225" s="330" t="n">
        <v>233.373</v>
      </c>
      <c r="O225" s="330" t="n">
        <v>234.094</v>
      </c>
      <c r="P225" s="330" t="n">
        <v>227.611</v>
      </c>
      <c r="Q225" s="330" t="n">
        <v>137.935</v>
      </c>
      <c r="R225" s="330" t="n">
        <v>33.854</v>
      </c>
      <c r="S225" s="330" t="n">
        <v>0</v>
      </c>
      <c r="T225" s="330" t="n">
        <f aca="false">S225</f>
        <v>0</v>
      </c>
      <c r="U225" s="330" t="n">
        <f aca="false">T225</f>
        <v>0</v>
      </c>
      <c r="V225" s="330" t="n">
        <f aca="false">U225</f>
        <v>0</v>
      </c>
      <c r="W225" s="330" t="n">
        <f aca="false">V225</f>
        <v>0</v>
      </c>
      <c r="X225" s="330" t="n">
        <f aca="false">W225</f>
        <v>0</v>
      </c>
      <c r="Y225" s="331" t="n">
        <v>0</v>
      </c>
    </row>
    <row r="226" customFormat="false" ht="13.5" hidden="false" customHeight="false" outlineLevel="0" collapsed="false">
      <c r="A226" s="316" t="s">
        <v>229</v>
      </c>
      <c r="B226" s="332" t="n">
        <f aca="false">(C225+B225)*(C224-B224)/2</f>
        <v>0.454863</v>
      </c>
      <c r="C226" s="333" t="n">
        <f aca="false">(D225+C225)*(D224-C224)/2</f>
        <v>0.87425</v>
      </c>
      <c r="D226" s="333" t="n">
        <f aca="false">(E225+D225)*(E224-D224)/2</f>
        <v>1.003</v>
      </c>
      <c r="E226" s="333" t="n">
        <f aca="false">(F225+E225)*(F224-E224)/2</f>
        <v>3.036015</v>
      </c>
      <c r="F226" s="333" t="n">
        <f aca="false">(G225+F225)*(G224-F224)/2</f>
        <v>9.412722</v>
      </c>
      <c r="G226" s="333" t="n">
        <f aca="false">(H225+G225)*(H224-G224)/2</f>
        <v>11.197045</v>
      </c>
      <c r="H226" s="333" t="n">
        <f aca="false">(I225+H225)*(I224-H224)/2</f>
        <v>24.933124</v>
      </c>
      <c r="I226" s="333" t="n">
        <f aca="false">(J225+I225)*(J224-I224)/2</f>
        <v>9.642859</v>
      </c>
      <c r="J226" s="333" t="n">
        <f aca="false">(K225+J225)*(K224-J224)/2</f>
        <v>10.5803165</v>
      </c>
      <c r="K226" s="333" t="n">
        <f aca="false">(L225+K225)*(L224-K224)/2</f>
        <v>18.579837</v>
      </c>
      <c r="L226" s="333" t="n">
        <f aca="false">(M225+L225)*(M224-L224)/2</f>
        <v>5.28331000000001</v>
      </c>
      <c r="M226" s="333" t="n">
        <f aca="false">(N225+M225)*(N224-M224)/2</f>
        <v>6.39542800000001</v>
      </c>
      <c r="N226" s="333" t="n">
        <f aca="false">(O225+N225)*(O224-N224)/2</f>
        <v>3.03853549999999</v>
      </c>
      <c r="O226" s="333" t="n">
        <f aca="false">(P225+O225)*(P224-O224)/2</f>
        <v>1.6159675</v>
      </c>
      <c r="P226" s="333" t="n">
        <f aca="false">(Q225+P225)*(Q224-P224)/2</f>
        <v>2.376049</v>
      </c>
      <c r="Q226" s="333" t="n">
        <f aca="false">(R225+Q225)*(R224-Q224)/2</f>
        <v>1.030734</v>
      </c>
      <c r="R226" s="333" t="n">
        <f aca="false">(S225+R225)*(S224-R224)/2</f>
        <v>0.152343</v>
      </c>
      <c r="S226" s="333" t="n">
        <f aca="false">(T225+S225)*(T224-S224)/2</f>
        <v>0</v>
      </c>
      <c r="T226" s="333" t="n">
        <f aca="false">(U225+T225)*(U224-T224)/2</f>
        <v>0</v>
      </c>
      <c r="U226" s="333" t="n">
        <f aca="false">(V225+U225)*(V224-U224)/2</f>
        <v>0</v>
      </c>
      <c r="V226" s="333" t="n">
        <f aca="false">(W225+V225)*(W224-V224)/2</f>
        <v>0</v>
      </c>
      <c r="W226" s="333" t="n">
        <f aca="false">(X225+W225)*(X224-W224)/2</f>
        <v>0</v>
      </c>
      <c r="X226" s="333" t="n">
        <f aca="false">(Y225+X225)*(Y224-X224)/2</f>
        <v>0</v>
      </c>
      <c r="Y226" s="319"/>
    </row>
    <row r="227" customFormat="false" ht="13.5" hidden="false" customHeight="false" outlineLevel="0" collapsed="false">
      <c r="B227" s="320"/>
      <c r="C227" s="320"/>
      <c r="D227" s="320"/>
      <c r="E227" s="320"/>
      <c r="F227" s="320"/>
      <c r="G227" s="320"/>
      <c r="H227" s="320"/>
      <c r="I227" s="320"/>
      <c r="J227" s="320"/>
      <c r="K227" s="320"/>
      <c r="L227" s="320"/>
      <c r="M227" s="320"/>
      <c r="N227" s="320"/>
      <c r="O227" s="320"/>
      <c r="P227" s="320"/>
      <c r="Q227" s="320"/>
      <c r="R227" s="320"/>
      <c r="S227" s="320"/>
      <c r="T227" s="320"/>
      <c r="U227" s="320"/>
      <c r="V227" s="320"/>
      <c r="W227" s="320"/>
      <c r="X227" s="320"/>
      <c r="Y227" s="320"/>
    </row>
    <row r="228" customFormat="false" ht="13.5" hidden="false" customHeight="false" outlineLevel="0" collapsed="false">
      <c r="A228" s="321" t="s">
        <v>282</v>
      </c>
      <c r="B228" s="322" t="n">
        <f aca="false">ROW(A228)</f>
        <v>228</v>
      </c>
      <c r="C228" s="305" t="s">
        <v>212</v>
      </c>
      <c r="D228" s="306" t="n">
        <f aca="false">SUM(B231:Y231)</f>
        <v>115.63</v>
      </c>
      <c r="E228" s="305" t="s">
        <v>213</v>
      </c>
      <c r="F228" s="307" t="n">
        <f aca="false">D228/g/J228</f>
        <v>199.77884897804</v>
      </c>
      <c r="G228" s="305" t="s">
        <v>214</v>
      </c>
      <c r="H228" s="323" t="n">
        <v>0.145</v>
      </c>
      <c r="I228" s="305" t="s">
        <v>225</v>
      </c>
      <c r="J228" s="308" t="n">
        <f aca="false">H228-L228</f>
        <v>0.059</v>
      </c>
      <c r="K228" s="305" t="s">
        <v>226</v>
      </c>
      <c r="L228" s="323" t="n">
        <v>0.086</v>
      </c>
      <c r="M228" s="305" t="s">
        <v>217</v>
      </c>
      <c r="N228" s="324" t="n">
        <v>71</v>
      </c>
      <c r="O228" s="305" t="s">
        <v>218</v>
      </c>
      <c r="P228" s="324" t="n">
        <v>71</v>
      </c>
      <c r="Q228" s="305" t="s">
        <v>219</v>
      </c>
      <c r="R228" s="324" t="n">
        <v>142</v>
      </c>
      <c r="S228" s="305" t="s">
        <v>220</v>
      </c>
      <c r="T228" s="324" t="n">
        <v>29</v>
      </c>
      <c r="U228" s="305" t="s">
        <v>8</v>
      </c>
      <c r="V228" s="325" t="s">
        <v>252</v>
      </c>
      <c r="W228" s="311" t="s">
        <v>221</v>
      </c>
      <c r="X228" s="334" t="n">
        <v>0.93</v>
      </c>
      <c r="Y228" s="311" t="s">
        <v>222</v>
      </c>
      <c r="Z228" s="310" t="n">
        <v>13</v>
      </c>
    </row>
    <row r="229" customFormat="false" ht="12.75" hidden="false" customHeight="false" outlineLevel="0" collapsed="false">
      <c r="A229" s="303" t="s">
        <v>227</v>
      </c>
      <c r="B229" s="326" t="n">
        <v>0</v>
      </c>
      <c r="C229" s="327" t="n">
        <v>0.01</v>
      </c>
      <c r="D229" s="327" t="n">
        <v>0.02</v>
      </c>
      <c r="E229" s="327" t="n">
        <v>0.03</v>
      </c>
      <c r="F229" s="327" t="n">
        <v>0.04</v>
      </c>
      <c r="G229" s="327" t="n">
        <v>0.05</v>
      </c>
      <c r="H229" s="327" t="n">
        <v>0.1</v>
      </c>
      <c r="I229" s="327" t="n">
        <v>0.2</v>
      </c>
      <c r="J229" s="327" t="n">
        <v>0.3</v>
      </c>
      <c r="K229" s="327" t="n">
        <v>0.4</v>
      </c>
      <c r="L229" s="327" t="n">
        <v>0.6</v>
      </c>
      <c r="M229" s="327" t="n">
        <v>0.75</v>
      </c>
      <c r="N229" s="327" t="n">
        <v>0.81</v>
      </c>
      <c r="O229" s="327" t="n">
        <v>0.86</v>
      </c>
      <c r="P229" s="327" t="n">
        <v>0.9</v>
      </c>
      <c r="Q229" s="327" t="n">
        <v>0.95</v>
      </c>
      <c r="R229" s="327" t="n">
        <v>1</v>
      </c>
      <c r="S229" s="327" t="n">
        <v>1</v>
      </c>
      <c r="T229" s="327" t="n">
        <v>1</v>
      </c>
      <c r="U229" s="327" t="n">
        <v>1</v>
      </c>
      <c r="V229" s="327" t="n">
        <v>1</v>
      </c>
      <c r="W229" s="327" t="n">
        <v>1</v>
      </c>
      <c r="X229" s="327" t="n">
        <v>2</v>
      </c>
      <c r="Y229" s="315" t="n">
        <v>1000</v>
      </c>
    </row>
    <row r="230" customFormat="false" ht="12.75" hidden="false" customHeight="false" outlineLevel="0" collapsed="false">
      <c r="A230" s="328" t="s">
        <v>228</v>
      </c>
      <c r="B230" s="329" t="n">
        <v>0</v>
      </c>
      <c r="C230" s="337" t="n">
        <v>55</v>
      </c>
      <c r="D230" s="337" t="n">
        <v>168</v>
      </c>
      <c r="E230" s="337" t="n">
        <v>157</v>
      </c>
      <c r="F230" s="337" t="n">
        <v>148</v>
      </c>
      <c r="G230" s="337" t="n">
        <v>125</v>
      </c>
      <c r="H230" s="337" t="n">
        <v>135</v>
      </c>
      <c r="I230" s="337" t="n">
        <v>141</v>
      </c>
      <c r="J230" s="337" t="n">
        <v>142</v>
      </c>
      <c r="K230" s="337" t="n">
        <v>141</v>
      </c>
      <c r="L230" s="337" t="n">
        <v>133</v>
      </c>
      <c r="M230" s="337" t="n">
        <v>127</v>
      </c>
      <c r="N230" s="337" t="n">
        <v>128</v>
      </c>
      <c r="O230" s="337" t="n">
        <v>60</v>
      </c>
      <c r="P230" s="337" t="n">
        <v>15</v>
      </c>
      <c r="Q230" s="337" t="n">
        <v>0</v>
      </c>
      <c r="R230" s="337" t="n">
        <v>0</v>
      </c>
      <c r="S230" s="337" t="n">
        <v>0</v>
      </c>
      <c r="T230" s="337" t="n">
        <v>0</v>
      </c>
      <c r="U230" s="337" t="n">
        <v>0</v>
      </c>
      <c r="V230" s="337" t="n">
        <v>0</v>
      </c>
      <c r="W230" s="337" t="n">
        <v>0</v>
      </c>
      <c r="X230" s="330" t="n">
        <v>0</v>
      </c>
      <c r="Y230" s="331" t="n">
        <v>0</v>
      </c>
    </row>
    <row r="231" customFormat="false" ht="13.5" hidden="false" customHeight="false" outlineLevel="0" collapsed="false">
      <c r="A231" s="316" t="s">
        <v>229</v>
      </c>
      <c r="B231" s="332" t="n">
        <f aca="false">(C230+B230)*(C229-B229)/2</f>
        <v>0.275</v>
      </c>
      <c r="C231" s="333" t="n">
        <f aca="false">(D230+C230)*(D229-C229)/2</f>
        <v>1.115</v>
      </c>
      <c r="D231" s="333" t="n">
        <f aca="false">(E230+D230)*(E229-D229)/2</f>
        <v>1.625</v>
      </c>
      <c r="E231" s="333" t="n">
        <f aca="false">(F230+E230)*(F229-E229)/2</f>
        <v>1.525</v>
      </c>
      <c r="F231" s="333" t="n">
        <f aca="false">(G230+F230)*(G229-F229)/2</f>
        <v>1.365</v>
      </c>
      <c r="G231" s="333" t="n">
        <f aca="false">(H230+G230)*(H229-G229)/2</f>
        <v>6.5</v>
      </c>
      <c r="H231" s="333" t="n">
        <f aca="false">(I230+H230)*(I229-H229)/2</f>
        <v>13.8</v>
      </c>
      <c r="I231" s="333" t="n">
        <f aca="false">(J230+I230)*(J229-I229)/2</f>
        <v>14.15</v>
      </c>
      <c r="J231" s="333" t="n">
        <f aca="false">(K230+J230)*(K229-J229)/2</f>
        <v>14.15</v>
      </c>
      <c r="K231" s="333" t="n">
        <f aca="false">(L230+K230)*(L229-K229)/2</f>
        <v>27.4</v>
      </c>
      <c r="L231" s="333" t="n">
        <f aca="false">(M230+L230)*(M229-L229)/2</f>
        <v>19.5</v>
      </c>
      <c r="M231" s="333" t="n">
        <f aca="false">(N230+M230)*(N229-M229)/2</f>
        <v>7.65000000000001</v>
      </c>
      <c r="N231" s="333" t="n">
        <f aca="false">(O230+N230)*(O229-N229)/2</f>
        <v>4.69999999999999</v>
      </c>
      <c r="O231" s="333" t="n">
        <f aca="false">(P230+O230)*(P229-O229)/2</f>
        <v>1.5</v>
      </c>
      <c r="P231" s="333" t="n">
        <f aca="false">(Q230+P230)*(Q229-P229)/2</f>
        <v>0.375</v>
      </c>
      <c r="Q231" s="333" t="n">
        <f aca="false">(R230+Q230)*(R229-Q229)/2</f>
        <v>0</v>
      </c>
      <c r="R231" s="333" t="n">
        <f aca="false">(S230+R230)*(S229-R229)/2</f>
        <v>0</v>
      </c>
      <c r="S231" s="333" t="n">
        <f aca="false">(T230+S230)*(T229-S229)/2</f>
        <v>0</v>
      </c>
      <c r="T231" s="333" t="n">
        <f aca="false">(U230+T230)*(U229-T229)/2</f>
        <v>0</v>
      </c>
      <c r="U231" s="333" t="n">
        <f aca="false">(V230+U230)*(V229-U229)/2</f>
        <v>0</v>
      </c>
      <c r="V231" s="333" t="n">
        <f aca="false">(W230+V230)*(W229-V229)/2</f>
        <v>0</v>
      </c>
      <c r="W231" s="333" t="n">
        <f aca="false">(X230+W230)*(X229-W229)/2</f>
        <v>0</v>
      </c>
      <c r="X231" s="333" t="n">
        <f aca="false">(Y230+X230)*(Y229-X229)/2</f>
        <v>0</v>
      </c>
      <c r="Y231" s="319"/>
    </row>
    <row r="232" customFormat="false" ht="13.5" hidden="false" customHeight="false" outlineLevel="0" collapsed="false">
      <c r="A232" s="160" t="s">
        <v>283</v>
      </c>
      <c r="B232" s="320"/>
      <c r="C232" s="320"/>
      <c r="D232" s="320"/>
      <c r="E232" s="320"/>
      <c r="F232" s="320"/>
      <c r="G232" s="320"/>
      <c r="H232" s="320"/>
      <c r="I232" s="320"/>
      <c r="J232" s="320"/>
      <c r="K232" s="320"/>
      <c r="L232" s="320"/>
      <c r="M232" s="320"/>
      <c r="N232" s="320"/>
      <c r="O232" s="320"/>
      <c r="P232" s="320"/>
      <c r="Q232" s="320"/>
      <c r="R232" s="320"/>
      <c r="S232" s="320"/>
      <c r="T232" s="320"/>
      <c r="U232" s="320"/>
      <c r="V232" s="320"/>
      <c r="W232" s="320"/>
      <c r="X232" s="320"/>
      <c r="Y232" s="320"/>
    </row>
    <row r="233" customFormat="false" ht="13.5" hidden="false" customHeight="false" outlineLevel="0" collapsed="false">
      <c r="A233" s="321" t="s">
        <v>284</v>
      </c>
      <c r="B233" s="322" t="n">
        <f aca="false">ROW(A233)</f>
        <v>233</v>
      </c>
      <c r="C233" s="305" t="s">
        <v>212</v>
      </c>
      <c r="D233" s="306" t="n">
        <f aca="false">SUM(B236:Y236)</f>
        <v>115.63</v>
      </c>
      <c r="E233" s="305" t="s">
        <v>213</v>
      </c>
      <c r="F233" s="307" t="n">
        <f aca="false">D233/g/J233</f>
        <v>125.393107337281</v>
      </c>
      <c r="G233" s="305" t="s">
        <v>214</v>
      </c>
      <c r="H233" s="323" t="n">
        <v>0.2</v>
      </c>
      <c r="I233" s="305" t="s">
        <v>225</v>
      </c>
      <c r="J233" s="308" t="n">
        <f aca="false">H233-L233</f>
        <v>0.094</v>
      </c>
      <c r="K233" s="305" t="s">
        <v>226</v>
      </c>
      <c r="L233" s="323" t="n">
        <v>0.106</v>
      </c>
      <c r="M233" s="305" t="s">
        <v>217</v>
      </c>
      <c r="N233" s="324" t="n">
        <v>93</v>
      </c>
      <c r="O233" s="305" t="s">
        <v>218</v>
      </c>
      <c r="P233" s="324" t="n">
        <v>93</v>
      </c>
      <c r="Q233" s="305" t="s">
        <v>219</v>
      </c>
      <c r="R233" s="324" t="n">
        <v>187</v>
      </c>
      <c r="S233" s="305" t="s">
        <v>220</v>
      </c>
      <c r="T233" s="324" t="n">
        <v>29</v>
      </c>
      <c r="U233" s="305" t="s">
        <v>8</v>
      </c>
      <c r="V233" s="325" t="s">
        <v>256</v>
      </c>
      <c r="W233" s="311" t="s">
        <v>221</v>
      </c>
      <c r="X233" s="334" t="n">
        <v>0.96</v>
      </c>
      <c r="Y233" s="311" t="s">
        <v>222</v>
      </c>
      <c r="Z233" s="310" t="n">
        <v>14</v>
      </c>
    </row>
    <row r="234" customFormat="false" ht="12.75" hidden="false" customHeight="false" outlineLevel="0" collapsed="false">
      <c r="A234" s="303" t="s">
        <v>227</v>
      </c>
      <c r="B234" s="326" t="n">
        <v>0</v>
      </c>
      <c r="C234" s="327" t="n">
        <v>0.01</v>
      </c>
      <c r="D234" s="327" t="n">
        <v>0.02</v>
      </c>
      <c r="E234" s="327" t="n">
        <v>0.03</v>
      </c>
      <c r="F234" s="327" t="n">
        <v>0.04</v>
      </c>
      <c r="G234" s="327" t="n">
        <v>0.05</v>
      </c>
      <c r="H234" s="327" t="n">
        <v>0.1</v>
      </c>
      <c r="I234" s="327" t="n">
        <v>0.2</v>
      </c>
      <c r="J234" s="327" t="n">
        <v>0.3</v>
      </c>
      <c r="K234" s="327" t="n">
        <v>0.4</v>
      </c>
      <c r="L234" s="327" t="n">
        <v>0.6</v>
      </c>
      <c r="M234" s="327" t="n">
        <v>0.75</v>
      </c>
      <c r="N234" s="327" t="n">
        <v>0.81</v>
      </c>
      <c r="O234" s="327" t="n">
        <v>0.86</v>
      </c>
      <c r="P234" s="327" t="n">
        <v>0.9</v>
      </c>
      <c r="Q234" s="327" t="n">
        <v>0.95</v>
      </c>
      <c r="R234" s="327" t="n">
        <v>1</v>
      </c>
      <c r="S234" s="327" t="n">
        <f aca="false">R234</f>
        <v>1</v>
      </c>
      <c r="T234" s="327" t="n">
        <f aca="false">S234</f>
        <v>1</v>
      </c>
      <c r="U234" s="327" t="n">
        <f aca="false">T234</f>
        <v>1</v>
      </c>
      <c r="V234" s="327" t="n">
        <f aca="false">U234</f>
        <v>1</v>
      </c>
      <c r="W234" s="327" t="n">
        <f aca="false">V234</f>
        <v>1</v>
      </c>
      <c r="X234" s="327" t="n">
        <v>2</v>
      </c>
      <c r="Y234" s="315" t="n">
        <v>1000</v>
      </c>
    </row>
    <row r="235" customFormat="false" ht="12.75" hidden="false" customHeight="false" outlineLevel="0" collapsed="false">
      <c r="A235" s="328" t="s">
        <v>228</v>
      </c>
      <c r="B235" s="329" t="n">
        <v>0</v>
      </c>
      <c r="C235" s="330" t="n">
        <v>55</v>
      </c>
      <c r="D235" s="330" t="n">
        <v>168</v>
      </c>
      <c r="E235" s="330" t="n">
        <v>157</v>
      </c>
      <c r="F235" s="330" t="n">
        <v>148</v>
      </c>
      <c r="G235" s="330" t="n">
        <v>125</v>
      </c>
      <c r="H235" s="330" t="n">
        <v>135</v>
      </c>
      <c r="I235" s="330" t="n">
        <v>141</v>
      </c>
      <c r="J235" s="330" t="n">
        <v>142</v>
      </c>
      <c r="K235" s="330" t="n">
        <v>141</v>
      </c>
      <c r="L235" s="330" t="n">
        <v>133</v>
      </c>
      <c r="M235" s="330" t="n">
        <v>127</v>
      </c>
      <c r="N235" s="330" t="n">
        <v>128</v>
      </c>
      <c r="O235" s="330" t="n">
        <v>60</v>
      </c>
      <c r="P235" s="330" t="n">
        <v>15</v>
      </c>
      <c r="Q235" s="330" t="n">
        <v>0</v>
      </c>
      <c r="R235" s="330" t="n">
        <v>0</v>
      </c>
      <c r="S235" s="330" t="n">
        <f aca="false">R235</f>
        <v>0</v>
      </c>
      <c r="T235" s="330" t="n">
        <f aca="false">S235</f>
        <v>0</v>
      </c>
      <c r="U235" s="330" t="n">
        <f aca="false">T235</f>
        <v>0</v>
      </c>
      <c r="V235" s="330" t="n">
        <f aca="false">U235</f>
        <v>0</v>
      </c>
      <c r="W235" s="330" t="n">
        <f aca="false">V235</f>
        <v>0</v>
      </c>
      <c r="X235" s="330" t="n">
        <f aca="false">W235</f>
        <v>0</v>
      </c>
      <c r="Y235" s="331" t="n">
        <v>0</v>
      </c>
    </row>
    <row r="236" customFormat="false" ht="13.5" hidden="false" customHeight="false" outlineLevel="0" collapsed="false">
      <c r="A236" s="316" t="s">
        <v>229</v>
      </c>
      <c r="B236" s="332" t="n">
        <f aca="false">(C235+B235)*(C234-B234)/2</f>
        <v>0.275</v>
      </c>
      <c r="C236" s="333" t="n">
        <f aca="false">(D235+C235)*(D234-C234)/2</f>
        <v>1.115</v>
      </c>
      <c r="D236" s="333" t="n">
        <f aca="false">(E235+D235)*(E234-D234)/2</f>
        <v>1.625</v>
      </c>
      <c r="E236" s="333" t="n">
        <f aca="false">(F235+E235)*(F234-E234)/2</f>
        <v>1.525</v>
      </c>
      <c r="F236" s="333" t="n">
        <f aca="false">(G235+F235)*(G234-F234)/2</f>
        <v>1.365</v>
      </c>
      <c r="G236" s="333" t="n">
        <f aca="false">(H235+G235)*(H234-G234)/2</f>
        <v>6.5</v>
      </c>
      <c r="H236" s="333" t="n">
        <f aca="false">(I235+H235)*(I234-H234)/2</f>
        <v>13.8</v>
      </c>
      <c r="I236" s="333" t="n">
        <f aca="false">(J235+I235)*(J234-I234)/2</f>
        <v>14.15</v>
      </c>
      <c r="J236" s="333" t="n">
        <f aca="false">(K235+J235)*(K234-J234)/2</f>
        <v>14.15</v>
      </c>
      <c r="K236" s="333" t="n">
        <f aca="false">(L235+K235)*(L234-K234)/2</f>
        <v>27.4</v>
      </c>
      <c r="L236" s="333" t="n">
        <f aca="false">(M235+L235)*(M234-L234)/2</f>
        <v>19.5</v>
      </c>
      <c r="M236" s="333" t="n">
        <f aca="false">(N235+M235)*(N234-M234)/2</f>
        <v>7.65000000000001</v>
      </c>
      <c r="N236" s="333" t="n">
        <f aca="false">(O235+N235)*(O234-N234)/2</f>
        <v>4.69999999999999</v>
      </c>
      <c r="O236" s="333" t="n">
        <f aca="false">(P235+O235)*(P234-O234)/2</f>
        <v>1.5</v>
      </c>
      <c r="P236" s="333" t="n">
        <f aca="false">(Q235+P235)*(Q234-P234)/2</f>
        <v>0.375</v>
      </c>
      <c r="Q236" s="333" t="n">
        <f aca="false">(R235+Q235)*(R234-Q234)/2</f>
        <v>0</v>
      </c>
      <c r="R236" s="333" t="n">
        <f aca="false">(S235+R235)*(S234-R234)/2</f>
        <v>0</v>
      </c>
      <c r="S236" s="333" t="n">
        <f aca="false">(T235+S235)*(T234-S234)/2</f>
        <v>0</v>
      </c>
      <c r="T236" s="333" t="n">
        <f aca="false">(U235+T235)*(U234-T234)/2</f>
        <v>0</v>
      </c>
      <c r="U236" s="333" t="n">
        <f aca="false">(V235+U235)*(V234-U234)/2</f>
        <v>0</v>
      </c>
      <c r="V236" s="333" t="n">
        <f aca="false">(W235+V235)*(W234-V234)/2</f>
        <v>0</v>
      </c>
      <c r="W236" s="333" t="n">
        <f aca="false">(X235+W235)*(X234-W234)/2</f>
        <v>0</v>
      </c>
      <c r="X236" s="333" t="n">
        <f aca="false">(Y235+X235)*(Y234-X234)/2</f>
        <v>0</v>
      </c>
      <c r="Y236" s="319"/>
    </row>
    <row r="237" customFormat="false" ht="13.5" hidden="false" customHeight="false" outlineLevel="0" collapsed="false">
      <c r="B237" s="320"/>
      <c r="C237" s="320"/>
      <c r="D237" s="320"/>
      <c r="E237" s="320"/>
      <c r="F237" s="320"/>
      <c r="G237" s="320"/>
      <c r="H237" s="320"/>
      <c r="I237" s="320"/>
      <c r="J237" s="320"/>
      <c r="K237" s="320"/>
      <c r="L237" s="320"/>
      <c r="M237" s="320"/>
      <c r="N237" s="320"/>
      <c r="O237" s="320"/>
      <c r="P237" s="320"/>
      <c r="Q237" s="320"/>
      <c r="R237" s="320"/>
      <c r="S237" s="320"/>
      <c r="T237" s="320"/>
      <c r="U237" s="320"/>
      <c r="V237" s="320"/>
      <c r="W237" s="320"/>
      <c r="X237" s="320"/>
      <c r="Y237" s="320"/>
    </row>
    <row r="238" customFormat="false" ht="13.5" hidden="false" customHeight="false" outlineLevel="0" collapsed="false">
      <c r="A238" s="321" t="s">
        <v>285</v>
      </c>
      <c r="B238" s="322" t="n">
        <f aca="false">ROW(A238)</f>
        <v>238</v>
      </c>
      <c r="C238" s="305" t="s">
        <v>212</v>
      </c>
      <c r="D238" s="306" t="n">
        <f aca="false">SUM(B241:Y241)</f>
        <v>158.048151</v>
      </c>
      <c r="E238" s="305" t="s">
        <v>213</v>
      </c>
      <c r="F238" s="307" t="n">
        <v>198</v>
      </c>
      <c r="G238" s="305" t="s">
        <v>214</v>
      </c>
      <c r="H238" s="323" t="n">
        <v>0.1945</v>
      </c>
      <c r="I238" s="305" t="s">
        <v>225</v>
      </c>
      <c r="J238" s="308" t="n">
        <f aca="false">H238-L238</f>
        <v>0.0896</v>
      </c>
      <c r="K238" s="305" t="s">
        <v>226</v>
      </c>
      <c r="L238" s="323" t="n">
        <v>0.1049</v>
      </c>
      <c r="M238" s="305" t="s">
        <v>217</v>
      </c>
      <c r="N238" s="324" t="n">
        <v>93</v>
      </c>
      <c r="O238" s="305" t="s">
        <v>218</v>
      </c>
      <c r="P238" s="324" t="n">
        <v>93</v>
      </c>
      <c r="Q238" s="305" t="s">
        <v>219</v>
      </c>
      <c r="R238" s="324" t="n">
        <v>187</v>
      </c>
      <c r="S238" s="305" t="s">
        <v>220</v>
      </c>
      <c r="T238" s="324" t="n">
        <v>29</v>
      </c>
      <c r="U238" s="305" t="s">
        <v>8</v>
      </c>
      <c r="V238" s="325" t="s">
        <v>256</v>
      </c>
      <c r="W238" s="311" t="s">
        <v>221</v>
      </c>
      <c r="X238" s="334" t="n">
        <v>1.27</v>
      </c>
      <c r="Y238" s="311" t="s">
        <v>222</v>
      </c>
      <c r="Z238" s="310" t="n">
        <v>14</v>
      </c>
    </row>
    <row r="239" customFormat="false" ht="12.75" hidden="false" customHeight="false" outlineLevel="0" collapsed="false">
      <c r="A239" s="303" t="s">
        <v>227</v>
      </c>
      <c r="B239" s="330" t="n">
        <v>0</v>
      </c>
      <c r="C239" s="330" t="n">
        <v>0.004</v>
      </c>
      <c r="D239" s="330" t="n">
        <v>0.022</v>
      </c>
      <c r="E239" s="330" t="n">
        <v>0.039</v>
      </c>
      <c r="F239" s="330" t="n">
        <v>0.122</v>
      </c>
      <c r="G239" s="330" t="n">
        <v>0.236</v>
      </c>
      <c r="H239" s="330" t="n">
        <v>0.589</v>
      </c>
      <c r="I239" s="330" t="n">
        <v>0.801</v>
      </c>
      <c r="J239" s="330" t="n">
        <v>1.068</v>
      </c>
      <c r="K239" s="330" t="n">
        <v>1.118</v>
      </c>
      <c r="L239" s="330" t="n">
        <v>1.145</v>
      </c>
      <c r="M239" s="330" t="n">
        <v>1.174</v>
      </c>
      <c r="N239" s="330" t="n">
        <v>1.211</v>
      </c>
      <c r="O239" s="330" t="n">
        <v>1.247</v>
      </c>
      <c r="P239" s="330" t="n">
        <v>1.299</v>
      </c>
      <c r="Q239" s="327" t="n">
        <v>2</v>
      </c>
      <c r="R239" s="327" t="n">
        <v>2</v>
      </c>
      <c r="S239" s="327" t="n">
        <f aca="false">R239</f>
        <v>2</v>
      </c>
      <c r="T239" s="327" t="n">
        <f aca="false">S239</f>
        <v>2</v>
      </c>
      <c r="U239" s="327" t="n">
        <f aca="false">T239</f>
        <v>2</v>
      </c>
      <c r="V239" s="327" t="n">
        <f aca="false">U239</f>
        <v>2</v>
      </c>
      <c r="W239" s="327" t="n">
        <f aca="false">V239</f>
        <v>2</v>
      </c>
      <c r="X239" s="327" t="n">
        <f aca="false">W239</f>
        <v>2</v>
      </c>
      <c r="Y239" s="315" t="n">
        <v>1000</v>
      </c>
    </row>
    <row r="240" customFormat="false" ht="12.75" hidden="false" customHeight="false" outlineLevel="0" collapsed="false">
      <c r="A240" s="328" t="s">
        <v>228</v>
      </c>
      <c r="B240" s="330" t="n">
        <v>0</v>
      </c>
      <c r="C240" s="330" t="n">
        <v>15.683</v>
      </c>
      <c r="D240" s="330" t="n">
        <v>170.834</v>
      </c>
      <c r="E240" s="330" t="n">
        <v>116.877</v>
      </c>
      <c r="F240" s="330" t="n">
        <v>142.642</v>
      </c>
      <c r="G240" s="330" t="n">
        <v>149.737</v>
      </c>
      <c r="H240" s="330" t="n">
        <v>142.642</v>
      </c>
      <c r="I240" s="330" t="n">
        <v>131.253</v>
      </c>
      <c r="J240" s="330" t="n">
        <v>122.104</v>
      </c>
      <c r="K240" s="330" t="n">
        <v>107.915</v>
      </c>
      <c r="L240" s="330" t="n">
        <v>78.416</v>
      </c>
      <c r="M240" s="330" t="n">
        <v>43.129</v>
      </c>
      <c r="N240" s="330" t="n">
        <v>21.471</v>
      </c>
      <c r="O240" s="330" t="n">
        <v>8.775</v>
      </c>
      <c r="P240" s="330" t="n">
        <v>0</v>
      </c>
      <c r="Q240" s="330" t="n">
        <v>0</v>
      </c>
      <c r="R240" s="330" t="n">
        <v>0</v>
      </c>
      <c r="S240" s="330" t="n">
        <f aca="false">R240</f>
        <v>0</v>
      </c>
      <c r="T240" s="330" t="n">
        <f aca="false">S240</f>
        <v>0</v>
      </c>
      <c r="U240" s="330" t="n">
        <f aca="false">T240</f>
        <v>0</v>
      </c>
      <c r="V240" s="330" t="n">
        <f aca="false">U240</f>
        <v>0</v>
      </c>
      <c r="W240" s="330" t="n">
        <f aca="false">V240</f>
        <v>0</v>
      </c>
      <c r="X240" s="330" t="n">
        <f aca="false">W240</f>
        <v>0</v>
      </c>
      <c r="Y240" s="331" t="n">
        <v>0</v>
      </c>
    </row>
    <row r="241" customFormat="false" ht="13.5" hidden="false" customHeight="false" outlineLevel="0" collapsed="false">
      <c r="A241" s="316" t="s">
        <v>229</v>
      </c>
      <c r="B241" s="332" t="n">
        <f aca="false">(C240+B240)*(C239-B239)/2</f>
        <v>0.031366</v>
      </c>
      <c r="C241" s="333" t="n">
        <f aca="false">(D240+C240)*(D239-C239)/2</f>
        <v>1.678653</v>
      </c>
      <c r="D241" s="333" t="n">
        <f aca="false">(E240+D240)*(E239-D239)/2</f>
        <v>2.4455435</v>
      </c>
      <c r="E241" s="333" t="n">
        <f aca="false">(F240+E240)*(F239-E239)/2</f>
        <v>10.7700385</v>
      </c>
      <c r="F241" s="333" t="n">
        <f aca="false">(G240+F240)*(G239-F239)/2</f>
        <v>16.665603</v>
      </c>
      <c r="G241" s="333" t="n">
        <f aca="false">(H240+G240)*(H239-G239)/2</f>
        <v>51.6048935</v>
      </c>
      <c r="H241" s="333" t="n">
        <f aca="false">(I240+H240)*(I239-H239)/2</f>
        <v>29.03287</v>
      </c>
      <c r="I241" s="333" t="n">
        <f aca="false">(J240+I240)*(J239-I239)/2</f>
        <v>33.8231595</v>
      </c>
      <c r="J241" s="333" t="n">
        <f aca="false">(K240+J240)*(K239-J239)/2</f>
        <v>5.75047500000001</v>
      </c>
      <c r="K241" s="333" t="n">
        <f aca="false">(L240+K240)*(L239-K239)/2</f>
        <v>2.51546849999999</v>
      </c>
      <c r="L241" s="333" t="n">
        <f aca="false">(M240+L240)*(M239-L239)/2</f>
        <v>1.76240249999999</v>
      </c>
      <c r="M241" s="333" t="n">
        <f aca="false">(N240+M240)*(N239-M239)/2</f>
        <v>1.1951</v>
      </c>
      <c r="N241" s="333" t="n">
        <f aca="false">(O240+N240)*(O239-N239)/2</f>
        <v>0.544428000000001</v>
      </c>
      <c r="O241" s="333" t="n">
        <f aca="false">(P240+O240)*(P239-O239)/2</f>
        <v>0.228149999999999</v>
      </c>
      <c r="P241" s="333" t="n">
        <f aca="false">(Q240+P240)*(Q239-P239)/2</f>
        <v>0</v>
      </c>
      <c r="Q241" s="333" t="n">
        <f aca="false">(R240+Q240)*(R239-Q239)/2</f>
        <v>0</v>
      </c>
      <c r="R241" s="333" t="n">
        <f aca="false">(S240+R240)*(S239-R239)/2</f>
        <v>0</v>
      </c>
      <c r="S241" s="333" t="n">
        <f aca="false">(T240+S240)*(T239-S239)/2</f>
        <v>0</v>
      </c>
      <c r="T241" s="333" t="n">
        <f aca="false">(U240+T240)*(U239-T239)/2</f>
        <v>0</v>
      </c>
      <c r="U241" s="333" t="n">
        <f aca="false">(V240+U240)*(V239-U239)/2</f>
        <v>0</v>
      </c>
      <c r="V241" s="333" t="n">
        <f aca="false">(W240+V240)*(W239-V239)/2</f>
        <v>0</v>
      </c>
      <c r="W241" s="333" t="n">
        <f aca="false">(X240+W240)*(X239-W239)/2</f>
        <v>0</v>
      </c>
      <c r="X241" s="333" t="n">
        <f aca="false">(Y240+X240)*(Y239-X239)/2</f>
        <v>0</v>
      </c>
      <c r="Y241" s="319"/>
    </row>
    <row r="242" customFormat="false" ht="13.5" hidden="false" customHeight="false" outlineLevel="0" collapsed="false">
      <c r="A242" s="160" t="s">
        <v>286</v>
      </c>
      <c r="B242" s="320"/>
      <c r="C242" s="320"/>
      <c r="D242" s="320"/>
      <c r="E242" s="320"/>
      <c r="F242" s="320"/>
      <c r="G242" s="320"/>
      <c r="H242" s="320"/>
      <c r="I242" s="320"/>
      <c r="J242" s="320"/>
      <c r="K242" s="320"/>
      <c r="L242" s="320"/>
      <c r="M242" s="320"/>
      <c r="N242" s="320"/>
      <c r="O242" s="320"/>
      <c r="P242" s="320"/>
      <c r="Q242" s="320"/>
      <c r="R242" s="320"/>
      <c r="S242" s="320"/>
      <c r="T242" s="320"/>
      <c r="U242" s="320"/>
      <c r="V242" s="320"/>
      <c r="W242" s="320"/>
      <c r="X242" s="320"/>
      <c r="Y242" s="320"/>
    </row>
    <row r="243" customFormat="false" ht="13.5" hidden="false" customHeight="false" outlineLevel="0" collapsed="false">
      <c r="A243" s="321" t="s">
        <v>287</v>
      </c>
      <c r="B243" s="322" t="n">
        <f aca="false">ROW(A243)</f>
        <v>243</v>
      </c>
      <c r="C243" s="305" t="s">
        <v>212</v>
      </c>
      <c r="D243" s="306" t="n">
        <f aca="false">SUM(B246:Y246)</f>
        <v>136.75235</v>
      </c>
      <c r="E243" s="305" t="s">
        <v>213</v>
      </c>
      <c r="F243" s="307" t="n">
        <f aca="false">D243/g/J243</f>
        <v>152.350785136166</v>
      </c>
      <c r="G243" s="305" t="s">
        <v>214</v>
      </c>
      <c r="H243" s="323" t="n">
        <v>0.2125</v>
      </c>
      <c r="I243" s="305" t="s">
        <v>225</v>
      </c>
      <c r="J243" s="308" t="n">
        <f aca="false">H243-L243</f>
        <v>0.0915</v>
      </c>
      <c r="K243" s="305" t="s">
        <v>226</v>
      </c>
      <c r="L243" s="323" t="n">
        <v>0.121</v>
      </c>
      <c r="M243" s="305" t="s">
        <v>217</v>
      </c>
      <c r="N243" s="324" t="n">
        <v>63</v>
      </c>
      <c r="O243" s="305" t="s">
        <v>218</v>
      </c>
      <c r="P243" s="324" t="n">
        <v>114</v>
      </c>
      <c r="Q243" s="305" t="s">
        <v>219</v>
      </c>
      <c r="R243" s="324" t="n">
        <v>127</v>
      </c>
      <c r="S243" s="305" t="s">
        <v>220</v>
      </c>
      <c r="T243" s="324" t="n">
        <v>38</v>
      </c>
      <c r="U243" s="305" t="s">
        <v>8</v>
      </c>
      <c r="V243" s="325" t="s">
        <v>256</v>
      </c>
      <c r="W243" s="311" t="s">
        <v>221</v>
      </c>
      <c r="X243" s="334" t="n">
        <v>2.36</v>
      </c>
      <c r="Y243" s="311" t="s">
        <v>222</v>
      </c>
      <c r="Z243" s="310" t="n">
        <v>13</v>
      </c>
    </row>
    <row r="244" customFormat="false" ht="12.75" hidden="false" customHeight="false" outlineLevel="0" collapsed="false">
      <c r="A244" s="303" t="s">
        <v>227</v>
      </c>
      <c r="B244" s="326" t="n">
        <v>0</v>
      </c>
      <c r="C244" s="327" t="n">
        <v>0.029</v>
      </c>
      <c r="D244" s="327" t="n">
        <v>0.046</v>
      </c>
      <c r="E244" s="327" t="n">
        <v>0.058</v>
      </c>
      <c r="F244" s="327" t="n">
        <v>0.084</v>
      </c>
      <c r="G244" s="327" t="n">
        <v>0.171</v>
      </c>
      <c r="H244" s="327" t="n">
        <v>0.28</v>
      </c>
      <c r="I244" s="327" t="n">
        <v>0.455</v>
      </c>
      <c r="J244" s="327" t="n">
        <v>0.586</v>
      </c>
      <c r="K244" s="327" t="n">
        <v>0.741</v>
      </c>
      <c r="L244" s="327" t="n">
        <v>0.952</v>
      </c>
      <c r="M244" s="327" t="n">
        <v>1.217</v>
      </c>
      <c r="N244" s="327" t="n">
        <v>1.43</v>
      </c>
      <c r="O244" s="327" t="n">
        <v>1.626</v>
      </c>
      <c r="P244" s="327" t="n">
        <v>1.807</v>
      </c>
      <c r="Q244" s="327" t="n">
        <v>1.959</v>
      </c>
      <c r="R244" s="327" t="n">
        <v>2.104</v>
      </c>
      <c r="S244" s="327" t="n">
        <v>2.168</v>
      </c>
      <c r="T244" s="327" t="n">
        <v>2.21</v>
      </c>
      <c r="U244" s="327" t="n">
        <v>2.247</v>
      </c>
      <c r="V244" s="327" t="n">
        <v>2.329</v>
      </c>
      <c r="W244" s="327" t="n">
        <f aca="false">2.4</f>
        <v>2.4</v>
      </c>
      <c r="X244" s="327" t="n">
        <f aca="false">W244</f>
        <v>2.4</v>
      </c>
      <c r="Y244" s="315" t="n">
        <v>1000</v>
      </c>
    </row>
    <row r="245" customFormat="false" ht="12.75" hidden="false" customHeight="false" outlineLevel="0" collapsed="false">
      <c r="A245" s="328" t="s">
        <v>228</v>
      </c>
      <c r="B245" s="329" t="n">
        <v>0</v>
      </c>
      <c r="C245" s="330" t="n">
        <v>90.25</v>
      </c>
      <c r="D245" s="330" t="n">
        <v>69.17</v>
      </c>
      <c r="E245" s="330" t="n">
        <v>59.947</v>
      </c>
      <c r="F245" s="330" t="n">
        <v>47.167</v>
      </c>
      <c r="G245" s="330" t="n">
        <v>57.971</v>
      </c>
      <c r="H245" s="330" t="n">
        <v>59.552</v>
      </c>
      <c r="I245" s="330" t="n">
        <v>61.265</v>
      </c>
      <c r="J245" s="330" t="n">
        <v>61.66</v>
      </c>
      <c r="K245" s="330" t="n">
        <v>62.319</v>
      </c>
      <c r="L245" s="330" t="n">
        <v>63.768</v>
      </c>
      <c r="M245" s="330" t="n">
        <v>64.69</v>
      </c>
      <c r="N245" s="330" t="n">
        <v>63.768</v>
      </c>
      <c r="O245" s="330" t="n">
        <v>61.265</v>
      </c>
      <c r="P245" s="330" t="n">
        <v>58.103</v>
      </c>
      <c r="Q245" s="330" t="n">
        <v>53.887</v>
      </c>
      <c r="R245" s="330" t="n">
        <v>48.353</v>
      </c>
      <c r="S245" s="330" t="n">
        <v>47.563</v>
      </c>
      <c r="T245" s="330" t="n">
        <v>44.005</v>
      </c>
      <c r="U245" s="330" t="n">
        <v>37.286</v>
      </c>
      <c r="V245" s="330" t="n">
        <v>22.266</v>
      </c>
      <c r="W245" s="330" t="n">
        <v>0</v>
      </c>
      <c r="X245" s="330" t="n">
        <f aca="false">W245</f>
        <v>0</v>
      </c>
      <c r="Y245" s="331" t="n">
        <v>0</v>
      </c>
    </row>
    <row r="246" customFormat="false" ht="13.5" hidden="false" customHeight="false" outlineLevel="0" collapsed="false">
      <c r="A246" s="316" t="s">
        <v>229</v>
      </c>
      <c r="B246" s="332" t="n">
        <f aca="false">(C245+B245)*(C244-B244)/2</f>
        <v>1.308625</v>
      </c>
      <c r="C246" s="333" t="n">
        <f aca="false">(D245+C245)*(D244-C244)/2</f>
        <v>1.35507</v>
      </c>
      <c r="D246" s="333" t="n">
        <f aca="false">(E245+D245)*(E244-D244)/2</f>
        <v>0.774702</v>
      </c>
      <c r="E246" s="333" t="n">
        <f aca="false">(F245+E245)*(F244-E244)/2</f>
        <v>1.392482</v>
      </c>
      <c r="F246" s="333" t="n">
        <f aca="false">(G245+F245)*(G244-F244)/2</f>
        <v>4.573503</v>
      </c>
      <c r="G246" s="333" t="n">
        <f aca="false">(H245+G245)*(H244-G244)/2</f>
        <v>6.4050035</v>
      </c>
      <c r="H246" s="333" t="n">
        <f aca="false">(I245+H245)*(I244-H244)/2</f>
        <v>10.5714875</v>
      </c>
      <c r="I246" s="333" t="n">
        <f aca="false">(J245+I245)*(J244-I244)/2</f>
        <v>8.0515875</v>
      </c>
      <c r="J246" s="333" t="n">
        <f aca="false">(K245+J245)*(K244-J244)/2</f>
        <v>9.6083725</v>
      </c>
      <c r="K246" s="333" t="n">
        <f aca="false">(L245+K245)*(L244-K244)/2</f>
        <v>13.3021785</v>
      </c>
      <c r="L246" s="333" t="n">
        <f aca="false">(M245+L245)*(M244-L244)/2</f>
        <v>17.020685</v>
      </c>
      <c r="M246" s="333" t="n">
        <f aca="false">(N245+M245)*(N244-M244)/2</f>
        <v>13.680777</v>
      </c>
      <c r="N246" s="333" t="n">
        <f aca="false">(O245+N245)*(O244-N244)/2</f>
        <v>12.253234</v>
      </c>
      <c r="O246" s="333" t="n">
        <f aca="false">(P245+O245)*(P244-O244)/2</f>
        <v>10.802804</v>
      </c>
      <c r="P246" s="333" t="n">
        <f aca="false">(Q245+P245)*(Q244-P244)/2</f>
        <v>8.51124000000001</v>
      </c>
      <c r="Q246" s="333" t="n">
        <f aca="false">(R245+Q245)*(R244-Q244)/2</f>
        <v>7.4124</v>
      </c>
      <c r="R246" s="333" t="n">
        <f aca="false">(S245+R245)*(S244-R244)/2</f>
        <v>3.069312</v>
      </c>
      <c r="S246" s="333" t="n">
        <f aca="false">(T245+S245)*(T244-S244)/2</f>
        <v>1.92292799999999</v>
      </c>
      <c r="T246" s="333" t="n">
        <f aca="false">(U245+T245)*(U244-T244)/2</f>
        <v>1.5038835</v>
      </c>
      <c r="U246" s="333" t="n">
        <f aca="false">(V245+U245)*(V244-U244)/2</f>
        <v>2.44163200000001</v>
      </c>
      <c r="V246" s="333" t="n">
        <f aca="false">(W245+V245)*(W244-V244)/2</f>
        <v>0.790442999999997</v>
      </c>
      <c r="W246" s="333" t="n">
        <f aca="false">(X245+W245)*(X244-W244)/2</f>
        <v>0</v>
      </c>
      <c r="X246" s="333" t="n">
        <f aca="false">(Y245+X245)*(Y244-X244)/2</f>
        <v>0</v>
      </c>
      <c r="Y246" s="319"/>
    </row>
    <row r="247" customFormat="false" ht="13.5" hidden="false" customHeight="false" outlineLevel="0" collapsed="false">
      <c r="B247" s="320"/>
      <c r="C247" s="320"/>
      <c r="D247" s="320"/>
      <c r="E247" s="320"/>
      <c r="F247" s="320"/>
      <c r="G247" s="320"/>
      <c r="H247" s="320"/>
      <c r="I247" s="320"/>
      <c r="J247" s="320"/>
      <c r="K247" s="320"/>
      <c r="L247" s="320"/>
      <c r="M247" s="320"/>
      <c r="N247" s="320"/>
      <c r="O247" s="320"/>
      <c r="P247" s="320"/>
      <c r="Q247" s="320"/>
      <c r="R247" s="320"/>
      <c r="S247" s="320"/>
      <c r="T247" s="320"/>
      <c r="U247" s="320"/>
      <c r="V247" s="320"/>
      <c r="W247" s="320"/>
      <c r="X247" s="320"/>
      <c r="Y247" s="320"/>
    </row>
    <row r="248" customFormat="false" ht="13.5" hidden="false" customHeight="false" outlineLevel="0" collapsed="false">
      <c r="A248" s="321" t="s">
        <v>288</v>
      </c>
      <c r="B248" s="322" t="n">
        <f aca="false">ROW(A248)</f>
        <v>248</v>
      </c>
      <c r="C248" s="305" t="s">
        <v>212</v>
      </c>
      <c r="D248" s="306" t="n">
        <f aca="false">SUM(B251:Y251)</f>
        <v>127.06945</v>
      </c>
      <c r="E248" s="305" t="s">
        <v>213</v>
      </c>
      <c r="F248" s="307" t="n">
        <f aca="false">D248/g/J248</f>
        <v>180.656248356145</v>
      </c>
      <c r="G248" s="305" t="s">
        <v>214</v>
      </c>
      <c r="H248" s="323" t="n">
        <v>0.1884</v>
      </c>
      <c r="I248" s="305" t="s">
        <v>225</v>
      </c>
      <c r="J248" s="308" t="n">
        <f aca="false">H248-L248</f>
        <v>0.0717</v>
      </c>
      <c r="K248" s="305" t="s">
        <v>226</v>
      </c>
      <c r="L248" s="323" t="n">
        <v>0.1167</v>
      </c>
      <c r="M248" s="305" t="s">
        <v>217</v>
      </c>
      <c r="N248" s="324" t="n">
        <v>63</v>
      </c>
      <c r="O248" s="305" t="s">
        <v>218</v>
      </c>
      <c r="P248" s="324" t="n">
        <v>114</v>
      </c>
      <c r="Q248" s="305" t="s">
        <v>219</v>
      </c>
      <c r="R248" s="324" t="n">
        <v>127</v>
      </c>
      <c r="S248" s="305" t="s">
        <v>220</v>
      </c>
      <c r="T248" s="324" t="n">
        <v>38</v>
      </c>
      <c r="U248" s="305" t="s">
        <v>8</v>
      </c>
      <c r="V248" s="325" t="s">
        <v>256</v>
      </c>
      <c r="W248" s="311" t="s">
        <v>221</v>
      </c>
      <c r="X248" s="334" t="n">
        <v>0.69</v>
      </c>
      <c r="Y248" s="311" t="s">
        <v>222</v>
      </c>
      <c r="Z248" s="310" t="n">
        <v>12</v>
      </c>
    </row>
    <row r="249" customFormat="false" ht="12.75" hidden="false" customHeight="false" outlineLevel="0" collapsed="false">
      <c r="A249" s="303" t="s">
        <v>227</v>
      </c>
      <c r="B249" s="326" t="n">
        <v>0</v>
      </c>
      <c r="C249" s="327" t="n">
        <v>0.01</v>
      </c>
      <c r="D249" s="327" t="n">
        <v>0.02</v>
      </c>
      <c r="E249" s="327" t="n">
        <v>0.05</v>
      </c>
      <c r="F249" s="327" t="n">
        <v>0.1</v>
      </c>
      <c r="G249" s="327" t="n">
        <v>0.2</v>
      </c>
      <c r="H249" s="327" t="n">
        <v>0.3</v>
      </c>
      <c r="I249" s="327" t="n">
        <v>0.35</v>
      </c>
      <c r="J249" s="327" t="n">
        <v>0.4</v>
      </c>
      <c r="K249" s="327" t="n">
        <v>0.45</v>
      </c>
      <c r="L249" s="327" t="n">
        <v>0.5</v>
      </c>
      <c r="M249" s="327" t="n">
        <v>0.55</v>
      </c>
      <c r="N249" s="327" t="n">
        <v>0.6</v>
      </c>
      <c r="O249" s="327" t="n">
        <v>0.61</v>
      </c>
      <c r="P249" s="327" t="n">
        <v>0.63</v>
      </c>
      <c r="Q249" s="327" t="n">
        <v>0.64</v>
      </c>
      <c r="R249" s="327" t="n">
        <v>0.65</v>
      </c>
      <c r="S249" s="327" t="n">
        <v>0.67</v>
      </c>
      <c r="T249" s="327" t="n">
        <v>0.68</v>
      </c>
      <c r="U249" s="327" t="n">
        <v>0.69</v>
      </c>
      <c r="V249" s="327" t="n">
        <f aca="false">U249</f>
        <v>0.69</v>
      </c>
      <c r="W249" s="327" t="n">
        <f aca="false">V249</f>
        <v>0.69</v>
      </c>
      <c r="X249" s="327" t="n">
        <v>2</v>
      </c>
      <c r="Y249" s="315" t="n">
        <v>1000</v>
      </c>
    </row>
    <row r="250" customFormat="false" ht="12.75" hidden="false" customHeight="false" outlineLevel="0" collapsed="false">
      <c r="A250" s="328" t="s">
        <v>228</v>
      </c>
      <c r="B250" s="329" t="n">
        <v>0</v>
      </c>
      <c r="C250" s="330" t="n">
        <v>108.72</v>
      </c>
      <c r="D250" s="330" t="n">
        <v>131.19</v>
      </c>
      <c r="E250" s="330" t="n">
        <v>153.14</v>
      </c>
      <c r="F250" s="330" t="n">
        <v>168.97</v>
      </c>
      <c r="G250" s="330" t="n">
        <v>189.92</v>
      </c>
      <c r="H250" s="330" t="n">
        <v>199.95</v>
      </c>
      <c r="I250" s="330" t="n">
        <v>203.59</v>
      </c>
      <c r="J250" s="330" t="n">
        <v>205.03</v>
      </c>
      <c r="K250" s="330" t="n">
        <v>202.6</v>
      </c>
      <c r="L250" s="330" t="n">
        <v>203.06</v>
      </c>
      <c r="M250" s="330" t="n">
        <v>199.34</v>
      </c>
      <c r="N250" s="330" t="n">
        <v>194.71</v>
      </c>
      <c r="O250" s="330" t="n">
        <v>194.1</v>
      </c>
      <c r="P250" s="330" t="n">
        <v>193.49</v>
      </c>
      <c r="Q250" s="330" t="n">
        <v>193.68</v>
      </c>
      <c r="R250" s="330" t="n">
        <v>202.91</v>
      </c>
      <c r="S250" s="330" t="n">
        <v>163.39</v>
      </c>
      <c r="T250" s="330" t="n">
        <v>80.44</v>
      </c>
      <c r="U250" s="330" t="n">
        <v>0</v>
      </c>
      <c r="V250" s="330" t="n">
        <f aca="false">U250</f>
        <v>0</v>
      </c>
      <c r="W250" s="330" t="n">
        <f aca="false">V250</f>
        <v>0</v>
      </c>
      <c r="X250" s="330" t="n">
        <f aca="false">W250</f>
        <v>0</v>
      </c>
      <c r="Y250" s="331" t="n">
        <v>0</v>
      </c>
    </row>
    <row r="251" customFormat="false" ht="13.5" hidden="false" customHeight="false" outlineLevel="0" collapsed="false">
      <c r="A251" s="316" t="s">
        <v>229</v>
      </c>
      <c r="B251" s="332" t="n">
        <f aca="false">(C250+B250)*(C249-B249)/2</f>
        <v>0.5436</v>
      </c>
      <c r="C251" s="333" t="n">
        <f aca="false">(D250+C250)*(D249-C249)/2</f>
        <v>1.19955</v>
      </c>
      <c r="D251" s="333" t="n">
        <f aca="false">(E250+D250)*(E249-D249)/2</f>
        <v>4.26495</v>
      </c>
      <c r="E251" s="333" t="n">
        <f aca="false">(F250+E250)*(F249-E249)/2</f>
        <v>8.05275</v>
      </c>
      <c r="F251" s="333" t="n">
        <f aca="false">(G250+F250)*(G249-F249)/2</f>
        <v>17.9445</v>
      </c>
      <c r="G251" s="333" t="n">
        <f aca="false">(H250+G250)*(H249-G249)/2</f>
        <v>19.4935</v>
      </c>
      <c r="H251" s="333" t="n">
        <f aca="false">(I250+H250)*(I249-H249)/2</f>
        <v>10.0885</v>
      </c>
      <c r="I251" s="333" t="n">
        <f aca="false">(J250+I250)*(J249-I249)/2</f>
        <v>10.2155</v>
      </c>
      <c r="J251" s="333" t="n">
        <f aca="false">(K250+J250)*(K249-J249)/2</f>
        <v>10.19075</v>
      </c>
      <c r="K251" s="333" t="n">
        <f aca="false">(L250+K250)*(L249-K249)/2</f>
        <v>10.1415</v>
      </c>
      <c r="L251" s="333" t="n">
        <f aca="false">(M250+L250)*(M249-L249)/2</f>
        <v>10.06</v>
      </c>
      <c r="M251" s="333" t="n">
        <f aca="false">(N250+M250)*(N249-M249)/2</f>
        <v>9.85124999999999</v>
      </c>
      <c r="N251" s="333" t="n">
        <f aca="false">(O250+N250)*(O249-N249)/2</f>
        <v>1.94405</v>
      </c>
      <c r="O251" s="333" t="n">
        <f aca="false">(P250+O250)*(P249-O249)/2</f>
        <v>3.8759</v>
      </c>
      <c r="P251" s="333" t="n">
        <f aca="false">(Q250+P250)*(Q249-P249)/2</f>
        <v>1.93585</v>
      </c>
      <c r="Q251" s="333" t="n">
        <f aca="false">(R250+Q250)*(R249-Q249)/2</f>
        <v>1.98295</v>
      </c>
      <c r="R251" s="333" t="n">
        <f aca="false">(S250+R250)*(S249-R249)/2</f>
        <v>3.663</v>
      </c>
      <c r="S251" s="333" t="n">
        <f aca="false">(T250+S250)*(T249-S249)/2</f>
        <v>1.21915</v>
      </c>
      <c r="T251" s="333" t="n">
        <f aca="false">(U250+T250)*(U249-T249)/2</f>
        <v>0.402199999999996</v>
      </c>
      <c r="U251" s="333" t="n">
        <f aca="false">(V250+U250)*(V249-U249)/2</f>
        <v>0</v>
      </c>
      <c r="V251" s="333" t="n">
        <f aca="false">(W250+V250)*(W249-V249)/2</f>
        <v>0</v>
      </c>
      <c r="W251" s="333" t="n">
        <f aca="false">(X250+W250)*(X249-W249)/2</f>
        <v>0</v>
      </c>
      <c r="X251" s="333" t="n">
        <f aca="false">(Y250+X250)*(Y249-X249)/2</f>
        <v>0</v>
      </c>
      <c r="Y251" s="319"/>
    </row>
    <row r="252" customFormat="false" ht="13.5" hidden="false" customHeight="false" outlineLevel="0" collapsed="false">
      <c r="B252" s="320"/>
      <c r="C252" s="320"/>
      <c r="D252" s="320"/>
      <c r="E252" s="320"/>
      <c r="F252" s="320"/>
      <c r="G252" s="320"/>
      <c r="H252" s="320"/>
      <c r="I252" s="320"/>
      <c r="J252" s="320"/>
      <c r="K252" s="320"/>
      <c r="L252" s="320"/>
      <c r="M252" s="320"/>
      <c r="N252" s="320"/>
      <c r="O252" s="320"/>
      <c r="P252" s="320"/>
      <c r="Q252" s="320"/>
      <c r="R252" s="320"/>
      <c r="S252" s="320"/>
      <c r="T252" s="320"/>
      <c r="U252" s="320"/>
      <c r="V252" s="320"/>
      <c r="W252" s="320"/>
      <c r="X252" s="320"/>
      <c r="Y252" s="320"/>
    </row>
    <row r="253" customFormat="false" ht="13.5" hidden="false" customHeight="false" outlineLevel="0" collapsed="false">
      <c r="A253" s="321" t="s">
        <v>289</v>
      </c>
      <c r="B253" s="322" t="n">
        <f aca="false">ROW(A253)</f>
        <v>253</v>
      </c>
      <c r="C253" s="305" t="s">
        <v>212</v>
      </c>
      <c r="D253" s="306" t="n">
        <f aca="false">SUM(B256:Y256)</f>
        <v>142.7236025</v>
      </c>
      <c r="E253" s="305" t="s">
        <v>213</v>
      </c>
      <c r="F253" s="307" t="n">
        <v>208</v>
      </c>
      <c r="G253" s="305" t="s">
        <v>214</v>
      </c>
      <c r="H253" s="323" t="n">
        <v>0.197</v>
      </c>
      <c r="I253" s="305" t="s">
        <v>225</v>
      </c>
      <c r="J253" s="308" t="n">
        <f aca="false">H253-L253</f>
        <v>0.07</v>
      </c>
      <c r="K253" s="305" t="s">
        <v>226</v>
      </c>
      <c r="L253" s="323" t="n">
        <v>0.127</v>
      </c>
      <c r="M253" s="305" t="s">
        <v>217</v>
      </c>
      <c r="N253" s="324" t="n">
        <v>63</v>
      </c>
      <c r="O253" s="305" t="s">
        <v>218</v>
      </c>
      <c r="P253" s="324" t="n">
        <v>114</v>
      </c>
      <c r="Q253" s="305" t="s">
        <v>219</v>
      </c>
      <c r="R253" s="324" t="n">
        <v>127</v>
      </c>
      <c r="S253" s="305" t="s">
        <v>220</v>
      </c>
      <c r="T253" s="324" t="n">
        <v>38</v>
      </c>
      <c r="U253" s="305" t="s">
        <v>8</v>
      </c>
      <c r="V253" s="325" t="s">
        <v>256</v>
      </c>
      <c r="W253" s="311" t="s">
        <v>221</v>
      </c>
      <c r="X253" s="334" t="n">
        <v>1.8</v>
      </c>
      <c r="Y253" s="311" t="s">
        <v>222</v>
      </c>
      <c r="Z253" s="310" t="n">
        <v>15</v>
      </c>
    </row>
    <row r="254" customFormat="false" ht="12.75" hidden="false" customHeight="false" outlineLevel="0" collapsed="false">
      <c r="A254" s="303" t="s">
        <v>227</v>
      </c>
      <c r="B254" s="326" t="n">
        <v>0</v>
      </c>
      <c r="C254" s="326" t="n">
        <v>0.006</v>
      </c>
      <c r="D254" s="327" t="n">
        <v>0.018</v>
      </c>
      <c r="E254" s="327" t="n">
        <v>0.036</v>
      </c>
      <c r="F254" s="327" t="n">
        <v>0.047</v>
      </c>
      <c r="G254" s="327" t="n">
        <v>0.084</v>
      </c>
      <c r="H254" s="327" t="n">
        <v>0.135</v>
      </c>
      <c r="I254" s="327" t="n">
        <v>0.238</v>
      </c>
      <c r="J254" s="327" t="n">
        <v>0.438</v>
      </c>
      <c r="K254" s="327" t="n">
        <v>0.63</v>
      </c>
      <c r="L254" s="327" t="n">
        <v>0.859</v>
      </c>
      <c r="M254" s="327" t="n">
        <v>1.283</v>
      </c>
      <c r="N254" s="327" t="n">
        <v>1.447</v>
      </c>
      <c r="O254" s="327" t="n">
        <v>1.643</v>
      </c>
      <c r="P254" s="327" t="n">
        <v>1.713</v>
      </c>
      <c r="Q254" s="327" t="n">
        <v>1.743</v>
      </c>
      <c r="R254" s="327" t="n">
        <v>1.79</v>
      </c>
      <c r="S254" s="327" t="n">
        <v>1.818</v>
      </c>
      <c r="T254" s="327" t="n">
        <v>1.852</v>
      </c>
      <c r="U254" s="327" t="n">
        <v>2</v>
      </c>
      <c r="V254" s="327" t="n">
        <f aca="false">U254</f>
        <v>2</v>
      </c>
      <c r="W254" s="327" t="n">
        <f aca="false">V254</f>
        <v>2</v>
      </c>
      <c r="X254" s="327" t="n">
        <f aca="false">W254</f>
        <v>2</v>
      </c>
      <c r="Y254" s="315" t="n">
        <v>1000</v>
      </c>
    </row>
    <row r="255" customFormat="false" ht="12.75" hidden="false" customHeight="false" outlineLevel="0" collapsed="false">
      <c r="A255" s="328" t="s">
        <v>228</v>
      </c>
      <c r="B255" s="329" t="n">
        <v>0</v>
      </c>
      <c r="C255" s="329" t="n">
        <v>104.068</v>
      </c>
      <c r="D255" s="330" t="n">
        <v>137.928</v>
      </c>
      <c r="E255" s="330" t="n">
        <v>70.707</v>
      </c>
      <c r="F255" s="330" t="n">
        <v>62.242</v>
      </c>
      <c r="G255" s="330" t="n">
        <v>73.694</v>
      </c>
      <c r="H255" s="330" t="n">
        <v>78.176</v>
      </c>
      <c r="I255" s="330" t="n">
        <v>84.151</v>
      </c>
      <c r="J255" s="330" t="n">
        <v>89.628</v>
      </c>
      <c r="K255" s="330" t="n">
        <v>88.135</v>
      </c>
      <c r="L255" s="330" t="n">
        <v>87.139</v>
      </c>
      <c r="M255" s="330" t="n">
        <v>77.18</v>
      </c>
      <c r="N255" s="330" t="n">
        <v>70.707</v>
      </c>
      <c r="O255" s="330" t="n">
        <v>67.719</v>
      </c>
      <c r="P255" s="330" t="n">
        <v>64.234</v>
      </c>
      <c r="Q255" s="330" t="n">
        <v>54.275</v>
      </c>
      <c r="R255" s="330" t="n">
        <v>18.424</v>
      </c>
      <c r="S255" s="330" t="n">
        <v>6.473</v>
      </c>
      <c r="T255" s="330" t="n">
        <v>0</v>
      </c>
      <c r="U255" s="330" t="n">
        <v>0</v>
      </c>
      <c r="V255" s="330" t="n">
        <f aca="false">U255</f>
        <v>0</v>
      </c>
      <c r="W255" s="330" t="n">
        <f aca="false">V255</f>
        <v>0</v>
      </c>
      <c r="X255" s="330" t="n">
        <f aca="false">W255</f>
        <v>0</v>
      </c>
      <c r="Y255" s="331" t="n">
        <v>0</v>
      </c>
    </row>
    <row r="256" customFormat="false" ht="13.5" hidden="false" customHeight="false" outlineLevel="0" collapsed="false">
      <c r="A256" s="316" t="s">
        <v>229</v>
      </c>
      <c r="B256" s="332" t="n">
        <f aca="false">(C255+B255)*(C254-B254)/2</f>
        <v>0.312204</v>
      </c>
      <c r="C256" s="333" t="n">
        <f aca="false">(D255+C255)*(D254-C254)/2</f>
        <v>1.451976</v>
      </c>
      <c r="D256" s="333" t="n">
        <f aca="false">(E255+D255)*(E254-D254)/2</f>
        <v>1.877715</v>
      </c>
      <c r="E256" s="333" t="n">
        <f aca="false">(F255+E255)*(F254-E254)/2</f>
        <v>0.7312195</v>
      </c>
      <c r="F256" s="333" t="n">
        <f aca="false">(G255+F255)*(G254-F254)/2</f>
        <v>2.514816</v>
      </c>
      <c r="G256" s="333" t="n">
        <f aca="false">(H255+G255)*(H254-G254)/2</f>
        <v>3.872685</v>
      </c>
      <c r="H256" s="333" t="n">
        <f aca="false">(I255+H255)*(I254-H254)/2</f>
        <v>8.3598405</v>
      </c>
      <c r="I256" s="333" t="n">
        <f aca="false">(J255+I255)*(J254-I254)/2</f>
        <v>17.3779</v>
      </c>
      <c r="J256" s="333" t="n">
        <f aca="false">(K255+J255)*(K254-J254)/2</f>
        <v>17.065248</v>
      </c>
      <c r="K256" s="333" t="n">
        <f aca="false">(L255+K255)*(L254-K254)/2</f>
        <v>20.068873</v>
      </c>
      <c r="L256" s="333" t="n">
        <f aca="false">(M255+L255)*(M254-L254)/2</f>
        <v>34.835628</v>
      </c>
      <c r="M256" s="333" t="n">
        <f aca="false">(N255+M255)*(N254-M254)/2</f>
        <v>12.126734</v>
      </c>
      <c r="N256" s="333" t="n">
        <f aca="false">(O255+N255)*(O254-N254)/2</f>
        <v>13.565748</v>
      </c>
      <c r="O256" s="333" t="n">
        <f aca="false">(P255+O255)*(P254-O254)/2</f>
        <v>4.618355</v>
      </c>
      <c r="P256" s="333" t="n">
        <f aca="false">(Q255+P255)*(Q254-P254)/2</f>
        <v>1.777635</v>
      </c>
      <c r="Q256" s="333" t="n">
        <f aca="false">(R255+Q255)*(R254-Q254)/2</f>
        <v>1.7084265</v>
      </c>
      <c r="R256" s="333" t="n">
        <f aca="false">(S255+R255)*(S254-R254)/2</f>
        <v>0.348558</v>
      </c>
      <c r="S256" s="333" t="n">
        <f aca="false">(T255+S255)*(T254-S254)/2</f>
        <v>0.110041</v>
      </c>
      <c r="T256" s="333" t="n">
        <f aca="false">(U255+T255)*(U254-T254)/2</f>
        <v>0</v>
      </c>
      <c r="U256" s="333" t="n">
        <f aca="false">(V255+U255)*(V254-U254)/2</f>
        <v>0</v>
      </c>
      <c r="V256" s="333" t="n">
        <f aca="false">(W255+V255)*(W254-V254)/2</f>
        <v>0</v>
      </c>
      <c r="W256" s="333" t="n">
        <f aca="false">(X255+W255)*(X254-W254)/2</f>
        <v>0</v>
      </c>
      <c r="X256" s="333" t="n">
        <f aca="false">(Y255+X255)*(Y254-X254)/2</f>
        <v>0</v>
      </c>
      <c r="Y256" s="319"/>
    </row>
    <row r="257" customFormat="false" ht="13.5" hidden="false" customHeight="false" outlineLevel="0" collapsed="false">
      <c r="B257" s="320"/>
      <c r="C257" s="320"/>
      <c r="D257" s="320"/>
      <c r="E257" s="320"/>
      <c r="F257" s="320"/>
      <c r="G257" s="320"/>
      <c r="H257" s="320"/>
      <c r="I257" s="320"/>
      <c r="J257" s="320"/>
      <c r="K257" s="320"/>
      <c r="L257" s="320"/>
      <c r="M257" s="320"/>
      <c r="N257" s="320"/>
      <c r="O257" s="320"/>
      <c r="P257" s="320"/>
      <c r="Q257" s="320"/>
      <c r="R257" s="320"/>
      <c r="S257" s="320"/>
      <c r="T257" s="320"/>
      <c r="U257" s="320"/>
      <c r="V257" s="320"/>
      <c r="W257" s="320"/>
      <c r="X257" s="320"/>
      <c r="Y257" s="320"/>
    </row>
    <row r="258" customFormat="false" ht="13.5" hidden="false" customHeight="false" outlineLevel="0" collapsed="false">
      <c r="A258" s="321" t="s">
        <v>290</v>
      </c>
      <c r="B258" s="338" t="n">
        <f aca="false">ROW(A258)</f>
        <v>258</v>
      </c>
      <c r="C258" s="305" t="s">
        <v>212</v>
      </c>
      <c r="D258" s="306" t="n">
        <f aca="false">SUM(B261:Y261)</f>
        <v>33.5</v>
      </c>
      <c r="E258" s="305" t="s">
        <v>213</v>
      </c>
      <c r="F258" s="307" t="n">
        <f aca="false">D258/g/J258</f>
        <v>68.2976554536188</v>
      </c>
      <c r="G258" s="305" t="s">
        <v>214</v>
      </c>
      <c r="H258" s="323" t="n">
        <v>0.085</v>
      </c>
      <c r="I258" s="305" t="s">
        <v>225</v>
      </c>
      <c r="J258" s="308" t="n">
        <f aca="false">H258-L258</f>
        <v>0.05</v>
      </c>
      <c r="K258" s="305" t="s">
        <v>226</v>
      </c>
      <c r="L258" s="323" t="n">
        <v>0.035</v>
      </c>
      <c r="M258" s="305" t="s">
        <v>217</v>
      </c>
      <c r="N258" s="324" t="n">
        <v>20</v>
      </c>
      <c r="O258" s="305" t="s">
        <v>218</v>
      </c>
      <c r="P258" s="324" t="n">
        <v>20</v>
      </c>
      <c r="Q258" s="305" t="s">
        <v>219</v>
      </c>
      <c r="R258" s="324" t="n">
        <v>39</v>
      </c>
      <c r="S258" s="305" t="s">
        <v>220</v>
      </c>
      <c r="T258" s="324" t="n">
        <v>39</v>
      </c>
      <c r="U258" s="305" t="s">
        <v>8</v>
      </c>
      <c r="V258" s="325" t="s">
        <v>245</v>
      </c>
      <c r="W258" s="320"/>
      <c r="X258" s="320"/>
      <c r="Y258" s="320"/>
    </row>
    <row r="259" customFormat="false" ht="12.75" hidden="false" customHeight="false" outlineLevel="0" collapsed="false">
      <c r="A259" s="303" t="s">
        <v>227</v>
      </c>
      <c r="B259" s="326" t="n">
        <v>0</v>
      </c>
      <c r="C259" s="327" t="n">
        <v>0.05</v>
      </c>
      <c r="D259" s="327" t="n">
        <v>0.1</v>
      </c>
      <c r="E259" s="327" t="n">
        <v>0.25</v>
      </c>
      <c r="F259" s="327" t="n">
        <v>0.3</v>
      </c>
      <c r="G259" s="327" t="n">
        <v>0.35</v>
      </c>
      <c r="H259" s="327" t="n">
        <v>0.45</v>
      </c>
      <c r="I259" s="327" t="n">
        <v>0.55</v>
      </c>
      <c r="J259" s="327" t="n">
        <v>3.5</v>
      </c>
      <c r="K259" s="327" t="n">
        <v>3.6</v>
      </c>
      <c r="L259" s="327" t="n">
        <v>3.6</v>
      </c>
      <c r="M259" s="327" t="n">
        <v>3.6</v>
      </c>
      <c r="N259" s="327" t="n">
        <v>3.6</v>
      </c>
      <c r="O259" s="327" t="n">
        <v>3.6</v>
      </c>
      <c r="P259" s="327" t="n">
        <v>3.6</v>
      </c>
      <c r="Q259" s="327" t="n">
        <v>3.6</v>
      </c>
      <c r="R259" s="327" t="n">
        <v>3.6</v>
      </c>
      <c r="S259" s="327" t="n">
        <v>3.6</v>
      </c>
      <c r="T259" s="327" t="n">
        <v>3.6</v>
      </c>
      <c r="U259" s="327" t="n">
        <v>3.6</v>
      </c>
      <c r="V259" s="327" t="n">
        <v>3.6</v>
      </c>
      <c r="W259" s="327" t="n">
        <v>3.6</v>
      </c>
      <c r="X259" s="327" t="n">
        <v>3.6</v>
      </c>
      <c r="Y259" s="315" t="n">
        <v>1000</v>
      </c>
    </row>
    <row r="260" customFormat="false" ht="12.75" hidden="false" customHeight="false" outlineLevel="0" collapsed="false">
      <c r="A260" s="328" t="s">
        <v>228</v>
      </c>
      <c r="B260" s="329" t="n">
        <v>0</v>
      </c>
      <c r="C260" s="330" t="n">
        <v>68</v>
      </c>
      <c r="D260" s="330" t="n">
        <v>62</v>
      </c>
      <c r="E260" s="330" t="n">
        <v>60</v>
      </c>
      <c r="F260" s="330" t="n">
        <v>39</v>
      </c>
      <c r="G260" s="330" t="n">
        <v>38</v>
      </c>
      <c r="H260" s="330" t="n">
        <v>9</v>
      </c>
      <c r="I260" s="330" t="n">
        <v>5</v>
      </c>
      <c r="J260" s="330" t="n">
        <v>3</v>
      </c>
      <c r="K260" s="330" t="n">
        <v>0</v>
      </c>
      <c r="L260" s="330" t="n">
        <v>0</v>
      </c>
      <c r="M260" s="330" t="n">
        <v>0</v>
      </c>
      <c r="N260" s="330" t="n">
        <v>0</v>
      </c>
      <c r="O260" s="330" t="n">
        <v>0</v>
      </c>
      <c r="P260" s="330" t="n">
        <v>0</v>
      </c>
      <c r="Q260" s="330" t="n">
        <v>0</v>
      </c>
      <c r="R260" s="330" t="n">
        <v>0</v>
      </c>
      <c r="S260" s="330" t="n">
        <v>0</v>
      </c>
      <c r="T260" s="330" t="n">
        <v>0</v>
      </c>
      <c r="U260" s="330" t="n">
        <v>0</v>
      </c>
      <c r="V260" s="330" t="n">
        <v>0</v>
      </c>
      <c r="W260" s="330" t="n">
        <v>0</v>
      </c>
      <c r="X260" s="330" t="n">
        <v>0</v>
      </c>
      <c r="Y260" s="331" t="n">
        <v>0</v>
      </c>
    </row>
    <row r="261" customFormat="false" ht="13.5" hidden="false" customHeight="false" outlineLevel="0" collapsed="false">
      <c r="A261" s="316" t="s">
        <v>229</v>
      </c>
      <c r="B261" s="332" t="n">
        <f aca="false">(C260+B260)*(C259-B259)/2</f>
        <v>1.7</v>
      </c>
      <c r="C261" s="333" t="n">
        <f aca="false">(D260+C260)*(D259-C259)/2</f>
        <v>3.25</v>
      </c>
      <c r="D261" s="333" t="n">
        <f aca="false">(E260+D260)*(E259-D259)/2</f>
        <v>9.15</v>
      </c>
      <c r="E261" s="333" t="n">
        <f aca="false">(F260+E260)*(F259-E259)/2</f>
        <v>2.475</v>
      </c>
      <c r="F261" s="333" t="n">
        <f aca="false">(G260+F260)*(G259-F259)/2</f>
        <v>1.925</v>
      </c>
      <c r="G261" s="333" t="n">
        <f aca="false">(H260+G260)*(H259-G259)/2</f>
        <v>2.35</v>
      </c>
      <c r="H261" s="333" t="n">
        <f aca="false">(I260+H260)*(I259-H259)/2</f>
        <v>0.7</v>
      </c>
      <c r="I261" s="333" t="n">
        <f aca="false">(J260+I260)*(J259-I259)/2</f>
        <v>11.8</v>
      </c>
      <c r="J261" s="333" t="n">
        <f aca="false">(K260+J260)*(K259-J259)/2</f>
        <v>0.15</v>
      </c>
      <c r="K261" s="333" t="n">
        <f aca="false">(L260+K260)*(L259-K259)/2</f>
        <v>0</v>
      </c>
      <c r="L261" s="333" t="n">
        <f aca="false">(M260+L260)*(M259-L259)/2</f>
        <v>0</v>
      </c>
      <c r="M261" s="333" t="n">
        <f aca="false">(N260+M260)*(N259-M259)/2</f>
        <v>0</v>
      </c>
      <c r="N261" s="333" t="n">
        <f aca="false">(O260+N260)*(O259-N259)/2</f>
        <v>0</v>
      </c>
      <c r="O261" s="333" t="n">
        <f aca="false">(P260+O260)*(P259-O259)/2</f>
        <v>0</v>
      </c>
      <c r="P261" s="333" t="n">
        <f aca="false">(Q260+P260)*(Q259-P259)/2</f>
        <v>0</v>
      </c>
      <c r="Q261" s="333" t="n">
        <f aca="false">(R260+Q260)*(R259-Q259)/2</f>
        <v>0</v>
      </c>
      <c r="R261" s="333" t="n">
        <f aca="false">(S260+R260)*(S259-R259)/2</f>
        <v>0</v>
      </c>
      <c r="S261" s="333" t="n">
        <f aca="false">(T260+S260)*(T259-S259)/2</f>
        <v>0</v>
      </c>
      <c r="T261" s="333" t="n">
        <f aca="false">(U260+T260)*(U259-T259)/2</f>
        <v>0</v>
      </c>
      <c r="U261" s="333" t="n">
        <f aca="false">(V260+U260)*(V259-U259)/2</f>
        <v>0</v>
      </c>
      <c r="V261" s="333" t="n">
        <f aca="false">(W260+V260)*(W259-V259)/2</f>
        <v>0</v>
      </c>
      <c r="W261" s="333" t="n">
        <f aca="false">(X260+W260)*(X259-W259)/2</f>
        <v>0</v>
      </c>
      <c r="X261" s="333" t="n">
        <f aca="false">(Y260+X260)*(Y259-X259)/2</f>
        <v>0</v>
      </c>
      <c r="Y261" s="319"/>
    </row>
    <row r="262" customFormat="false" ht="13.5" hidden="false" customHeight="false" outlineLevel="0" collapsed="false">
      <c r="B262" s="320"/>
      <c r="C262" s="320"/>
      <c r="D262" s="320"/>
      <c r="E262" s="320"/>
      <c r="F262" s="320"/>
      <c r="G262" s="320"/>
      <c r="H262" s="320"/>
      <c r="I262" s="320"/>
      <c r="J262" s="320"/>
      <c r="K262" s="320"/>
      <c r="L262" s="320"/>
      <c r="M262" s="320"/>
      <c r="N262" s="320"/>
      <c r="O262" s="320"/>
      <c r="P262" s="320"/>
      <c r="Q262" s="320"/>
      <c r="R262" s="320"/>
      <c r="S262" s="320"/>
      <c r="T262" s="320"/>
      <c r="U262" s="320"/>
      <c r="V262" s="320"/>
      <c r="W262" s="320"/>
      <c r="X262" s="320"/>
      <c r="Y262" s="320"/>
    </row>
    <row r="263" customFormat="false" ht="13.5" hidden="false" customHeight="false" outlineLevel="0" collapsed="false">
      <c r="A263" s="321" t="s">
        <v>291</v>
      </c>
      <c r="B263" s="322" t="n">
        <f aca="false">ROW(A263)</f>
        <v>263</v>
      </c>
      <c r="C263" s="305" t="s">
        <v>212</v>
      </c>
      <c r="D263" s="306" t="n">
        <f aca="false">SUM(B266:Y266)</f>
        <v>145.46</v>
      </c>
      <c r="E263" s="305" t="s">
        <v>213</v>
      </c>
      <c r="F263" s="307" t="n">
        <f aca="false">D263/g/J263</f>
        <v>211.824668705403</v>
      </c>
      <c r="G263" s="305" t="s">
        <v>214</v>
      </c>
      <c r="H263" s="323" t="n">
        <v>0.22</v>
      </c>
      <c r="I263" s="305" t="s">
        <v>225</v>
      </c>
      <c r="J263" s="308" t="n">
        <f aca="false">H263-L263</f>
        <v>0.07</v>
      </c>
      <c r="K263" s="305" t="s">
        <v>226</v>
      </c>
      <c r="L263" s="323" t="n">
        <v>0.15</v>
      </c>
      <c r="M263" s="305" t="s">
        <v>217</v>
      </c>
      <c r="N263" s="324" t="n">
        <v>50</v>
      </c>
      <c r="O263" s="305" t="s">
        <v>218</v>
      </c>
      <c r="P263" s="324" t="n">
        <v>55</v>
      </c>
      <c r="Q263" s="305" t="s">
        <v>219</v>
      </c>
      <c r="R263" s="324" t="n">
        <v>76</v>
      </c>
      <c r="S263" s="305" t="s">
        <v>220</v>
      </c>
      <c r="T263" s="324" t="n">
        <v>40</v>
      </c>
      <c r="U263" s="305" t="s">
        <v>8</v>
      </c>
      <c r="V263" s="325" t="s">
        <v>245</v>
      </c>
      <c r="W263" s="320"/>
      <c r="X263" s="320"/>
      <c r="Y263" s="320"/>
    </row>
    <row r="264" customFormat="false" ht="12.75" hidden="false" customHeight="false" outlineLevel="0" collapsed="false">
      <c r="A264" s="303" t="s">
        <v>227</v>
      </c>
      <c r="B264" s="326" t="n">
        <v>0</v>
      </c>
      <c r="C264" s="327" t="n">
        <v>0.02</v>
      </c>
      <c r="D264" s="327" t="n">
        <v>0.04</v>
      </c>
      <c r="E264" s="327" t="n">
        <v>0.05</v>
      </c>
      <c r="F264" s="327" t="n">
        <v>0.06</v>
      </c>
      <c r="G264" s="327" t="n">
        <v>0.94</v>
      </c>
      <c r="H264" s="339" t="n">
        <v>0.942</v>
      </c>
      <c r="I264" s="327" t="n">
        <v>0.95</v>
      </c>
      <c r="J264" s="327" t="n">
        <v>0.95</v>
      </c>
      <c r="K264" s="327" t="n">
        <v>0.95</v>
      </c>
      <c r="L264" s="327" t="n">
        <v>0.95</v>
      </c>
      <c r="M264" s="327" t="n">
        <v>0.95</v>
      </c>
      <c r="N264" s="327" t="n">
        <v>0.95</v>
      </c>
      <c r="O264" s="327" t="n">
        <v>0.95</v>
      </c>
      <c r="P264" s="327" t="n">
        <v>0.95</v>
      </c>
      <c r="Q264" s="327" t="n">
        <v>0.95</v>
      </c>
      <c r="R264" s="327" t="n">
        <v>0.95</v>
      </c>
      <c r="S264" s="327" t="n">
        <v>0.95</v>
      </c>
      <c r="T264" s="327" t="n">
        <v>0.95</v>
      </c>
      <c r="U264" s="327" t="n">
        <v>0.95</v>
      </c>
      <c r="V264" s="327" t="n">
        <v>0.95</v>
      </c>
      <c r="W264" s="327" t="n">
        <v>0.95</v>
      </c>
      <c r="X264" s="327" t="n">
        <v>2</v>
      </c>
      <c r="Y264" s="315" t="n">
        <v>1000</v>
      </c>
    </row>
    <row r="265" customFormat="false" ht="12.75" hidden="false" customHeight="false" outlineLevel="0" collapsed="false">
      <c r="A265" s="328" t="s">
        <v>228</v>
      </c>
      <c r="B265" s="329" t="n">
        <v>0</v>
      </c>
      <c r="C265" s="330" t="n">
        <v>320</v>
      </c>
      <c r="D265" s="330" t="n">
        <v>170</v>
      </c>
      <c r="E265" s="330" t="n">
        <v>205</v>
      </c>
      <c r="F265" s="330" t="n">
        <v>217</v>
      </c>
      <c r="G265" s="330" t="n">
        <v>85</v>
      </c>
      <c r="H265" s="330" t="n">
        <v>82</v>
      </c>
      <c r="I265" s="330" t="n">
        <v>0</v>
      </c>
      <c r="J265" s="330" t="n">
        <v>0</v>
      </c>
      <c r="K265" s="330" t="n">
        <v>0</v>
      </c>
      <c r="L265" s="330" t="n">
        <v>0</v>
      </c>
      <c r="M265" s="330" t="n">
        <v>0</v>
      </c>
      <c r="N265" s="330" t="n">
        <v>0</v>
      </c>
      <c r="O265" s="330" t="n">
        <v>0</v>
      </c>
      <c r="P265" s="330" t="n">
        <v>0</v>
      </c>
      <c r="Q265" s="330" t="n">
        <v>0</v>
      </c>
      <c r="R265" s="330" t="n">
        <v>0</v>
      </c>
      <c r="S265" s="330" t="n">
        <v>0</v>
      </c>
      <c r="T265" s="330" t="n">
        <v>0</v>
      </c>
      <c r="U265" s="330" t="n">
        <v>0</v>
      </c>
      <c r="V265" s="330" t="n">
        <v>0</v>
      </c>
      <c r="W265" s="330" t="n">
        <v>0</v>
      </c>
      <c r="X265" s="330" t="n">
        <v>0</v>
      </c>
      <c r="Y265" s="331" t="n">
        <v>0</v>
      </c>
    </row>
    <row r="266" customFormat="false" ht="13.5" hidden="false" customHeight="false" outlineLevel="0" collapsed="false">
      <c r="A266" s="316" t="s">
        <v>229</v>
      </c>
      <c r="B266" s="332" t="n">
        <f aca="false">(C265+B265)*(C264-B264)/2</f>
        <v>3.2</v>
      </c>
      <c r="C266" s="333" t="n">
        <f aca="false">(D265+C265)*(D264-C264)/2</f>
        <v>4.9</v>
      </c>
      <c r="D266" s="333" t="n">
        <f aca="false">(E265+D265)*(E264-D264)/2</f>
        <v>1.875</v>
      </c>
      <c r="E266" s="333" t="n">
        <f aca="false">(F265+E265)*(F264-E264)/2</f>
        <v>2.11</v>
      </c>
      <c r="F266" s="333" t="n">
        <f aca="false">(G265+F265)*(G264-F264)/2</f>
        <v>132.88</v>
      </c>
      <c r="G266" s="333" t="n">
        <f aca="false">(H265+G265)*(H264-G264)/2</f>
        <v>0.167000000000009</v>
      </c>
      <c r="H266" s="333" t="n">
        <f aca="false">(I265+H265)*(I264-H264)/2</f>
        <v>0.327999999999996</v>
      </c>
      <c r="I266" s="333" t="n">
        <f aca="false">(J265+I265)*(J264-I264)/2</f>
        <v>0</v>
      </c>
      <c r="J266" s="333" t="n">
        <f aca="false">(K265+J265)*(K264-J264)/2</f>
        <v>0</v>
      </c>
      <c r="K266" s="333" t="n">
        <f aca="false">(L265+K265)*(L264-K264)/2</f>
        <v>0</v>
      </c>
      <c r="L266" s="333" t="n">
        <f aca="false">(M265+L265)*(M264-L264)/2</f>
        <v>0</v>
      </c>
      <c r="M266" s="333" t="n">
        <f aca="false">(N265+M265)*(N264-M264)/2</f>
        <v>0</v>
      </c>
      <c r="N266" s="333" t="n">
        <f aca="false">(O265+N265)*(O264-N264)/2</f>
        <v>0</v>
      </c>
      <c r="O266" s="333" t="n">
        <f aca="false">(P265+O265)*(P264-O264)/2</f>
        <v>0</v>
      </c>
      <c r="P266" s="333" t="n">
        <f aca="false">(Q265+P265)*(Q264-P264)/2</f>
        <v>0</v>
      </c>
      <c r="Q266" s="333" t="n">
        <f aca="false">(R265+Q265)*(R264-Q264)/2</f>
        <v>0</v>
      </c>
      <c r="R266" s="333" t="n">
        <f aca="false">(S265+R265)*(S264-R264)/2</f>
        <v>0</v>
      </c>
      <c r="S266" s="333" t="n">
        <f aca="false">(T265+S265)*(T264-S264)/2</f>
        <v>0</v>
      </c>
      <c r="T266" s="333" t="n">
        <f aca="false">(U265+T265)*(U264-T264)/2</f>
        <v>0</v>
      </c>
      <c r="U266" s="333" t="n">
        <f aca="false">(V265+U265)*(V264-U264)/2</f>
        <v>0</v>
      </c>
      <c r="V266" s="333" t="n">
        <f aca="false">(W265+V265)*(W264-V264)/2</f>
        <v>0</v>
      </c>
      <c r="W266" s="333" t="n">
        <f aca="false">(X265+W265)*(X264-W264)/2</f>
        <v>0</v>
      </c>
      <c r="X266" s="333" t="n">
        <f aca="false">(Y265+X265)*(Y264-X264)/2</f>
        <v>0</v>
      </c>
      <c r="Y266" s="319"/>
    </row>
    <row r="267" customFormat="false" ht="12.75" hidden="false" customHeight="false" outlineLevel="0" collapsed="false">
      <c r="B267" s="320"/>
      <c r="C267" s="320"/>
      <c r="D267" s="320"/>
      <c r="E267" s="320"/>
      <c r="F267" s="320"/>
      <c r="G267" s="320"/>
      <c r="H267" s="320"/>
      <c r="I267" s="320"/>
      <c r="J267" s="320"/>
      <c r="K267" s="320"/>
      <c r="L267" s="320"/>
      <c r="M267" s="320"/>
      <c r="N267" s="320"/>
      <c r="O267" s="320"/>
      <c r="P267" s="320"/>
      <c r="Q267" s="320"/>
      <c r="R267" s="320"/>
      <c r="S267" s="320"/>
      <c r="T267" s="320"/>
      <c r="U267" s="320"/>
      <c r="V267" s="320"/>
      <c r="W267" s="320"/>
      <c r="X267" s="320"/>
      <c r="Y267" s="320"/>
    </row>
    <row r="268" customFormat="false" ht="13.5" hidden="false" customHeight="false" outlineLevel="0" collapsed="false">
      <c r="A268" s="160" t="s">
        <v>292</v>
      </c>
      <c r="B268" s="320"/>
      <c r="C268" s="320"/>
      <c r="D268" s="320"/>
      <c r="E268" s="320"/>
      <c r="F268" s="320"/>
      <c r="G268" s="320"/>
      <c r="H268" s="320"/>
      <c r="I268" s="320"/>
      <c r="J268" s="320"/>
      <c r="K268" s="320"/>
      <c r="L268" s="320"/>
      <c r="M268" s="320"/>
      <c r="N268" s="320"/>
      <c r="O268" s="320"/>
      <c r="P268" s="320"/>
      <c r="Q268" s="320"/>
      <c r="R268" s="320"/>
      <c r="S268" s="320"/>
      <c r="T268" s="320"/>
      <c r="U268" s="320"/>
      <c r="V268" s="320"/>
      <c r="W268" s="320"/>
      <c r="X268" s="320"/>
      <c r="Y268" s="320"/>
    </row>
    <row r="269" customFormat="false" ht="13.5" hidden="false" customHeight="false" outlineLevel="0" collapsed="false">
      <c r="A269" s="321" t="s">
        <v>293</v>
      </c>
      <c r="B269" s="322" t="n">
        <f aca="false">ROW(A269)</f>
        <v>269</v>
      </c>
      <c r="C269" s="305" t="s">
        <v>212</v>
      </c>
      <c r="D269" s="306" t="n">
        <f aca="false">SUM(B272:Y272)</f>
        <v>1071.6</v>
      </c>
      <c r="E269" s="305" t="s">
        <v>213</v>
      </c>
      <c r="F269" s="307" t="n">
        <f aca="false">D269/g/J269</f>
        <v>163.038020904651</v>
      </c>
      <c r="G269" s="305" t="s">
        <v>214</v>
      </c>
      <c r="H269" s="323" t="n">
        <v>2.02</v>
      </c>
      <c r="I269" s="305" t="s">
        <v>225</v>
      </c>
      <c r="J269" s="308" t="n">
        <f aca="false">H269-L269</f>
        <v>0.67</v>
      </c>
      <c r="K269" s="305" t="s">
        <v>226</v>
      </c>
      <c r="L269" s="323" t="n">
        <v>1.35</v>
      </c>
      <c r="M269" s="305" t="s">
        <v>217</v>
      </c>
      <c r="N269" s="324" t="n">
        <v>154</v>
      </c>
      <c r="O269" s="305" t="s">
        <v>218</v>
      </c>
      <c r="P269" s="324" t="n">
        <v>168</v>
      </c>
      <c r="Q269" s="305" t="s">
        <v>219</v>
      </c>
      <c r="R269" s="324" t="n">
        <v>230</v>
      </c>
      <c r="S269" s="305" t="s">
        <v>220</v>
      </c>
      <c r="T269" s="324" t="n">
        <v>67</v>
      </c>
      <c r="U269" s="305" t="s">
        <v>8</v>
      </c>
      <c r="V269" s="325" t="s">
        <v>78</v>
      </c>
      <c r="W269" s="320"/>
      <c r="X269" s="320"/>
      <c r="Y269" s="320"/>
    </row>
    <row r="270" customFormat="false" ht="12.75" hidden="false" customHeight="false" outlineLevel="0" collapsed="false">
      <c r="A270" s="303" t="s">
        <v>227</v>
      </c>
      <c r="B270" s="326" t="n">
        <v>0</v>
      </c>
      <c r="C270" s="327" t="n">
        <v>0.02</v>
      </c>
      <c r="D270" s="327" t="n">
        <v>0.05</v>
      </c>
      <c r="E270" s="327" t="n">
        <v>0.06</v>
      </c>
      <c r="F270" s="327" t="n">
        <v>0.09</v>
      </c>
      <c r="G270" s="327" t="n">
        <v>0.17</v>
      </c>
      <c r="H270" s="327" t="n">
        <v>0.2</v>
      </c>
      <c r="I270" s="327" t="n">
        <v>0.38</v>
      </c>
      <c r="J270" s="327" t="n">
        <v>0.75</v>
      </c>
      <c r="K270" s="327" t="n">
        <v>0.79</v>
      </c>
      <c r="L270" s="327" t="n">
        <v>1.13</v>
      </c>
      <c r="M270" s="327" t="n">
        <v>1.2</v>
      </c>
      <c r="N270" s="327" t="n">
        <v>1.5</v>
      </c>
      <c r="O270" s="327" t="n">
        <v>1.54</v>
      </c>
      <c r="P270" s="327" t="n">
        <v>1.65</v>
      </c>
      <c r="Q270" s="327" t="n">
        <v>1.7</v>
      </c>
      <c r="R270" s="327" t="n">
        <v>1.79</v>
      </c>
      <c r="S270" s="327" t="n">
        <v>1.79</v>
      </c>
      <c r="T270" s="327" t="n">
        <v>1.79</v>
      </c>
      <c r="U270" s="327" t="n">
        <v>1.79</v>
      </c>
      <c r="V270" s="327" t="n">
        <v>1.79</v>
      </c>
      <c r="W270" s="327" t="n">
        <v>1.79</v>
      </c>
      <c r="X270" s="327" t="n">
        <v>1.79</v>
      </c>
      <c r="Y270" s="315" t="n">
        <v>1000</v>
      </c>
    </row>
    <row r="271" customFormat="false" ht="12.75" hidden="false" customHeight="false" outlineLevel="0" collapsed="false">
      <c r="A271" s="328" t="s">
        <v>228</v>
      </c>
      <c r="B271" s="329" t="n">
        <v>0</v>
      </c>
      <c r="C271" s="330" t="n">
        <v>20</v>
      </c>
      <c r="D271" s="330" t="n">
        <v>870</v>
      </c>
      <c r="E271" s="330" t="n">
        <v>530</v>
      </c>
      <c r="F271" s="330" t="n">
        <v>790</v>
      </c>
      <c r="G271" s="330" t="n">
        <v>700</v>
      </c>
      <c r="H271" s="330" t="n">
        <v>710</v>
      </c>
      <c r="I271" s="330" t="n">
        <v>670</v>
      </c>
      <c r="J271" s="330" t="n">
        <v>630</v>
      </c>
      <c r="K271" s="330" t="n">
        <v>630</v>
      </c>
      <c r="L271" s="330" t="n">
        <v>710</v>
      </c>
      <c r="M271" s="330" t="n">
        <v>690</v>
      </c>
      <c r="N271" s="330" t="n">
        <v>690</v>
      </c>
      <c r="O271" s="330" t="n">
        <v>660</v>
      </c>
      <c r="P271" s="330" t="n">
        <v>160</v>
      </c>
      <c r="Q271" s="330" t="n">
        <v>10</v>
      </c>
      <c r="R271" s="330" t="n">
        <v>0</v>
      </c>
      <c r="S271" s="330" t="n">
        <v>0</v>
      </c>
      <c r="T271" s="330" t="n">
        <v>0</v>
      </c>
      <c r="U271" s="330" t="n">
        <v>0</v>
      </c>
      <c r="V271" s="330" t="n">
        <v>0</v>
      </c>
      <c r="W271" s="330" t="n">
        <v>0</v>
      </c>
      <c r="X271" s="330" t="n">
        <v>0</v>
      </c>
      <c r="Y271" s="331" t="n">
        <v>0</v>
      </c>
    </row>
    <row r="272" customFormat="false" ht="13.5" hidden="false" customHeight="false" outlineLevel="0" collapsed="false">
      <c r="A272" s="316" t="s">
        <v>229</v>
      </c>
      <c r="B272" s="332" t="n">
        <f aca="false">(C271+B271)*(C270-B270)/2</f>
        <v>0.2</v>
      </c>
      <c r="C272" s="333" t="n">
        <f aca="false">(D271+C271)*(D270-C270)/2</f>
        <v>13.35</v>
      </c>
      <c r="D272" s="333" t="n">
        <f aca="false">(E271+D271)*(E270-D270)/2</f>
        <v>7</v>
      </c>
      <c r="E272" s="333" t="n">
        <f aca="false">(F271+E271)*(F270-E270)/2</f>
        <v>19.8</v>
      </c>
      <c r="F272" s="333" t="n">
        <f aca="false">(G271+F271)*(G270-F270)/2</f>
        <v>59.6</v>
      </c>
      <c r="G272" s="333" t="n">
        <f aca="false">(H271+G271)*(H270-G270)/2</f>
        <v>21.15</v>
      </c>
      <c r="H272" s="333" t="n">
        <f aca="false">(I271+H271)*(I270-H270)/2</f>
        <v>124.2</v>
      </c>
      <c r="I272" s="333" t="n">
        <f aca="false">(J271+I271)*(J270-I270)/2</f>
        <v>240.5</v>
      </c>
      <c r="J272" s="333" t="n">
        <f aca="false">(K271+J271)*(K270-J270)/2</f>
        <v>25.2</v>
      </c>
      <c r="K272" s="333" t="n">
        <f aca="false">(L271+K271)*(L270-K270)/2</f>
        <v>227.8</v>
      </c>
      <c r="L272" s="333" t="n">
        <f aca="false">(M271+L271)*(M270-L270)/2</f>
        <v>49</v>
      </c>
      <c r="M272" s="333" t="n">
        <f aca="false">(N271+M271)*(N270-M270)/2</f>
        <v>207</v>
      </c>
      <c r="N272" s="333" t="n">
        <f aca="false">(O271+N271)*(O270-N270)/2</f>
        <v>27</v>
      </c>
      <c r="O272" s="333" t="n">
        <f aca="false">(P271+O271)*(P270-O270)/2</f>
        <v>45.1</v>
      </c>
      <c r="P272" s="333" t="n">
        <f aca="false">(Q271+P271)*(Q270-P270)/2</f>
        <v>4.25</v>
      </c>
      <c r="Q272" s="333" t="n">
        <f aca="false">(R271+Q271)*(R270-Q270)/2</f>
        <v>0.45</v>
      </c>
      <c r="R272" s="333" t="n">
        <f aca="false">(S271+R271)*(S270-R270)/2</f>
        <v>0</v>
      </c>
      <c r="S272" s="333" t="n">
        <f aca="false">(T271+S271)*(T270-S270)/2</f>
        <v>0</v>
      </c>
      <c r="T272" s="333" t="n">
        <f aca="false">(U271+T271)*(U270-T270)/2</f>
        <v>0</v>
      </c>
      <c r="U272" s="333" t="n">
        <f aca="false">(V271+U271)*(V270-U270)/2</f>
        <v>0</v>
      </c>
      <c r="V272" s="333" t="n">
        <f aca="false">(W271+V271)*(W270-V270)/2</f>
        <v>0</v>
      </c>
      <c r="W272" s="333" t="n">
        <f aca="false">(X271+W271)*(X270-W270)/2</f>
        <v>0</v>
      </c>
      <c r="X272" s="333" t="n">
        <f aca="false">(Y271+X271)*(Y270-X270)/2</f>
        <v>0</v>
      </c>
      <c r="Y272" s="340"/>
    </row>
    <row r="273" customFormat="false" ht="13.5" hidden="false" customHeight="false" outlineLevel="0" collapsed="false">
      <c r="S273" s="320"/>
      <c r="T273" s="320"/>
      <c r="U273" s="320"/>
      <c r="V273" s="320"/>
      <c r="W273" s="320"/>
      <c r="X273" s="320"/>
      <c r="Y273" s="320"/>
    </row>
    <row r="274" customFormat="false" ht="13.5" hidden="false" customHeight="false" outlineLevel="0" collapsed="false">
      <c r="A274" s="321" t="s">
        <v>294</v>
      </c>
      <c r="B274" s="322" t="n">
        <f aca="false">ROW(A274)</f>
        <v>274</v>
      </c>
      <c r="C274" s="305" t="s">
        <v>212</v>
      </c>
      <c r="D274" s="306" t="n">
        <f aca="false">SUM(B277:Y277)</f>
        <v>2102.35</v>
      </c>
      <c r="E274" s="305" t="s">
        <v>213</v>
      </c>
      <c r="F274" s="307" t="n">
        <f aca="false">D274/g/J274</f>
        <v>174.233194931338</v>
      </c>
      <c r="G274" s="305" t="s">
        <v>214</v>
      </c>
      <c r="H274" s="323" t="n">
        <v>3.7</v>
      </c>
      <c r="I274" s="305" t="s">
        <v>225</v>
      </c>
      <c r="J274" s="308" t="n">
        <f aca="false">H274-L274</f>
        <v>1.23</v>
      </c>
      <c r="K274" s="305" t="s">
        <v>226</v>
      </c>
      <c r="L274" s="323" t="n">
        <v>2.47</v>
      </c>
      <c r="M274" s="305" t="s">
        <v>217</v>
      </c>
      <c r="N274" s="324" t="n">
        <v>151</v>
      </c>
      <c r="O274" s="305" t="s">
        <v>218</v>
      </c>
      <c r="P274" s="324" t="n">
        <v>171</v>
      </c>
      <c r="Q274" s="305" t="s">
        <v>219</v>
      </c>
      <c r="R274" s="324" t="n">
        <v>247</v>
      </c>
      <c r="S274" s="305" t="s">
        <v>220</v>
      </c>
      <c r="T274" s="324" t="n">
        <v>90</v>
      </c>
      <c r="U274" s="305" t="s">
        <v>8</v>
      </c>
      <c r="V274" s="325" t="s">
        <v>78</v>
      </c>
      <c r="W274" s="320"/>
      <c r="X274" s="320"/>
      <c r="Y274" s="320"/>
    </row>
    <row r="275" customFormat="false" ht="12.75" hidden="false" customHeight="false" outlineLevel="0" collapsed="false">
      <c r="A275" s="303" t="s">
        <v>227</v>
      </c>
      <c r="B275" s="326" t="n">
        <v>0</v>
      </c>
      <c r="C275" s="327" t="n">
        <v>0.05</v>
      </c>
      <c r="D275" s="327" t="n">
        <v>0.1</v>
      </c>
      <c r="E275" s="327" t="n">
        <v>1</v>
      </c>
      <c r="F275" s="327" t="n">
        <v>1.35</v>
      </c>
      <c r="G275" s="327" t="n">
        <v>1.75</v>
      </c>
      <c r="H275" s="327" t="n">
        <v>2.15</v>
      </c>
      <c r="I275" s="327" t="n">
        <v>2.25</v>
      </c>
      <c r="J275" s="327" t="n">
        <v>2.48</v>
      </c>
      <c r="K275" s="327" t="n">
        <v>2.6</v>
      </c>
      <c r="L275" s="327" t="n">
        <v>2.8</v>
      </c>
      <c r="M275" s="327" t="n">
        <v>2.8</v>
      </c>
      <c r="N275" s="327" t="n">
        <v>2.8</v>
      </c>
      <c r="O275" s="327" t="n">
        <v>2.8</v>
      </c>
      <c r="P275" s="327" t="n">
        <v>2.8</v>
      </c>
      <c r="Q275" s="327" t="n">
        <v>2.8</v>
      </c>
      <c r="R275" s="327" t="n">
        <v>2.8</v>
      </c>
      <c r="S275" s="327" t="n">
        <v>2.8</v>
      </c>
      <c r="T275" s="327" t="n">
        <v>2.8</v>
      </c>
      <c r="U275" s="327" t="n">
        <v>2.8</v>
      </c>
      <c r="V275" s="327" t="n">
        <v>2.8</v>
      </c>
      <c r="W275" s="327" t="n">
        <v>2.8</v>
      </c>
      <c r="X275" s="327" t="n">
        <v>2.8</v>
      </c>
      <c r="Y275" s="315" t="n">
        <v>1000</v>
      </c>
    </row>
    <row r="276" customFormat="false" ht="12.75" hidden="false" customHeight="false" outlineLevel="0" collapsed="false">
      <c r="A276" s="328" t="s">
        <v>228</v>
      </c>
      <c r="B276" s="329" t="n">
        <v>0</v>
      </c>
      <c r="C276" s="330" t="n">
        <v>860</v>
      </c>
      <c r="D276" s="330" t="n">
        <v>840</v>
      </c>
      <c r="E276" s="330" t="n">
        <v>840</v>
      </c>
      <c r="F276" s="330" t="n">
        <v>850</v>
      </c>
      <c r="G276" s="330" t="n">
        <v>900</v>
      </c>
      <c r="H276" s="330" t="n">
        <v>1050</v>
      </c>
      <c r="I276" s="330" t="n">
        <v>1020</v>
      </c>
      <c r="J276" s="330" t="n">
        <v>120</v>
      </c>
      <c r="K276" s="330" t="n">
        <v>30</v>
      </c>
      <c r="L276" s="330" t="n">
        <v>0</v>
      </c>
      <c r="M276" s="330" t="n">
        <v>0</v>
      </c>
      <c r="N276" s="330" t="n">
        <v>0</v>
      </c>
      <c r="O276" s="330" t="n">
        <v>0</v>
      </c>
      <c r="P276" s="330" t="n">
        <v>0</v>
      </c>
      <c r="Q276" s="330" t="n">
        <v>0</v>
      </c>
      <c r="R276" s="330" t="n">
        <v>0</v>
      </c>
      <c r="S276" s="330" t="n">
        <v>0</v>
      </c>
      <c r="T276" s="330" t="n">
        <v>0</v>
      </c>
      <c r="U276" s="330" t="n">
        <v>0</v>
      </c>
      <c r="V276" s="330" t="n">
        <v>0</v>
      </c>
      <c r="W276" s="330" t="n">
        <v>0</v>
      </c>
      <c r="X276" s="330" t="n">
        <v>0</v>
      </c>
      <c r="Y276" s="331" t="n">
        <v>0</v>
      </c>
    </row>
    <row r="277" customFormat="false" ht="13.5" hidden="false" customHeight="false" outlineLevel="0" collapsed="false">
      <c r="A277" s="316" t="s">
        <v>229</v>
      </c>
      <c r="B277" s="332" t="n">
        <f aca="false">(C276+B276)*(C275-B275)/2</f>
        <v>21.5</v>
      </c>
      <c r="C277" s="333" t="n">
        <f aca="false">(D276+C276)*(D275-C275)/2</f>
        <v>42.5</v>
      </c>
      <c r="D277" s="333" t="n">
        <f aca="false">(E276+D276)*(E275-D275)/2</f>
        <v>756</v>
      </c>
      <c r="E277" s="333" t="n">
        <f aca="false">(F276+E276)*(F275-E275)/2</f>
        <v>295.75</v>
      </c>
      <c r="F277" s="333" t="n">
        <f aca="false">(G276+F276)*(G275-F275)/2</f>
        <v>350</v>
      </c>
      <c r="G277" s="333" t="n">
        <f aca="false">(H276+G276)*(H275-G275)/2</f>
        <v>390</v>
      </c>
      <c r="H277" s="333" t="n">
        <f aca="false">(I276+H276)*(I275-H275)/2</f>
        <v>103.5</v>
      </c>
      <c r="I277" s="333" t="n">
        <f aca="false">(J276+I276)*(J275-I275)/2</f>
        <v>131.1</v>
      </c>
      <c r="J277" s="333" t="n">
        <f aca="false">(K276+J276)*(K275-J275)/2</f>
        <v>9.00000000000001</v>
      </c>
      <c r="K277" s="333" t="n">
        <f aca="false">(L276+K276)*(L275-K275)/2</f>
        <v>3</v>
      </c>
      <c r="L277" s="333" t="n">
        <f aca="false">(M276+L276)*(M275-L275)/2</f>
        <v>0</v>
      </c>
      <c r="M277" s="333" t="n">
        <f aca="false">(N276+M276)*(N275-M275)/2</f>
        <v>0</v>
      </c>
      <c r="N277" s="333" t="n">
        <f aca="false">(O276+N276)*(O275-N275)/2</f>
        <v>0</v>
      </c>
      <c r="O277" s="333" t="n">
        <f aca="false">(P276+O276)*(P275-O275)/2</f>
        <v>0</v>
      </c>
      <c r="P277" s="333" t="n">
        <f aca="false">(Q276+P276)*(Q275-P275)/2</f>
        <v>0</v>
      </c>
      <c r="Q277" s="333" t="n">
        <f aca="false">(R276+Q276)*(R275-Q275)/2</f>
        <v>0</v>
      </c>
      <c r="R277" s="333" t="n">
        <f aca="false">(S276+R276)*(S275-R275)/2</f>
        <v>0</v>
      </c>
      <c r="S277" s="333" t="n">
        <f aca="false">(T276+S276)*(T275-S275)/2</f>
        <v>0</v>
      </c>
      <c r="T277" s="333" t="n">
        <f aca="false">(U276+T276)*(U275-T275)/2</f>
        <v>0</v>
      </c>
      <c r="U277" s="333" t="n">
        <f aca="false">(V276+U276)*(V275-U275)/2</f>
        <v>0</v>
      </c>
      <c r="V277" s="333" t="n">
        <f aca="false">(W276+V276)*(W275-V275)/2</f>
        <v>0</v>
      </c>
      <c r="W277" s="333" t="n">
        <f aca="false">(X276+W276)*(X275-W275)/2</f>
        <v>0</v>
      </c>
      <c r="X277" s="333" t="n">
        <f aca="false">(Y276+X276)*(Y275-X275)/2</f>
        <v>0</v>
      </c>
      <c r="Y277" s="319"/>
    </row>
    <row r="278" customFormat="false" ht="13.5" hidden="false" customHeight="false" outlineLevel="0" collapsed="false"/>
    <row r="279" customFormat="false" ht="13.5" hidden="false" customHeight="false" outlineLevel="0" collapsed="false">
      <c r="A279" s="321" t="s">
        <v>295</v>
      </c>
      <c r="B279" s="322" t="n">
        <f aca="false">ROW(A279)</f>
        <v>279</v>
      </c>
      <c r="C279" s="305" t="s">
        <v>212</v>
      </c>
      <c r="D279" s="306" t="n">
        <f aca="false">SUM(B282:Y282)</f>
        <v>2058.37</v>
      </c>
      <c r="E279" s="305" t="s">
        <v>213</v>
      </c>
      <c r="F279" s="307" t="n">
        <f aca="false">D279/g/J279</f>
        <v>203.120667315983</v>
      </c>
      <c r="G279" s="305" t="s">
        <v>214</v>
      </c>
      <c r="H279" s="323" t="n">
        <v>1.685</v>
      </c>
      <c r="I279" s="305" t="s">
        <v>225</v>
      </c>
      <c r="J279" s="308" t="n">
        <f aca="false">H279-L279</f>
        <v>1.033</v>
      </c>
      <c r="K279" s="305" t="s">
        <v>226</v>
      </c>
      <c r="L279" s="323" t="n">
        <v>0.652</v>
      </c>
      <c r="M279" s="305" t="s">
        <v>217</v>
      </c>
      <c r="N279" s="324" t="n">
        <v>250</v>
      </c>
      <c r="O279" s="305" t="s">
        <v>218</v>
      </c>
      <c r="P279" s="324" t="n">
        <v>240</v>
      </c>
      <c r="Q279" s="305" t="s">
        <v>219</v>
      </c>
      <c r="R279" s="324" t="n">
        <v>488</v>
      </c>
      <c r="S279" s="305" t="s">
        <v>220</v>
      </c>
      <c r="T279" s="324" t="n">
        <v>54</v>
      </c>
      <c r="U279" s="305" t="s">
        <v>8</v>
      </c>
      <c r="V279" s="325" t="s">
        <v>78</v>
      </c>
      <c r="W279" s="320"/>
      <c r="X279" s="320"/>
      <c r="Y279" s="320"/>
    </row>
    <row r="280" customFormat="false" ht="12.75" hidden="false" customHeight="false" outlineLevel="0" collapsed="false">
      <c r="A280" s="303" t="s">
        <v>227</v>
      </c>
      <c r="B280" s="326" t="n">
        <v>0</v>
      </c>
      <c r="C280" s="327" t="n">
        <v>0.05</v>
      </c>
      <c r="D280" s="327" t="n">
        <v>0.5</v>
      </c>
      <c r="E280" s="327" t="n">
        <v>1</v>
      </c>
      <c r="F280" s="327" t="n">
        <v>1.5</v>
      </c>
      <c r="G280" s="327" t="n">
        <v>2</v>
      </c>
      <c r="H280" s="327" t="n">
        <v>2.5</v>
      </c>
      <c r="I280" s="327" t="n">
        <v>2.97</v>
      </c>
      <c r="J280" s="327" t="n">
        <v>3.2</v>
      </c>
      <c r="K280" s="327" t="n">
        <v>3.47</v>
      </c>
      <c r="L280" s="327" t="n">
        <v>3.59</v>
      </c>
      <c r="M280" s="327" t="n">
        <v>3.59</v>
      </c>
      <c r="N280" s="327" t="n">
        <v>3.59</v>
      </c>
      <c r="O280" s="327" t="n">
        <v>3.59</v>
      </c>
      <c r="P280" s="327" t="n">
        <v>3.59</v>
      </c>
      <c r="Q280" s="327" t="n">
        <v>3.59</v>
      </c>
      <c r="R280" s="327" t="n">
        <v>3.59</v>
      </c>
      <c r="S280" s="327" t="n">
        <v>3.59</v>
      </c>
      <c r="T280" s="327" t="n">
        <v>3.59</v>
      </c>
      <c r="U280" s="327" t="n">
        <v>3.59</v>
      </c>
      <c r="V280" s="327" t="n">
        <v>3.59</v>
      </c>
      <c r="W280" s="327" t="n">
        <v>3.59</v>
      </c>
      <c r="X280" s="327" t="n">
        <v>3.59</v>
      </c>
      <c r="Y280" s="315" t="n">
        <v>1000</v>
      </c>
    </row>
    <row r="281" customFormat="false" ht="12.75" hidden="false" customHeight="false" outlineLevel="0" collapsed="false">
      <c r="A281" s="328" t="s">
        <v>228</v>
      </c>
      <c r="B281" s="329" t="n">
        <v>0</v>
      </c>
      <c r="C281" s="330" t="n">
        <v>893</v>
      </c>
      <c r="D281" s="330" t="n">
        <v>798</v>
      </c>
      <c r="E281" s="330" t="n">
        <v>739</v>
      </c>
      <c r="F281" s="330" t="n">
        <v>659</v>
      </c>
      <c r="G281" s="330" t="n">
        <v>586</v>
      </c>
      <c r="H281" s="330" t="n">
        <v>513</v>
      </c>
      <c r="I281" s="330" t="n">
        <v>417</v>
      </c>
      <c r="J281" s="330" t="n">
        <v>225</v>
      </c>
      <c r="K281" s="330" t="n">
        <v>67</v>
      </c>
      <c r="L281" s="330" t="n">
        <v>0</v>
      </c>
      <c r="M281" s="330" t="n">
        <v>0</v>
      </c>
      <c r="N281" s="330" t="n">
        <v>0</v>
      </c>
      <c r="O281" s="330" t="n">
        <v>0</v>
      </c>
      <c r="P281" s="330" t="n">
        <v>0</v>
      </c>
      <c r="Q281" s="330" t="n">
        <v>0</v>
      </c>
      <c r="R281" s="330" t="n">
        <v>0</v>
      </c>
      <c r="S281" s="330" t="n">
        <v>0</v>
      </c>
      <c r="T281" s="330" t="n">
        <v>0</v>
      </c>
      <c r="U281" s="330" t="n">
        <v>0</v>
      </c>
      <c r="V281" s="330" t="n">
        <v>0</v>
      </c>
      <c r="W281" s="330" t="n">
        <v>0</v>
      </c>
      <c r="X281" s="330" t="n">
        <v>0</v>
      </c>
      <c r="Y281" s="331" t="n">
        <v>0</v>
      </c>
    </row>
    <row r="282" customFormat="false" ht="13.5" hidden="false" customHeight="false" outlineLevel="0" collapsed="false">
      <c r="A282" s="341" t="s">
        <v>229</v>
      </c>
      <c r="B282" s="332" t="n">
        <f aca="false">(C281+B281)*(C280-B280)/2</f>
        <v>22.325</v>
      </c>
      <c r="C282" s="333" t="n">
        <f aca="false">(D281+C281)*(D280-C280)/2</f>
        <v>380.475</v>
      </c>
      <c r="D282" s="333" t="n">
        <f aca="false">(E281+D281)*(E280-D280)/2</f>
        <v>384.25</v>
      </c>
      <c r="E282" s="333" t="n">
        <f aca="false">(F281+E281)*(F280-E280)/2</f>
        <v>349.5</v>
      </c>
      <c r="F282" s="333" t="n">
        <f aca="false">(G281+F281)*(G280-F280)/2</f>
        <v>311.25</v>
      </c>
      <c r="G282" s="333" t="n">
        <f aca="false">(H281+G281)*(H280-G280)/2</f>
        <v>274.75</v>
      </c>
      <c r="H282" s="333" t="n">
        <f aca="false">(I281+H281)*(I280-H280)/2</f>
        <v>218.55</v>
      </c>
      <c r="I282" s="333" t="n">
        <f aca="false">(J281+I281)*(J280-I280)/2</f>
        <v>73.83</v>
      </c>
      <c r="J282" s="333" t="n">
        <f aca="false">(K281+J281)*(K280-J280)/2</f>
        <v>39.42</v>
      </c>
      <c r="K282" s="333" t="n">
        <f aca="false">(L281+K281)*(L280-K280)/2</f>
        <v>4.01999999999999</v>
      </c>
      <c r="L282" s="333" t="n">
        <f aca="false">(M281+L281)*(M280-L280)/2</f>
        <v>0</v>
      </c>
      <c r="M282" s="333" t="n">
        <f aca="false">(N281+M281)*(N280-M280)/2</f>
        <v>0</v>
      </c>
      <c r="N282" s="333" t="n">
        <f aca="false">(O281+N281)*(O280-N280)/2</f>
        <v>0</v>
      </c>
      <c r="O282" s="333" t="n">
        <f aca="false">(P281+O281)*(P280-O280)/2</f>
        <v>0</v>
      </c>
      <c r="P282" s="333" t="n">
        <f aca="false">(Q281+P281)*(Q280-P280)/2</f>
        <v>0</v>
      </c>
      <c r="Q282" s="333" t="n">
        <f aca="false">(R281+Q281)*(R280-Q280)/2</f>
        <v>0</v>
      </c>
      <c r="R282" s="333" t="n">
        <f aca="false">(S281+R281)*(S280-R280)/2</f>
        <v>0</v>
      </c>
      <c r="S282" s="333" t="n">
        <f aca="false">(T281+S281)*(T280-S280)/2</f>
        <v>0</v>
      </c>
      <c r="T282" s="333" t="n">
        <f aca="false">(U281+T281)*(U280-T280)/2</f>
        <v>0</v>
      </c>
      <c r="U282" s="333" t="n">
        <f aca="false">(V281+U281)*(V280-U280)/2</f>
        <v>0</v>
      </c>
      <c r="V282" s="333" t="n">
        <f aca="false">(W281+V281)*(W280-V280)/2</f>
        <v>0</v>
      </c>
      <c r="W282" s="333" t="n">
        <f aca="false">(X281+W281)*(X280-W280)/2</f>
        <v>0</v>
      </c>
      <c r="X282" s="333" t="n">
        <f aca="false">(Y281+X281)*(Y280-X280)/2</f>
        <v>0</v>
      </c>
      <c r="Y282" s="319"/>
    </row>
    <row r="283" customFormat="false" ht="13.5" hidden="false" customHeight="false" outlineLevel="0" collapsed="false">
      <c r="B283" s="320"/>
      <c r="C283" s="320"/>
      <c r="D283" s="320"/>
      <c r="E283" s="320"/>
      <c r="F283" s="320"/>
      <c r="G283" s="320"/>
      <c r="H283" s="320"/>
      <c r="I283" s="320"/>
      <c r="J283" s="320"/>
      <c r="K283" s="320"/>
      <c r="L283" s="320"/>
      <c r="M283" s="320"/>
      <c r="N283" s="320"/>
      <c r="O283" s="320"/>
      <c r="P283" s="320"/>
      <c r="Q283" s="320"/>
      <c r="R283" s="320"/>
      <c r="S283" s="320"/>
      <c r="T283" s="320"/>
      <c r="U283" s="320"/>
      <c r="V283" s="320"/>
      <c r="W283" s="320"/>
      <c r="X283" s="320"/>
      <c r="Y283" s="320"/>
    </row>
    <row r="284" customFormat="false" ht="13.5" hidden="false" customHeight="false" outlineLevel="0" collapsed="false">
      <c r="A284" s="321" t="s">
        <v>12</v>
      </c>
      <c r="B284" s="322" t="n">
        <f aca="false">ROW(A284)</f>
        <v>284</v>
      </c>
      <c r="C284" s="305" t="s">
        <v>212</v>
      </c>
      <c r="D284" s="306" t="n">
        <f aca="false">SUM(B287:Y287)</f>
        <v>1998.2429</v>
      </c>
      <c r="E284" s="305" t="s">
        <v>213</v>
      </c>
      <c r="F284" s="307" t="n">
        <f aca="false">D284/g/J284</f>
        <v>207.42819268754</v>
      </c>
      <c r="G284" s="305" t="s">
        <v>214</v>
      </c>
      <c r="H284" s="323" t="n">
        <v>1.632</v>
      </c>
      <c r="I284" s="305" t="s">
        <v>225</v>
      </c>
      <c r="J284" s="308" t="n">
        <f aca="false">H284-L284</f>
        <v>0.982</v>
      </c>
      <c r="K284" s="305" t="s">
        <v>226</v>
      </c>
      <c r="L284" s="323" t="n">
        <v>0.65</v>
      </c>
      <c r="M284" s="305" t="s">
        <v>217</v>
      </c>
      <c r="N284" s="324" t="n">
        <v>250</v>
      </c>
      <c r="O284" s="305" t="s">
        <v>218</v>
      </c>
      <c r="P284" s="324" t="n">
        <v>240</v>
      </c>
      <c r="Q284" s="305" t="s">
        <v>219</v>
      </c>
      <c r="R284" s="324" t="n">
        <v>488</v>
      </c>
      <c r="S284" s="305" t="s">
        <v>220</v>
      </c>
      <c r="T284" s="324" t="n">
        <v>54</v>
      </c>
      <c r="U284" s="305" t="s">
        <v>8</v>
      </c>
      <c r="V284" s="325" t="s">
        <v>78</v>
      </c>
      <c r="W284" s="320"/>
      <c r="X284" s="320"/>
      <c r="Y284" s="320"/>
    </row>
    <row r="285" customFormat="false" ht="12.75" hidden="false" customHeight="false" outlineLevel="0" collapsed="false">
      <c r="A285" s="303" t="s">
        <v>227</v>
      </c>
      <c r="B285" s="330" t="n">
        <v>0</v>
      </c>
      <c r="C285" s="330" t="n">
        <v>0.01</v>
      </c>
      <c r="D285" s="330" t="n">
        <v>0.02</v>
      </c>
      <c r="E285" s="330" t="n">
        <v>0.05</v>
      </c>
      <c r="F285" s="330" t="n">
        <v>0.1</v>
      </c>
      <c r="G285" s="330" t="n">
        <v>0.2</v>
      </c>
      <c r="H285" s="330" t="n">
        <v>0.4</v>
      </c>
      <c r="I285" s="330" t="n">
        <v>0.8</v>
      </c>
      <c r="J285" s="330" t="n">
        <v>0.9</v>
      </c>
      <c r="K285" s="330" t="n">
        <v>1</v>
      </c>
      <c r="L285" s="330" t="n">
        <v>1.1</v>
      </c>
      <c r="M285" s="330" t="n">
        <v>1.2</v>
      </c>
      <c r="N285" s="330" t="n">
        <v>1.3</v>
      </c>
      <c r="O285" s="330" t="n">
        <v>1.4</v>
      </c>
      <c r="P285" s="330" t="n">
        <v>1.55</v>
      </c>
      <c r="Q285" s="330" t="n">
        <v>1.6</v>
      </c>
      <c r="R285" s="330" t="n">
        <v>1.62</v>
      </c>
      <c r="S285" s="330" t="n">
        <v>1.64</v>
      </c>
      <c r="T285" s="330" t="n">
        <v>1.66</v>
      </c>
      <c r="U285" s="330" t="n">
        <v>1.67</v>
      </c>
      <c r="V285" s="330" t="n">
        <v>1.68</v>
      </c>
      <c r="W285" s="327" t="n">
        <v>1.69</v>
      </c>
      <c r="X285" s="327" t="n">
        <v>1.7</v>
      </c>
      <c r="Y285" s="315" t="n">
        <v>1000</v>
      </c>
    </row>
    <row r="286" customFormat="false" ht="12.75" hidden="false" customHeight="false" outlineLevel="0" collapsed="false">
      <c r="A286" s="328" t="s">
        <v>228</v>
      </c>
      <c r="B286" s="330" t="n">
        <v>0</v>
      </c>
      <c r="C286" s="330" t="n">
        <v>492.25</v>
      </c>
      <c r="D286" s="330" t="n">
        <v>1369.46</v>
      </c>
      <c r="E286" s="330" t="n">
        <v>1236.01</v>
      </c>
      <c r="F286" s="330" t="n">
        <v>1279.47</v>
      </c>
      <c r="G286" s="330" t="n">
        <v>1311.39</v>
      </c>
      <c r="H286" s="330" t="n">
        <v>1331.39</v>
      </c>
      <c r="I286" s="330" t="n">
        <v>1304.08</v>
      </c>
      <c r="J286" s="330" t="n">
        <v>1280.62</v>
      </c>
      <c r="K286" s="330" t="n">
        <v>1249.86</v>
      </c>
      <c r="L286" s="330" t="n">
        <v>1217.94</v>
      </c>
      <c r="M286" s="330" t="n">
        <v>1199.29</v>
      </c>
      <c r="N286" s="330" t="n">
        <v>1158.77</v>
      </c>
      <c r="O286" s="330" t="n">
        <v>1112.56</v>
      </c>
      <c r="P286" s="330" t="n">
        <v>941.81</v>
      </c>
      <c r="Q286" s="330" t="n">
        <v>726.07</v>
      </c>
      <c r="R286" s="330" t="n">
        <v>559.17</v>
      </c>
      <c r="S286" s="330" t="n">
        <v>399.95</v>
      </c>
      <c r="T286" s="330" t="n">
        <v>317.66</v>
      </c>
      <c r="U286" s="330" t="n">
        <v>247.28</v>
      </c>
      <c r="V286" s="330" t="n">
        <v>198.05</v>
      </c>
      <c r="W286" s="330" t="n">
        <v>67.3</v>
      </c>
      <c r="X286" s="330" t="n">
        <v>0</v>
      </c>
      <c r="Y286" s="331" t="n">
        <v>0</v>
      </c>
    </row>
    <row r="287" customFormat="false" ht="13.5" hidden="false" customHeight="false" outlineLevel="0" collapsed="false">
      <c r="A287" s="316" t="s">
        <v>229</v>
      </c>
      <c r="B287" s="332" t="n">
        <f aca="false">(C286+B286)*(C285-B285)/2</f>
        <v>2.46125</v>
      </c>
      <c r="C287" s="333" t="n">
        <f aca="false">(D286+C286)*(D285-C285)/2</f>
        <v>9.30855</v>
      </c>
      <c r="D287" s="333" t="n">
        <f aca="false">(E286+D286)*(E285-D285)/2</f>
        <v>39.08205</v>
      </c>
      <c r="E287" s="333" t="n">
        <f aca="false">(F286+E286)*(F285-E285)/2</f>
        <v>62.887</v>
      </c>
      <c r="F287" s="333" t="n">
        <f aca="false">(G286+F286)*(G285-F285)/2</f>
        <v>129.543</v>
      </c>
      <c r="G287" s="333" t="n">
        <f aca="false">(H286+G286)*(H285-G285)/2</f>
        <v>264.278</v>
      </c>
      <c r="H287" s="333" t="n">
        <f aca="false">(I286+H286)*(I285-H285)/2</f>
        <v>527.094</v>
      </c>
      <c r="I287" s="333" t="n">
        <f aca="false">(J286+I286)*(J285-I285)/2</f>
        <v>129.235</v>
      </c>
      <c r="J287" s="333" t="n">
        <f aca="false">(K286+J286)*(K285-J285)/2</f>
        <v>126.524</v>
      </c>
      <c r="K287" s="333" t="n">
        <f aca="false">(L286+K286)*(L285-K285)/2</f>
        <v>123.39</v>
      </c>
      <c r="L287" s="333" t="n">
        <f aca="false">(M286+L286)*(M285-L285)/2</f>
        <v>120.8615</v>
      </c>
      <c r="M287" s="333" t="n">
        <f aca="false">(N286+M286)*(N285-M285)/2</f>
        <v>117.903</v>
      </c>
      <c r="N287" s="333" t="n">
        <f aca="false">(O286+N286)*(O285-N285)/2</f>
        <v>113.5665</v>
      </c>
      <c r="O287" s="333" t="n">
        <f aca="false">(P286+O286)*(P285-O285)/2</f>
        <v>154.07775</v>
      </c>
      <c r="P287" s="333" t="n">
        <f aca="false">(Q286+P286)*(Q285-P285)/2</f>
        <v>41.697</v>
      </c>
      <c r="Q287" s="333" t="n">
        <f aca="false">(R286+Q286)*(R285-Q285)/2</f>
        <v>12.8524</v>
      </c>
      <c r="R287" s="333" t="n">
        <f aca="false">(S286+R286)*(S285-R285)/2</f>
        <v>9.5911999999999</v>
      </c>
      <c r="S287" s="333" t="n">
        <f aca="false">(T286+S286)*(T285-S285)/2</f>
        <v>7.17610000000001</v>
      </c>
      <c r="T287" s="333" t="n">
        <f aca="false">(U286+T286)*(U285-T285)/2</f>
        <v>2.8247</v>
      </c>
      <c r="U287" s="333" t="n">
        <f aca="false">(V286+U286)*(V285-U285)/2</f>
        <v>2.22665</v>
      </c>
      <c r="V287" s="333" t="n">
        <f aca="false">(W286+V286)*(W285-V285)/2</f>
        <v>1.32675</v>
      </c>
      <c r="W287" s="333" t="n">
        <f aca="false">(X286+W286)*(X285-W285)/2</f>
        <v>0.3365</v>
      </c>
      <c r="X287" s="333" t="n">
        <f aca="false">(Y286+X286)*(Y285-X285)/2</f>
        <v>0</v>
      </c>
      <c r="Y287" s="319"/>
    </row>
    <row r="288" customFormat="false" ht="13.5" hidden="false" customHeight="false" outlineLevel="0" collapsed="false">
      <c r="A288" s="320"/>
      <c r="L288" s="320"/>
      <c r="M288" s="320"/>
      <c r="N288" s="320"/>
      <c r="O288" s="320"/>
      <c r="P288" s="320"/>
      <c r="Q288" s="320"/>
      <c r="R288" s="320"/>
      <c r="S288" s="320"/>
      <c r="T288" s="320"/>
      <c r="U288" s="320"/>
      <c r="V288" s="320"/>
      <c r="W288" s="320"/>
      <c r="X288" s="320"/>
      <c r="Y288" s="320"/>
    </row>
    <row r="289" customFormat="false" ht="13.5" hidden="false" customHeight="false" outlineLevel="0" collapsed="false">
      <c r="A289" s="321" t="s">
        <v>296</v>
      </c>
      <c r="B289" s="322" t="n">
        <f aca="false">ROW(A289)</f>
        <v>289</v>
      </c>
      <c r="C289" s="305" t="s">
        <v>212</v>
      </c>
      <c r="D289" s="306" t="n">
        <f aca="false">SUM(B292:Y292)</f>
        <v>3739.0285</v>
      </c>
      <c r="E289" s="305" t="s">
        <v>213</v>
      </c>
      <c r="F289" s="307" t="n">
        <f aca="false">D289/g/J289</f>
        <v>203.494179044123</v>
      </c>
      <c r="G289" s="305" t="s">
        <v>214</v>
      </c>
      <c r="H289" s="323" t="n">
        <v>3.511</v>
      </c>
      <c r="I289" s="305" t="s">
        <v>225</v>
      </c>
      <c r="J289" s="308" t="n">
        <f aca="false">H289-L289</f>
        <v>1.873</v>
      </c>
      <c r="K289" s="305" t="s">
        <v>226</v>
      </c>
      <c r="L289" s="323" t="n">
        <v>1.638</v>
      </c>
      <c r="M289" s="305" t="s">
        <v>217</v>
      </c>
      <c r="N289" s="324" t="n">
        <v>243</v>
      </c>
      <c r="O289" s="305" t="s">
        <v>218</v>
      </c>
      <c r="P289" s="324" t="n">
        <v>243</v>
      </c>
      <c r="Q289" s="305" t="s">
        <v>219</v>
      </c>
      <c r="R289" s="324" t="n">
        <v>486</v>
      </c>
      <c r="S289" s="305" t="s">
        <v>220</v>
      </c>
      <c r="T289" s="324" t="n">
        <v>75</v>
      </c>
      <c r="U289" s="305" t="s">
        <v>8</v>
      </c>
      <c r="V289" s="325" t="s">
        <v>78</v>
      </c>
      <c r="W289" s="320"/>
      <c r="X289" s="320"/>
      <c r="Y289" s="320"/>
    </row>
    <row r="290" customFormat="false" ht="12.75" hidden="false" customHeight="false" outlineLevel="0" collapsed="false">
      <c r="A290" s="303" t="s">
        <v>227</v>
      </c>
      <c r="B290" s="326" t="n">
        <v>0</v>
      </c>
      <c r="C290" s="327" t="n">
        <v>0.01</v>
      </c>
      <c r="D290" s="327" t="n">
        <v>0.1</v>
      </c>
      <c r="E290" s="327" t="n">
        <v>0.12</v>
      </c>
      <c r="F290" s="327" t="n">
        <v>0.26</v>
      </c>
      <c r="G290" s="327" t="n">
        <v>0.71</v>
      </c>
      <c r="H290" s="327" t="n">
        <v>1.28</v>
      </c>
      <c r="I290" s="327" t="n">
        <v>2.05</v>
      </c>
      <c r="J290" s="327" t="n">
        <v>2.41</v>
      </c>
      <c r="K290" s="327" t="n">
        <v>2.83</v>
      </c>
      <c r="L290" s="327" t="n">
        <v>3.25</v>
      </c>
      <c r="M290" s="327" t="n">
        <v>3.65</v>
      </c>
      <c r="N290" s="327" t="n">
        <v>3.8</v>
      </c>
      <c r="O290" s="327" t="n">
        <v>4</v>
      </c>
      <c r="P290" s="327" t="n">
        <v>4.1</v>
      </c>
      <c r="Q290" s="327" t="n">
        <v>4.19</v>
      </c>
      <c r="R290" s="327" t="n">
        <v>4.31</v>
      </c>
      <c r="S290" s="327" t="n">
        <v>4.41</v>
      </c>
      <c r="T290" s="327" t="n">
        <v>4.52</v>
      </c>
      <c r="U290" s="327" t="n">
        <v>4.6</v>
      </c>
      <c r="V290" s="327" t="n">
        <v>4.65</v>
      </c>
      <c r="W290" s="327" t="n">
        <v>4.67</v>
      </c>
      <c r="X290" s="327" t="n">
        <v>4.68</v>
      </c>
      <c r="Y290" s="315" t="n">
        <v>1000</v>
      </c>
    </row>
    <row r="291" customFormat="false" ht="12.75" hidden="false" customHeight="false" outlineLevel="0" collapsed="false">
      <c r="A291" s="328" t="s">
        <v>228</v>
      </c>
      <c r="B291" s="329" t="n">
        <v>27</v>
      </c>
      <c r="C291" s="330" t="n">
        <v>402.4</v>
      </c>
      <c r="D291" s="330" t="n">
        <v>1286</v>
      </c>
      <c r="E291" s="330" t="n">
        <v>1257</v>
      </c>
      <c r="F291" s="330" t="n">
        <v>1042</v>
      </c>
      <c r="G291" s="330" t="n">
        <v>1027</v>
      </c>
      <c r="H291" s="330" t="n">
        <v>998.4</v>
      </c>
      <c r="I291" s="330" t="n">
        <v>901.4</v>
      </c>
      <c r="J291" s="330" t="n">
        <v>849.6</v>
      </c>
      <c r="K291" s="330" t="n">
        <v>763.5</v>
      </c>
      <c r="L291" s="330" t="n">
        <v>707.1</v>
      </c>
      <c r="M291" s="330" t="n">
        <v>655.1</v>
      </c>
      <c r="N291" s="330" t="n">
        <v>651.7</v>
      </c>
      <c r="O291" s="330" t="n">
        <v>624.1</v>
      </c>
      <c r="P291" s="330" t="n">
        <v>601.3</v>
      </c>
      <c r="Q291" s="330" t="n">
        <v>536.2</v>
      </c>
      <c r="R291" s="330" t="n">
        <v>415.7</v>
      </c>
      <c r="S291" s="330" t="n">
        <v>270.2</v>
      </c>
      <c r="T291" s="330" t="n">
        <v>140.2</v>
      </c>
      <c r="U291" s="330" t="n">
        <v>76.9</v>
      </c>
      <c r="V291" s="330" t="n">
        <v>54.9</v>
      </c>
      <c r="W291" s="330" t="n">
        <v>40.2</v>
      </c>
      <c r="X291" s="330" t="n">
        <v>0</v>
      </c>
      <c r="Y291" s="331" t="n">
        <v>0</v>
      </c>
    </row>
    <row r="292" customFormat="false" ht="13.5" hidden="false" customHeight="false" outlineLevel="0" collapsed="false">
      <c r="A292" s="316" t="s">
        <v>229</v>
      </c>
      <c r="B292" s="332" t="n">
        <f aca="false">(C291+B291)*(C290-B290)/2</f>
        <v>2.147</v>
      </c>
      <c r="C292" s="333" t="n">
        <f aca="false">(D291+C291)*(D290-C290)/2</f>
        <v>75.978</v>
      </c>
      <c r="D292" s="333" t="n">
        <f aca="false">(E291+D291)*(E290-D290)/2</f>
        <v>25.43</v>
      </c>
      <c r="E292" s="333" t="n">
        <f aca="false">(F291+E291)*(F290-E290)/2</f>
        <v>160.93</v>
      </c>
      <c r="F292" s="333" t="n">
        <f aca="false">(G291+F291)*(G290-F290)/2</f>
        <v>465.525</v>
      </c>
      <c r="G292" s="333" t="n">
        <f aca="false">(H291+G291)*(H290-G290)/2</f>
        <v>577.239</v>
      </c>
      <c r="H292" s="333" t="n">
        <f aca="false">(I291+H291)*(I290-H290)/2</f>
        <v>731.423</v>
      </c>
      <c r="I292" s="333" t="n">
        <f aca="false">(J291+I291)*(J290-I290)/2</f>
        <v>315.18</v>
      </c>
      <c r="J292" s="333" t="n">
        <f aca="false">(K291+J291)*(K290-J290)/2</f>
        <v>338.751</v>
      </c>
      <c r="K292" s="333" t="n">
        <f aca="false">(L291+K291)*(L290-K290)/2</f>
        <v>308.826</v>
      </c>
      <c r="L292" s="333" t="n">
        <f aca="false">(M291+L291)*(M290-L290)/2</f>
        <v>272.44</v>
      </c>
      <c r="M292" s="333" t="n">
        <f aca="false">(N291+M291)*(N290-M290)/2</f>
        <v>98.01</v>
      </c>
      <c r="N292" s="333" t="n">
        <f aca="false">(O291+N291)*(O290-N290)/2</f>
        <v>127.58</v>
      </c>
      <c r="O292" s="333" t="n">
        <f aca="false">(P291+O291)*(P290-O290)/2</f>
        <v>61.2699999999998</v>
      </c>
      <c r="P292" s="333" t="n">
        <f aca="false">(Q291+P291)*(Q290-P290)/2</f>
        <v>51.1875000000004</v>
      </c>
      <c r="Q292" s="333" t="n">
        <f aca="false">(R291+Q291)*(R290-Q290)/2</f>
        <v>57.1139999999996</v>
      </c>
      <c r="R292" s="333" t="n">
        <f aca="false">(S291+R291)*(S290-R290)/2</f>
        <v>34.2950000000002</v>
      </c>
      <c r="S292" s="333" t="n">
        <f aca="false">(T291+S291)*(T290-S290)/2</f>
        <v>22.5719999999999</v>
      </c>
      <c r="T292" s="333" t="n">
        <f aca="false">(U291+T291)*(U290-T290)/2</f>
        <v>8.68400000000001</v>
      </c>
      <c r="U292" s="333" t="n">
        <f aca="false">(V291+U291)*(V290-U290)/2</f>
        <v>3.29500000000005</v>
      </c>
      <c r="V292" s="333" t="n">
        <f aca="false">(W291+V291)*(W290-V290)/2</f>
        <v>0.95099999999998</v>
      </c>
      <c r="W292" s="333" t="n">
        <f aca="false">(X291+W291)*(X290-W290)/2</f>
        <v>0.200999999999996</v>
      </c>
      <c r="X292" s="333" t="n">
        <f aca="false">(Y291+X291)*(Y290-X290)/2</f>
        <v>0</v>
      </c>
      <c r="Y292" s="319"/>
    </row>
    <row r="293" customFormat="false" ht="13.5" hidden="false" customHeight="false" outlineLevel="0" collapsed="false">
      <c r="B293" s="320"/>
      <c r="C293" s="320"/>
      <c r="D293" s="320"/>
      <c r="E293" s="320"/>
      <c r="F293" s="320"/>
      <c r="G293" s="320"/>
      <c r="H293" s="320"/>
      <c r="I293" s="320"/>
      <c r="J293" s="320"/>
      <c r="K293" s="320"/>
      <c r="L293" s="320"/>
      <c r="M293" s="320"/>
      <c r="N293" s="320"/>
      <c r="O293" s="320"/>
      <c r="P293" s="320"/>
      <c r="Q293" s="320"/>
      <c r="R293" s="320"/>
      <c r="S293" s="320"/>
      <c r="T293" s="320"/>
      <c r="U293" s="320"/>
      <c r="V293" s="320"/>
      <c r="W293" s="320"/>
      <c r="X293" s="320"/>
      <c r="Y293" s="320"/>
    </row>
    <row r="294" customFormat="false" ht="13.5" hidden="false" customHeight="false" outlineLevel="0" collapsed="false">
      <c r="A294" s="321" t="s">
        <v>297</v>
      </c>
      <c r="B294" s="322" t="n">
        <f aca="false">ROW(A294)</f>
        <v>294</v>
      </c>
      <c r="C294" s="305" t="s">
        <v>212</v>
      </c>
      <c r="D294" s="306" t="n">
        <f aca="false">SUM(B297:Y297)</f>
        <v>14273.9760085</v>
      </c>
      <c r="E294" s="305" t="s">
        <v>213</v>
      </c>
      <c r="F294" s="307" t="n">
        <f aca="false">D294/g/J294</f>
        <v>169.506456889902</v>
      </c>
      <c r="G294" s="305" t="s">
        <v>214</v>
      </c>
      <c r="H294" s="323" t="n">
        <v>13.248</v>
      </c>
      <c r="I294" s="305" t="s">
        <v>225</v>
      </c>
      <c r="J294" s="308" t="n">
        <f aca="false">H294-L294</f>
        <v>8.584</v>
      </c>
      <c r="K294" s="305" t="s">
        <v>226</v>
      </c>
      <c r="L294" s="323" t="n">
        <v>4.664</v>
      </c>
      <c r="M294" s="305" t="s">
        <v>217</v>
      </c>
      <c r="N294" s="324" t="n">
        <f aca="false">R294/2</f>
        <v>505</v>
      </c>
      <c r="O294" s="305" t="s">
        <v>218</v>
      </c>
      <c r="P294" s="324" t="n">
        <v>505</v>
      </c>
      <c r="Q294" s="305" t="s">
        <v>219</v>
      </c>
      <c r="R294" s="324" t="n">
        <v>1010</v>
      </c>
      <c r="S294" s="305" t="s">
        <v>220</v>
      </c>
      <c r="T294" s="324" t="n">
        <v>98</v>
      </c>
      <c r="U294" s="305" t="s">
        <v>8</v>
      </c>
      <c r="V294" s="325" t="s">
        <v>78</v>
      </c>
      <c r="W294" s="320"/>
      <c r="X294" s="320"/>
      <c r="Y294" s="320"/>
    </row>
    <row r="295" customFormat="false" ht="12.75" hidden="false" customHeight="false" outlineLevel="0" collapsed="false">
      <c r="A295" s="303" t="s">
        <v>227</v>
      </c>
      <c r="B295" s="326" t="n">
        <v>0</v>
      </c>
      <c r="C295" s="327" t="n">
        <v>0.04</v>
      </c>
      <c r="D295" s="327" t="n">
        <v>0.08</v>
      </c>
      <c r="E295" s="327" t="n">
        <v>0.201</v>
      </c>
      <c r="F295" s="327" t="n">
        <v>0.447</v>
      </c>
      <c r="G295" s="327" t="n">
        <v>0.678</v>
      </c>
      <c r="H295" s="327" t="n">
        <v>0.758</v>
      </c>
      <c r="I295" s="327" t="n">
        <v>0.853</v>
      </c>
      <c r="J295" s="327" t="n">
        <v>2.425</v>
      </c>
      <c r="K295" s="327" t="n">
        <v>2.52</v>
      </c>
      <c r="L295" s="327" t="n">
        <v>2.761</v>
      </c>
      <c r="M295" s="327" t="n">
        <v>3.434</v>
      </c>
      <c r="N295" s="327" t="n">
        <v>3.715</v>
      </c>
      <c r="O295" s="327" t="n">
        <v>4.077</v>
      </c>
      <c r="P295" s="327" t="n">
        <v>4.96</v>
      </c>
      <c r="Q295" s="327" t="n">
        <v>5.492</v>
      </c>
      <c r="R295" s="327" t="n">
        <v>6.105</v>
      </c>
      <c r="S295" s="327" t="n">
        <v>6.446</v>
      </c>
      <c r="T295" s="327" t="n">
        <v>6.647</v>
      </c>
      <c r="U295" s="327" t="n">
        <v>7.074</v>
      </c>
      <c r="V295" s="327" t="n">
        <v>7.239</v>
      </c>
      <c r="W295" s="327" t="n">
        <v>7.254</v>
      </c>
      <c r="X295" s="327" t="n">
        <v>8</v>
      </c>
      <c r="Y295" s="315" t="n">
        <v>1000</v>
      </c>
    </row>
    <row r="296" customFormat="false" ht="12.75" hidden="false" customHeight="false" outlineLevel="0" collapsed="false">
      <c r="A296" s="328" t="s">
        <v>228</v>
      </c>
      <c r="B296" s="329" t="n">
        <v>0</v>
      </c>
      <c r="C296" s="330" t="n">
        <v>1382.46</v>
      </c>
      <c r="D296" s="330" t="n">
        <v>1699.147</v>
      </c>
      <c r="E296" s="330" t="n">
        <v>1781.364</v>
      </c>
      <c r="F296" s="330" t="n">
        <v>1793.544</v>
      </c>
      <c r="G296" s="330" t="n">
        <v>1820.95</v>
      </c>
      <c r="H296" s="330" t="n">
        <v>1927.527</v>
      </c>
      <c r="I296" s="330" t="n">
        <v>1842.266</v>
      </c>
      <c r="J296" s="330" t="n">
        <v>2088.916</v>
      </c>
      <c r="K296" s="330" t="n">
        <v>2180.268</v>
      </c>
      <c r="L296" s="330" t="n">
        <v>2198.538</v>
      </c>
      <c r="M296" s="330" t="n">
        <v>2213.764</v>
      </c>
      <c r="N296" s="330" t="n">
        <v>2268.575</v>
      </c>
      <c r="O296" s="330" t="n">
        <v>2299.026</v>
      </c>
      <c r="P296" s="330" t="n">
        <v>2238.124</v>
      </c>
      <c r="Q296" s="330" t="n">
        <v>2161.998</v>
      </c>
      <c r="R296" s="330" t="n">
        <v>2024.97</v>
      </c>
      <c r="S296" s="330" t="n">
        <v>1878.806</v>
      </c>
      <c r="T296" s="330" t="n">
        <v>1668.697</v>
      </c>
      <c r="U296" s="330" t="n">
        <v>602.923</v>
      </c>
      <c r="V296" s="330" t="n">
        <v>140.073</v>
      </c>
      <c r="W296" s="330" t="n">
        <v>0</v>
      </c>
      <c r="X296" s="330" t="n">
        <v>0</v>
      </c>
      <c r="Y296" s="331" t="n">
        <v>0</v>
      </c>
    </row>
    <row r="297" customFormat="false" ht="13.5" hidden="false" customHeight="false" outlineLevel="0" collapsed="false">
      <c r="A297" s="316" t="s">
        <v>229</v>
      </c>
      <c r="B297" s="332" t="n">
        <f aca="false">(C296+B296)*(C295-B295)/2</f>
        <v>27.6492</v>
      </c>
      <c r="C297" s="333" t="n">
        <f aca="false">(D296+C296)*(D295-C295)/2</f>
        <v>61.63214</v>
      </c>
      <c r="D297" s="333" t="n">
        <f aca="false">(E296+D296)*(E295-D295)/2</f>
        <v>210.5709155</v>
      </c>
      <c r="E297" s="333" t="n">
        <f aca="false">(F296+E296)*(F295-E295)/2</f>
        <v>439.713684</v>
      </c>
      <c r="F297" s="333" t="n">
        <f aca="false">(G296+F296)*(G295-F295)/2</f>
        <v>417.474057</v>
      </c>
      <c r="G297" s="333" t="n">
        <f aca="false">(H296+G296)*(H295-G295)/2</f>
        <v>149.93908</v>
      </c>
      <c r="H297" s="333" t="n">
        <f aca="false">(I296+H296)*(I295-H295)/2</f>
        <v>179.0651675</v>
      </c>
      <c r="I297" s="333" t="n">
        <f aca="false">(J296+I296)*(J295-I295)/2</f>
        <v>3089.909052</v>
      </c>
      <c r="J297" s="333" t="n">
        <f aca="false">(K296+J296)*(K295-J295)/2</f>
        <v>202.78624</v>
      </c>
      <c r="K297" s="333" t="n">
        <f aca="false">(L296+K296)*(L295-K295)/2</f>
        <v>527.646123</v>
      </c>
      <c r="L297" s="333" t="n">
        <f aca="false">(M296+L296)*(M295-L295)/2</f>
        <v>1484.739623</v>
      </c>
      <c r="M297" s="333" t="n">
        <f aca="false">(N296+M296)*(N295-M295)/2</f>
        <v>629.768629499999</v>
      </c>
      <c r="N297" s="333" t="n">
        <f aca="false">(O296+N296)*(O295-N295)/2</f>
        <v>826.735781</v>
      </c>
      <c r="O297" s="333" t="n">
        <f aca="false">(P296+O296)*(P295-O295)/2</f>
        <v>2003.151725</v>
      </c>
      <c r="P297" s="333" t="n">
        <f aca="false">(Q296+P296)*(Q295-P295)/2</f>
        <v>1170.432452</v>
      </c>
      <c r="Q297" s="333" t="n">
        <f aca="false">(R296+Q296)*(R295-Q295)/2</f>
        <v>1283.305692</v>
      </c>
      <c r="R297" s="333" t="n">
        <f aca="false">(S296+R296)*(S295-R295)/2</f>
        <v>665.593807999999</v>
      </c>
      <c r="S297" s="333" t="n">
        <f aca="false">(T296+S296)*(T295-S295)/2</f>
        <v>356.524051500001</v>
      </c>
      <c r="T297" s="333" t="n">
        <f aca="false">(U296+T296)*(U295-T295)/2</f>
        <v>484.99087</v>
      </c>
      <c r="U297" s="333" t="n">
        <f aca="false">(V296+U296)*(V295-U295)/2</f>
        <v>61.29717</v>
      </c>
      <c r="V297" s="333" t="n">
        <f aca="false">(W296+V296)*(W295-V295)/2</f>
        <v>1.05054749999998</v>
      </c>
      <c r="W297" s="333" t="n">
        <f aca="false">(X296+W296)*(X295-W295)/2</f>
        <v>0</v>
      </c>
      <c r="X297" s="333" t="n">
        <f aca="false">(Y296+X296)*(Y295-X295)/2</f>
        <v>0</v>
      </c>
      <c r="Y297" s="319"/>
    </row>
    <row r="298" customFormat="false" ht="13.5" hidden="false" customHeight="false" outlineLevel="0" collapsed="false">
      <c r="A298" s="320"/>
      <c r="L298" s="320"/>
      <c r="M298" s="320"/>
      <c r="N298" s="320"/>
      <c r="O298" s="320"/>
      <c r="P298" s="320"/>
      <c r="Q298" s="320"/>
      <c r="R298" s="320"/>
      <c r="S298" s="320"/>
      <c r="T298" s="320"/>
      <c r="U298" s="320"/>
      <c r="V298" s="320"/>
      <c r="W298" s="320"/>
      <c r="X298" s="320"/>
      <c r="Y298" s="320"/>
    </row>
    <row r="299" customFormat="false" ht="13.5" hidden="false" customHeight="false" outlineLevel="0" collapsed="false">
      <c r="A299" s="321" t="s">
        <v>298</v>
      </c>
      <c r="B299" s="322" t="n">
        <f aca="false">ROW(A299)</f>
        <v>299</v>
      </c>
      <c r="C299" s="305" t="s">
        <v>212</v>
      </c>
      <c r="D299" s="306" t="n">
        <f aca="false">SUM(B302:Y302)</f>
        <v>7412.437141</v>
      </c>
      <c r="E299" s="305" t="s">
        <v>213</v>
      </c>
      <c r="F299" s="307" t="n">
        <f aca="false">D299/g/J299</f>
        <v>223.28608637999</v>
      </c>
      <c r="G299" s="305" t="s">
        <v>214</v>
      </c>
      <c r="H299" s="323" t="n">
        <v>6.25</v>
      </c>
      <c r="I299" s="305" t="s">
        <v>225</v>
      </c>
      <c r="J299" s="308" t="n">
        <f aca="false">H299-L299</f>
        <v>3.384</v>
      </c>
      <c r="K299" s="305" t="s">
        <v>226</v>
      </c>
      <c r="L299" s="323" t="n">
        <v>2.866</v>
      </c>
      <c r="M299" s="305" t="s">
        <v>217</v>
      </c>
      <c r="N299" s="324" t="n">
        <v>290</v>
      </c>
      <c r="O299" s="305" t="s">
        <v>218</v>
      </c>
      <c r="P299" s="324" t="n">
        <v>290</v>
      </c>
      <c r="Q299" s="305" t="s">
        <v>219</v>
      </c>
      <c r="R299" s="324" t="n">
        <v>579</v>
      </c>
      <c r="S299" s="305" t="s">
        <v>220</v>
      </c>
      <c r="T299" s="324" t="n">
        <v>98</v>
      </c>
      <c r="U299" s="305" t="s">
        <v>8</v>
      </c>
      <c r="V299" s="325" t="s">
        <v>78</v>
      </c>
      <c r="W299" s="320"/>
      <c r="X299" s="320"/>
      <c r="Y299" s="320"/>
    </row>
    <row r="300" customFormat="false" ht="12.75" hidden="false" customHeight="false" outlineLevel="0" collapsed="false">
      <c r="A300" s="303" t="s">
        <v>227</v>
      </c>
      <c r="B300" s="326" t="n">
        <v>0</v>
      </c>
      <c r="C300" s="327" t="n">
        <v>0.017</v>
      </c>
      <c r="D300" s="327" t="n">
        <v>0.052</v>
      </c>
      <c r="E300" s="327" t="n">
        <v>0.088</v>
      </c>
      <c r="F300" s="327" t="n">
        <v>0.108</v>
      </c>
      <c r="G300" s="327" t="n">
        <v>0.127</v>
      </c>
      <c r="H300" s="327" t="n">
        <v>0.174</v>
      </c>
      <c r="I300" s="327" t="n">
        <v>0.257</v>
      </c>
      <c r="J300" s="327" t="n">
        <v>0.403</v>
      </c>
      <c r="K300" s="327" t="n">
        <v>0.762</v>
      </c>
      <c r="L300" s="327" t="n">
        <v>0.977</v>
      </c>
      <c r="M300" s="327" t="n">
        <v>1.341</v>
      </c>
      <c r="N300" s="327" t="n">
        <v>1.501</v>
      </c>
      <c r="O300" s="327" t="n">
        <v>1.661</v>
      </c>
      <c r="P300" s="327" t="n">
        <v>1.96</v>
      </c>
      <c r="Q300" s="327" t="n">
        <v>2.404</v>
      </c>
      <c r="R300" s="327" t="n">
        <v>2.641</v>
      </c>
      <c r="S300" s="327" t="n">
        <v>2.716</v>
      </c>
      <c r="T300" s="327" t="n">
        <v>2.821</v>
      </c>
      <c r="U300" s="327" t="n">
        <v>2.892</v>
      </c>
      <c r="V300" s="327" t="n">
        <v>2.92</v>
      </c>
      <c r="W300" s="327" t="n">
        <v>2.97</v>
      </c>
      <c r="X300" s="327" t="n">
        <v>3</v>
      </c>
      <c r="Y300" s="315" t="n">
        <v>1000</v>
      </c>
    </row>
    <row r="301" customFormat="false" ht="12.75" hidden="false" customHeight="false" outlineLevel="0" collapsed="false">
      <c r="A301" s="328" t="s">
        <v>228</v>
      </c>
      <c r="B301" s="329" t="n">
        <v>0</v>
      </c>
      <c r="C301" s="330" t="n">
        <v>329.847</v>
      </c>
      <c r="D301" s="330" t="n">
        <v>1003.68</v>
      </c>
      <c r="E301" s="330" t="n">
        <v>2346.62</v>
      </c>
      <c r="F301" s="330" t="n">
        <v>2549.24</v>
      </c>
      <c r="G301" s="330" t="n">
        <v>2605.79</v>
      </c>
      <c r="H301" s="330" t="n">
        <v>2520.97</v>
      </c>
      <c r="I301" s="330" t="n">
        <v>2516.26</v>
      </c>
      <c r="J301" s="330" t="n">
        <v>2596.37</v>
      </c>
      <c r="K301" s="330" t="n">
        <v>2808.41</v>
      </c>
      <c r="L301" s="330" t="n">
        <v>2954.49</v>
      </c>
      <c r="M301" s="330" t="n">
        <v>2959.2</v>
      </c>
      <c r="N301" s="330" t="n">
        <v>2907.36</v>
      </c>
      <c r="O301" s="330" t="n">
        <v>2869.67</v>
      </c>
      <c r="P301" s="330" t="n">
        <v>2695.32</v>
      </c>
      <c r="Q301" s="330" t="n">
        <v>2351.34</v>
      </c>
      <c r="R301" s="330" t="n">
        <v>2228.82</v>
      </c>
      <c r="S301" s="330" t="n">
        <v>2007.35</v>
      </c>
      <c r="T301" s="330" t="n">
        <v>1427.77</v>
      </c>
      <c r="U301" s="330" t="n">
        <v>504.194</v>
      </c>
      <c r="V301" s="330" t="n">
        <v>334.559</v>
      </c>
      <c r="W301" s="330" t="n">
        <v>122.515</v>
      </c>
      <c r="X301" s="330" t="n">
        <v>0</v>
      </c>
      <c r="Y301" s="331" t="n">
        <v>0</v>
      </c>
    </row>
    <row r="302" customFormat="false" ht="13.5" hidden="false" customHeight="false" outlineLevel="0" collapsed="false">
      <c r="A302" s="316" t="s">
        <v>229</v>
      </c>
      <c r="B302" s="332" t="n">
        <f aca="false">(C301+B301)*(C300-B300)/2</f>
        <v>2.8036995</v>
      </c>
      <c r="C302" s="333" t="n">
        <f aca="false">(D301+C301)*(D300-C300)/2</f>
        <v>23.3367225</v>
      </c>
      <c r="D302" s="333" t="n">
        <f aca="false">(E301+D301)*(E300-D300)/2</f>
        <v>60.3054</v>
      </c>
      <c r="E302" s="333" t="n">
        <f aca="false">(F301+E301)*(F300-E300)/2</f>
        <v>48.9586</v>
      </c>
      <c r="F302" s="333" t="n">
        <f aca="false">(G301+F301)*(G300-F300)/2</f>
        <v>48.972785</v>
      </c>
      <c r="G302" s="333" t="n">
        <f aca="false">(H301+G301)*(H300-G300)/2</f>
        <v>120.47886</v>
      </c>
      <c r="H302" s="333" t="n">
        <f aca="false">(I301+H301)*(I300-H300)/2</f>
        <v>209.045045</v>
      </c>
      <c r="I302" s="333" t="n">
        <f aca="false">(J301+I301)*(J300-I300)/2</f>
        <v>373.22199</v>
      </c>
      <c r="J302" s="333" t="n">
        <f aca="false">(K301+J301)*(K300-J300)/2</f>
        <v>970.15801</v>
      </c>
      <c r="K302" s="333" t="n">
        <f aca="false">(L301+K301)*(L300-K300)/2</f>
        <v>619.51175</v>
      </c>
      <c r="L302" s="333" t="n">
        <f aca="false">(M301+L301)*(M300-L300)/2</f>
        <v>1076.29158</v>
      </c>
      <c r="M302" s="333" t="n">
        <f aca="false">(N301+M301)*(N300-M300)/2</f>
        <v>469.3248</v>
      </c>
      <c r="N302" s="333" t="n">
        <f aca="false">(O301+N301)*(O300-N300)/2</f>
        <v>462.1624</v>
      </c>
      <c r="O302" s="333" t="n">
        <f aca="false">(P301+O301)*(P300-O300)/2</f>
        <v>831.966005</v>
      </c>
      <c r="P302" s="333" t="n">
        <f aca="false">(Q301+P301)*(Q300-P300)/2</f>
        <v>1120.35852</v>
      </c>
      <c r="Q302" s="333" t="n">
        <f aca="false">(R301+Q301)*(R300-Q300)/2</f>
        <v>542.74896</v>
      </c>
      <c r="R302" s="333" t="n">
        <f aca="false">(S301+R301)*(S300-R300)/2</f>
        <v>158.856375</v>
      </c>
      <c r="S302" s="333" t="n">
        <f aca="false">(T301+S301)*(T300-S300)/2</f>
        <v>180.3438</v>
      </c>
      <c r="T302" s="333" t="n">
        <f aca="false">(U301+T301)*(U300-T300)/2</f>
        <v>68.5847219999997</v>
      </c>
      <c r="U302" s="333" t="n">
        <f aca="false">(V301+U301)*(V300-U300)/2</f>
        <v>11.742542</v>
      </c>
      <c r="V302" s="333" t="n">
        <f aca="false">(W301+V301)*(W300-V300)/2</f>
        <v>11.4268500000001</v>
      </c>
      <c r="W302" s="333" t="n">
        <f aca="false">(X301+W301)*(X300-W300)/2</f>
        <v>1.83772499999999</v>
      </c>
      <c r="X302" s="333" t="n">
        <f aca="false">(Y301+X301)*(Y300-X300)/2</f>
        <v>0</v>
      </c>
      <c r="Y302" s="319"/>
    </row>
    <row r="303" customFormat="false" ht="13.5" hidden="false" customHeight="false" outlineLevel="0" collapsed="false">
      <c r="B303" s="320"/>
      <c r="C303" s="320"/>
      <c r="D303" s="320"/>
      <c r="E303" s="320"/>
      <c r="F303" s="320"/>
      <c r="G303" s="320"/>
      <c r="H303" s="320"/>
      <c r="I303" s="320"/>
      <c r="J303" s="320"/>
      <c r="K303" s="320"/>
      <c r="L303" s="320"/>
      <c r="M303" s="320"/>
      <c r="N303" s="320"/>
      <c r="O303" s="320"/>
      <c r="P303" s="320"/>
      <c r="Q303" s="320"/>
      <c r="R303" s="320"/>
      <c r="S303" s="320"/>
      <c r="T303" s="320"/>
      <c r="U303" s="320"/>
      <c r="V303" s="320"/>
      <c r="W303" s="320"/>
      <c r="X303" s="320"/>
      <c r="Y303" s="320"/>
    </row>
    <row r="304" customFormat="false" ht="13.5" hidden="false" customHeight="false" outlineLevel="0" collapsed="false">
      <c r="A304" s="321" t="s">
        <v>299</v>
      </c>
      <c r="B304" s="322" t="n">
        <f aca="false">ROW(A304)</f>
        <v>304</v>
      </c>
      <c r="C304" s="305" t="s">
        <v>212</v>
      </c>
      <c r="D304" s="306" t="n">
        <f aca="false">SUM(B307:Y307)</f>
        <v>17734.9773505</v>
      </c>
      <c r="E304" s="305" t="s">
        <v>213</v>
      </c>
      <c r="F304" s="307" t="n">
        <f aca="false">D304/g/J304</f>
        <v>192.734203061799</v>
      </c>
      <c r="G304" s="305" t="s">
        <v>214</v>
      </c>
      <c r="H304" s="323" t="n">
        <v>14.748</v>
      </c>
      <c r="I304" s="305" t="s">
        <v>225</v>
      </c>
      <c r="J304" s="308" t="n">
        <f aca="false">H304-L304</f>
        <v>9.38</v>
      </c>
      <c r="K304" s="305" t="s">
        <v>226</v>
      </c>
      <c r="L304" s="323" t="n">
        <v>5.368</v>
      </c>
      <c r="M304" s="305" t="s">
        <v>217</v>
      </c>
      <c r="N304" s="324" t="n">
        <v>500</v>
      </c>
      <c r="O304" s="305" t="s">
        <v>218</v>
      </c>
      <c r="P304" s="324" t="n">
        <v>500</v>
      </c>
      <c r="Q304" s="305" t="s">
        <v>219</v>
      </c>
      <c r="R304" s="324" t="n">
        <v>1046</v>
      </c>
      <c r="S304" s="305" t="s">
        <v>220</v>
      </c>
      <c r="T304" s="324" t="n">
        <v>98</v>
      </c>
      <c r="U304" s="305" t="s">
        <v>8</v>
      </c>
      <c r="V304" s="325" t="s">
        <v>78</v>
      </c>
      <c r="W304" s="320"/>
      <c r="X304" s="320"/>
      <c r="Y304" s="320"/>
    </row>
    <row r="305" customFormat="false" ht="12.75" hidden="false" customHeight="false" outlineLevel="0" collapsed="false">
      <c r="A305" s="303" t="s">
        <v>227</v>
      </c>
      <c r="B305" s="326" t="n">
        <v>0</v>
      </c>
      <c r="C305" s="327" t="n">
        <v>0.003</v>
      </c>
      <c r="D305" s="327" t="n">
        <v>0.05</v>
      </c>
      <c r="E305" s="327" t="n">
        <v>0.078</v>
      </c>
      <c r="F305" s="327" t="n">
        <v>0.121</v>
      </c>
      <c r="G305" s="327" t="n">
        <v>0.652</v>
      </c>
      <c r="H305" s="327" t="n">
        <v>1.123</v>
      </c>
      <c r="I305" s="327" t="n">
        <v>1.655</v>
      </c>
      <c r="J305" s="327" t="n">
        <v>2.353</v>
      </c>
      <c r="K305" s="327" t="n">
        <v>3.035</v>
      </c>
      <c r="L305" s="327" t="n">
        <v>3.7</v>
      </c>
      <c r="M305" s="327" t="n">
        <v>3.733</v>
      </c>
      <c r="N305" s="327" t="n">
        <v>3.887</v>
      </c>
      <c r="O305" s="327" t="n">
        <v>4.036</v>
      </c>
      <c r="P305" s="327" t="n">
        <v>4.197</v>
      </c>
      <c r="Q305" s="327" t="n">
        <v>4.262</v>
      </c>
      <c r="R305" s="327" t="n">
        <v>4.3</v>
      </c>
      <c r="S305" s="327" t="n">
        <v>5</v>
      </c>
      <c r="T305" s="327" t="n">
        <v>5</v>
      </c>
      <c r="U305" s="327" t="n">
        <v>5</v>
      </c>
      <c r="V305" s="327" t="n">
        <v>5</v>
      </c>
      <c r="W305" s="327" t="n">
        <v>5</v>
      </c>
      <c r="X305" s="327" t="n">
        <v>5</v>
      </c>
      <c r="Y305" s="315" t="n">
        <v>1000</v>
      </c>
    </row>
    <row r="306" customFormat="false" ht="12.75" hidden="false" customHeight="false" outlineLevel="0" collapsed="false">
      <c r="A306" s="328" t="s">
        <v>228</v>
      </c>
      <c r="B306" s="329" t="n">
        <v>0</v>
      </c>
      <c r="C306" s="330" t="n">
        <v>203.877</v>
      </c>
      <c r="D306" s="330" t="n">
        <v>2362.879</v>
      </c>
      <c r="E306" s="330" t="n">
        <v>3946.845</v>
      </c>
      <c r="F306" s="330" t="n">
        <v>4281.412</v>
      </c>
      <c r="G306" s="330" t="n">
        <v>4370.281</v>
      </c>
      <c r="H306" s="330" t="n">
        <v>4453.923</v>
      </c>
      <c r="I306" s="330" t="n">
        <v>4772.807</v>
      </c>
      <c r="J306" s="330" t="n">
        <v>4621.206</v>
      </c>
      <c r="K306" s="330" t="n">
        <v>4511.427</v>
      </c>
      <c r="L306" s="330" t="n">
        <v>4375.509</v>
      </c>
      <c r="M306" s="330" t="n">
        <v>4182.087</v>
      </c>
      <c r="N306" s="330" t="n">
        <v>2969.282</v>
      </c>
      <c r="O306" s="330" t="n">
        <v>1589.193</v>
      </c>
      <c r="P306" s="330" t="n">
        <v>533.216</v>
      </c>
      <c r="Q306" s="330" t="n">
        <v>240.47</v>
      </c>
      <c r="R306" s="330" t="n">
        <v>0</v>
      </c>
      <c r="S306" s="330" t="n">
        <v>0</v>
      </c>
      <c r="T306" s="330" t="n">
        <v>0</v>
      </c>
      <c r="U306" s="330" t="n">
        <v>0</v>
      </c>
      <c r="V306" s="330" t="n">
        <v>0</v>
      </c>
      <c r="W306" s="330" t="n">
        <v>0</v>
      </c>
      <c r="X306" s="330" t="n">
        <v>0</v>
      </c>
      <c r="Y306" s="331" t="n">
        <v>0</v>
      </c>
    </row>
    <row r="307" customFormat="false" ht="13.5" hidden="false" customHeight="false" outlineLevel="0" collapsed="false">
      <c r="A307" s="316" t="s">
        <v>229</v>
      </c>
      <c r="B307" s="332" t="n">
        <f aca="false">(C306+B306)*(C305-B305)/2</f>
        <v>0.3058155</v>
      </c>
      <c r="C307" s="333" t="n">
        <f aca="false">(D306+C306)*(D305-C305)/2</f>
        <v>60.318766</v>
      </c>
      <c r="D307" s="333" t="n">
        <f aca="false">(E306+D306)*(E305-D305)/2</f>
        <v>88.336136</v>
      </c>
      <c r="E307" s="333" t="n">
        <f aca="false">(F306+E306)*(F305-E305)/2</f>
        <v>176.9075255</v>
      </c>
      <c r="F307" s="333" t="n">
        <f aca="false">(G306+F306)*(G305-F305)/2</f>
        <v>2297.0244915</v>
      </c>
      <c r="G307" s="333" t="n">
        <f aca="false">(H306+G306)*(H305-G305)/2</f>
        <v>2078.100042</v>
      </c>
      <c r="H307" s="333" t="n">
        <f aca="false">(I306+H306)*(I305-H305)/2</f>
        <v>2454.31018</v>
      </c>
      <c r="I307" s="333" t="n">
        <f aca="false">(J306+I306)*(J305-I305)/2</f>
        <v>3278.510537</v>
      </c>
      <c r="J307" s="333" t="n">
        <f aca="false">(K306+J306)*(K305-J305)/2</f>
        <v>3114.227853</v>
      </c>
      <c r="K307" s="333" t="n">
        <f aca="false">(L306+K306)*(L305-K305)/2</f>
        <v>2954.90622</v>
      </c>
      <c r="L307" s="333" t="n">
        <f aca="false">(M306+L306)*(M305-L305)/2</f>
        <v>141.200334</v>
      </c>
      <c r="M307" s="333" t="n">
        <f aca="false">(N306+M306)*(N305-M305)/2</f>
        <v>550.655413</v>
      </c>
      <c r="N307" s="333" t="n">
        <f aca="false">(O306+N306)*(O305-N305)/2</f>
        <v>339.606387499999</v>
      </c>
      <c r="O307" s="333" t="n">
        <f aca="false">(P306+O306)*(P305-O305)/2</f>
        <v>170.853924500001</v>
      </c>
      <c r="P307" s="333" t="n">
        <f aca="false">(Q306+P306)*(Q305-P305)/2</f>
        <v>25.1447949999998</v>
      </c>
      <c r="Q307" s="333" t="n">
        <f aca="false">(R306+Q306)*(R305-Q305)/2</f>
        <v>4.56893000000003</v>
      </c>
      <c r="R307" s="333" t="n">
        <f aca="false">(S306+R306)*(S305-R305)/2</f>
        <v>0</v>
      </c>
      <c r="S307" s="333" t="n">
        <f aca="false">(T306+S306)*(T305-S305)/2</f>
        <v>0</v>
      </c>
      <c r="T307" s="333" t="n">
        <f aca="false">(U306+T306)*(U305-T305)/2</f>
        <v>0</v>
      </c>
      <c r="U307" s="333" t="n">
        <f aca="false">(V306+U306)*(V305-U305)/2</f>
        <v>0</v>
      </c>
      <c r="V307" s="333" t="n">
        <f aca="false">(W306+V306)*(W305-V305)/2</f>
        <v>0</v>
      </c>
      <c r="W307" s="333" t="n">
        <f aca="false">(X306+W306)*(X305-W305)/2</f>
        <v>0</v>
      </c>
      <c r="X307" s="333" t="n">
        <f aca="false">(Y306+X306)*(Y305-X305)/2</f>
        <v>0</v>
      </c>
      <c r="Y307" s="319"/>
    </row>
    <row r="308" customFormat="false" ht="13.5" hidden="false" customHeight="false" outlineLevel="0" collapsed="false">
      <c r="B308" s="320"/>
      <c r="C308" s="320"/>
      <c r="D308" s="320"/>
      <c r="E308" s="320"/>
      <c r="F308" s="320"/>
      <c r="G308" s="320"/>
      <c r="H308" s="320"/>
      <c r="I308" s="320"/>
      <c r="J308" s="320"/>
      <c r="K308" s="320"/>
      <c r="L308" s="320"/>
      <c r="M308" s="320"/>
      <c r="N308" s="320"/>
      <c r="O308" s="320"/>
      <c r="P308" s="320"/>
      <c r="Q308" s="320"/>
      <c r="R308" s="320"/>
      <c r="S308" s="320"/>
      <c r="T308" s="320"/>
      <c r="U308" s="320"/>
      <c r="V308" s="320"/>
      <c r="W308" s="320"/>
      <c r="X308" s="320"/>
      <c r="Y308" s="320"/>
    </row>
    <row r="309" customFormat="false" ht="13.5" hidden="false" customHeight="false" outlineLevel="0" collapsed="false">
      <c r="A309" s="321" t="s">
        <v>300</v>
      </c>
      <c r="B309" s="322" t="n">
        <f aca="false">ROW(A309)</f>
        <v>309</v>
      </c>
      <c r="C309" s="305" t="s">
        <v>212</v>
      </c>
      <c r="D309" s="306" t="n">
        <f aca="false">SUM(B312:Y312)</f>
        <v>0.001</v>
      </c>
      <c r="E309" s="305" t="s">
        <v>213</v>
      </c>
      <c r="F309" s="307" t="n">
        <f aca="false">D309/g/J309</f>
        <v>1.01936799184506</v>
      </c>
      <c r="G309" s="305" t="s">
        <v>214</v>
      </c>
      <c r="H309" s="323" t="n">
        <v>0.0001</v>
      </c>
      <c r="I309" s="305" t="s">
        <v>225</v>
      </c>
      <c r="J309" s="308" t="n">
        <f aca="false">H309-L309</f>
        <v>0.0001</v>
      </c>
      <c r="K309" s="305" t="s">
        <v>226</v>
      </c>
      <c r="L309" s="323" t="n">
        <v>0</v>
      </c>
      <c r="M309" s="305" t="s">
        <v>217</v>
      </c>
      <c r="N309" s="324" t="n">
        <v>0</v>
      </c>
      <c r="O309" s="305" t="s">
        <v>218</v>
      </c>
      <c r="P309" s="324" t="n">
        <v>0</v>
      </c>
      <c r="Q309" s="305" t="s">
        <v>219</v>
      </c>
      <c r="R309" s="324" t="n">
        <v>0</v>
      </c>
      <c r="S309" s="305" t="s">
        <v>220</v>
      </c>
      <c r="T309" s="324" t="n">
        <v>0</v>
      </c>
      <c r="U309" s="305" t="s">
        <v>8</v>
      </c>
      <c r="V309" s="325" t="s">
        <v>78</v>
      </c>
      <c r="W309" s="320"/>
      <c r="X309" s="320"/>
      <c r="Y309" s="320"/>
    </row>
    <row r="310" customFormat="false" ht="12.75" hidden="false" customHeight="false" outlineLevel="0" collapsed="false">
      <c r="A310" s="303" t="s">
        <v>227</v>
      </c>
      <c r="B310" s="326" t="n">
        <v>0</v>
      </c>
      <c r="C310" s="327" t="n">
        <v>0.1</v>
      </c>
      <c r="D310" s="327" t="n">
        <v>0.2</v>
      </c>
      <c r="E310" s="327" t="n">
        <v>1</v>
      </c>
      <c r="F310" s="327" t="n">
        <v>1</v>
      </c>
      <c r="G310" s="327" t="n">
        <v>1</v>
      </c>
      <c r="H310" s="327" t="n">
        <v>1</v>
      </c>
      <c r="I310" s="327" t="n">
        <v>1</v>
      </c>
      <c r="J310" s="327" t="n">
        <v>1</v>
      </c>
      <c r="K310" s="327" t="n">
        <v>1</v>
      </c>
      <c r="L310" s="327" t="n">
        <v>1</v>
      </c>
      <c r="M310" s="327" t="n">
        <v>1</v>
      </c>
      <c r="N310" s="327" t="n">
        <v>1</v>
      </c>
      <c r="O310" s="327" t="n">
        <v>1</v>
      </c>
      <c r="P310" s="327" t="n">
        <v>1</v>
      </c>
      <c r="Q310" s="327" t="n">
        <v>1</v>
      </c>
      <c r="R310" s="327" t="n">
        <v>1</v>
      </c>
      <c r="S310" s="327" t="n">
        <v>1</v>
      </c>
      <c r="T310" s="327" t="n">
        <v>1</v>
      </c>
      <c r="U310" s="327" t="n">
        <v>1</v>
      </c>
      <c r="V310" s="327" t="n">
        <v>1</v>
      </c>
      <c r="W310" s="327" t="n">
        <v>1</v>
      </c>
      <c r="X310" s="327" t="n">
        <v>1</v>
      </c>
      <c r="Y310" s="315" t="n">
        <v>1000</v>
      </c>
    </row>
    <row r="311" customFormat="false" ht="12.75" hidden="false" customHeight="false" outlineLevel="0" collapsed="false">
      <c r="A311" s="328" t="s">
        <v>228</v>
      </c>
      <c r="B311" s="329" t="n">
        <v>0</v>
      </c>
      <c r="C311" s="330" t="n">
        <v>0.01</v>
      </c>
      <c r="D311" s="330" t="n">
        <v>0</v>
      </c>
      <c r="E311" s="330" t="n">
        <v>0</v>
      </c>
      <c r="F311" s="330" t="n">
        <v>0</v>
      </c>
      <c r="G311" s="330" t="n">
        <v>0</v>
      </c>
      <c r="H311" s="330" t="n">
        <v>0</v>
      </c>
      <c r="I311" s="330" t="n">
        <v>0</v>
      </c>
      <c r="J311" s="330" t="n">
        <v>0</v>
      </c>
      <c r="K311" s="330" t="n">
        <v>0</v>
      </c>
      <c r="L311" s="330" t="n">
        <v>0</v>
      </c>
      <c r="M311" s="330" t="n">
        <v>0</v>
      </c>
      <c r="N311" s="330" t="n">
        <v>0</v>
      </c>
      <c r="O311" s="330" t="n">
        <v>0</v>
      </c>
      <c r="P311" s="330" t="n">
        <v>0</v>
      </c>
      <c r="Q311" s="330" t="n">
        <v>0</v>
      </c>
      <c r="R311" s="330" t="n">
        <v>0</v>
      </c>
      <c r="S311" s="330" t="n">
        <v>0</v>
      </c>
      <c r="T311" s="330" t="n">
        <v>0</v>
      </c>
      <c r="U311" s="330" t="n">
        <v>0</v>
      </c>
      <c r="V311" s="330" t="n">
        <v>0</v>
      </c>
      <c r="W311" s="330" t="n">
        <v>0</v>
      </c>
      <c r="X311" s="330" t="n">
        <v>0</v>
      </c>
      <c r="Y311" s="331" t="n">
        <v>0</v>
      </c>
    </row>
    <row r="312" customFormat="false" ht="13.5" hidden="false" customHeight="false" outlineLevel="0" collapsed="false">
      <c r="A312" s="316" t="s">
        <v>229</v>
      </c>
      <c r="B312" s="332" t="n">
        <f aca="false">(C311+B311)*(C310-B310)/2</f>
        <v>0.0005</v>
      </c>
      <c r="C312" s="333" t="n">
        <f aca="false">(D311+C311)*(D310-C310)/2</f>
        <v>0.0005</v>
      </c>
      <c r="D312" s="333" t="n">
        <f aca="false">(E311+D311)*(E310-D310)/2</f>
        <v>0</v>
      </c>
      <c r="E312" s="333" t="n">
        <f aca="false">(F311+E311)*(F310-E310)/2</f>
        <v>0</v>
      </c>
      <c r="F312" s="333" t="n">
        <f aca="false">(G311+F311)*(G310-F310)/2</f>
        <v>0</v>
      </c>
      <c r="G312" s="333" t="n">
        <f aca="false">(H311+G311)*(H310-G310)/2</f>
        <v>0</v>
      </c>
      <c r="H312" s="333" t="n">
        <f aca="false">(I311+H311)*(I310-H310)/2</f>
        <v>0</v>
      </c>
      <c r="I312" s="333" t="n">
        <f aca="false">(J311+I311)*(J310-I310)/2</f>
        <v>0</v>
      </c>
      <c r="J312" s="333" t="n">
        <f aca="false">(K311+J311)*(K310-J310)/2</f>
        <v>0</v>
      </c>
      <c r="K312" s="333" t="n">
        <f aca="false">(L311+K311)*(L310-K310)/2</f>
        <v>0</v>
      </c>
      <c r="L312" s="333" t="n">
        <f aca="false">(M311+L311)*(M310-L310)/2</f>
        <v>0</v>
      </c>
      <c r="M312" s="333" t="n">
        <f aca="false">(N311+M311)*(N310-M310)/2</f>
        <v>0</v>
      </c>
      <c r="N312" s="333" t="n">
        <f aca="false">(O311+N311)*(O310-N310)/2</f>
        <v>0</v>
      </c>
      <c r="O312" s="333" t="n">
        <f aca="false">(P311+O311)*(P310-O310)/2</f>
        <v>0</v>
      </c>
      <c r="P312" s="333" t="n">
        <f aca="false">(Q311+P311)*(Q310-P310)/2</f>
        <v>0</v>
      </c>
      <c r="Q312" s="333" t="n">
        <f aca="false">(R311+Q311)*(R310-Q310)/2</f>
        <v>0</v>
      </c>
      <c r="R312" s="333" t="n">
        <f aca="false">(S311+R311)*(S310-R310)/2</f>
        <v>0</v>
      </c>
      <c r="S312" s="333" t="n">
        <f aca="false">(T311+S311)*(T310-S310)/2</f>
        <v>0</v>
      </c>
      <c r="T312" s="333" t="n">
        <f aca="false">(U311+T311)*(U310-T310)/2</f>
        <v>0</v>
      </c>
      <c r="U312" s="333" t="n">
        <f aca="false">(V311+U311)*(V310-U310)/2</f>
        <v>0</v>
      </c>
      <c r="V312" s="333" t="n">
        <f aca="false">(W311+V311)*(W310-V310)/2</f>
        <v>0</v>
      </c>
      <c r="W312" s="333" t="n">
        <f aca="false">(X311+W311)*(X310-W310)/2</f>
        <v>0</v>
      </c>
      <c r="X312" s="333" t="n">
        <f aca="false">(Y311+X311)*(Y310-X310)/2</f>
        <v>0</v>
      </c>
      <c r="Y312" s="319"/>
    </row>
    <row r="314" customFormat="false" ht="12.75" hidden="false" customHeight="false" outlineLevel="0" collapsed="false">
      <c r="B314" s="320"/>
      <c r="C314" s="320"/>
      <c r="D314" s="320"/>
      <c r="E314" s="320"/>
      <c r="F314" s="320"/>
      <c r="G314" s="320"/>
      <c r="H314" s="320"/>
      <c r="I314" s="320"/>
      <c r="J314" s="320"/>
      <c r="K314" s="320"/>
      <c r="L314" s="320"/>
      <c r="M314" s="320"/>
      <c r="N314" s="320"/>
      <c r="O314" s="320"/>
      <c r="P314" s="320"/>
      <c r="Q314" s="320"/>
      <c r="R314" s="320"/>
      <c r="S314" s="320"/>
      <c r="T314" s="320"/>
      <c r="U314" s="320"/>
      <c r="V314" s="320"/>
      <c r="W314" s="320"/>
      <c r="X314" s="320"/>
      <c r="Y314" s="320"/>
    </row>
    <row r="316" customFormat="false" ht="12.75" hidden="false" customHeight="false" outlineLevel="0" collapsed="false">
      <c r="A316" s="342" t="str">
        <f aca="false">IF(Lang="Français","Liste des propu affichés :","Motor list (shown):")</f>
        <v>Liste des propu affichés :</v>
      </c>
      <c r="C316" s="343" t="s">
        <v>223</v>
      </c>
      <c r="D316" s="343"/>
      <c r="F316" s="343" t="s">
        <v>237</v>
      </c>
      <c r="G316" s="343"/>
      <c r="H316" s="320"/>
      <c r="I316" s="343" t="s">
        <v>26</v>
      </c>
      <c r="J316" s="343"/>
      <c r="K316" s="320"/>
      <c r="L316" s="343" t="s">
        <v>301</v>
      </c>
      <c r="M316" s="343"/>
      <c r="O316" s="343" t="s">
        <v>82</v>
      </c>
      <c r="P316" s="343"/>
      <c r="R316" s="343" t="s">
        <v>78</v>
      </c>
      <c r="S316" s="343"/>
    </row>
    <row r="317" customFormat="false" ht="12.75" hidden="false" customHeight="false" outlineLevel="0" collapsed="false">
      <c r="A317" s="344" t="str">
        <f aca="false" t="array" ref="A317:A346">IF(RIGHT(Type_fusee,1)=".",Liste_fusex, IF(LEFT(Type_fusee,4)="Mini",Liste_minif, IF(LEFT(Type_fusee,5)="Micro",Liste_µfu, IF(RIGHT(Type_fusee,1)=" ",Liste_H2O, IF(LEFT(Type_fusee,1)="R",Liste_RC, IF(LEFT(Type_fusee,1)=",",Liste_minifT))))))</f>
        <v>Pro54-5G WT</v>
      </c>
      <c r="C317" s="345" t="str">
        <f aca="false">A26</f>
        <v>H2O 1.5L 300g 6bar</v>
      </c>
      <c r="D317" s="345"/>
      <c r="F317" s="345" t="str">
        <f aca="false">A67</f>
        <v>µ-propu A8-3</v>
      </c>
      <c r="G317" s="345"/>
      <c r="H317" s="346"/>
      <c r="I317" s="347" t="str">
        <f aca="false">A148</f>
        <v>p29-1G 56F31</v>
      </c>
      <c r="J317" s="347"/>
      <c r="K317" s="346"/>
      <c r="L317" s="347" t="str">
        <f aca="false">A148</f>
        <v>p29-1G 56F31</v>
      </c>
      <c r="M317" s="347"/>
      <c r="O317" s="345" t="str">
        <f aca="false">A108</f>
        <v>p24-1G 24E22</v>
      </c>
      <c r="P317" s="345"/>
      <c r="R317" s="345" t="str">
        <f aca="false">A284</f>
        <v>Pro54-5G WT</v>
      </c>
      <c r="S317" s="345"/>
    </row>
    <row r="318" customFormat="false" ht="12.75" hidden="false" customHeight="false" outlineLevel="0" collapsed="false">
      <c r="A318" s="344" t="str">
        <v>Barasinga (Pro54-5G C)</v>
      </c>
      <c r="C318" s="345" t="str">
        <f aca="false">A31</f>
        <v>H2O 1.5L 450g 6bar</v>
      </c>
      <c r="D318" s="345"/>
      <c r="F318" s="345" t="str">
        <f aca="false">A72</f>
        <v>µ-propu B4-4</v>
      </c>
      <c r="G318" s="345"/>
      <c r="H318" s="346"/>
      <c r="I318" s="347" t="str">
        <f aca="false">A153</f>
        <v>p29-1G 56F120</v>
      </c>
      <c r="J318" s="347"/>
      <c r="K318" s="346"/>
      <c r="L318" s="347" t="str">
        <f aca="false">A153</f>
        <v>p29-1G 56F120</v>
      </c>
      <c r="M318" s="347"/>
      <c r="O318" s="345" t="str">
        <f aca="false">A113</f>
        <v>p24-1G 25E75 (Rufina)</v>
      </c>
      <c r="P318" s="345"/>
      <c r="R318" s="345" t="str">
        <f aca="false">A279</f>
        <v>Barasinga (Pro54-5G C)</v>
      </c>
      <c r="S318" s="345"/>
    </row>
    <row r="319" customFormat="false" ht="12.75" hidden="false" customHeight="false" outlineLevel="0" collapsed="false">
      <c r="A319" s="344" t="str">
        <v>Orignal (Pro75-3G C)</v>
      </c>
      <c r="C319" s="345" t="str">
        <f aca="false">A36</f>
        <v>H2O 1.5L 600g 6bar</v>
      </c>
      <c r="D319" s="345"/>
      <c r="F319" s="345" t="str">
        <f aca="false">A77</f>
        <v>µ-propu C6-3</v>
      </c>
      <c r="G319" s="345"/>
      <c r="H319" s="346"/>
      <c r="I319" s="347" t="str">
        <f aca="false">A158</f>
        <v>p29-1G 57F59</v>
      </c>
      <c r="J319" s="347"/>
      <c r="K319" s="346"/>
      <c r="L319" s="347" t="str">
        <f aca="false">A158</f>
        <v>p29-1G 57F59</v>
      </c>
      <c r="M319" s="347"/>
      <c r="O319" s="345" t="str">
        <f aca="false">A118</f>
        <v>p24-1G 26E31</v>
      </c>
      <c r="P319" s="345"/>
      <c r="R319" s="345" t="str">
        <f aca="false">A289</f>
        <v>Orignal (Pro75-3G C)</v>
      </c>
      <c r="S319" s="345"/>
    </row>
    <row r="320" customFormat="false" ht="12.75" hidden="false" customHeight="false" outlineLevel="0" collapsed="false">
      <c r="A320" s="344" t="str">
        <v>Pro98-6G Green</v>
      </c>
      <c r="C320" s="345" t="str">
        <f aca="false">A41</f>
        <v>H2O 1.5L 750g 6bar</v>
      </c>
      <c r="D320" s="345"/>
      <c r="F320" s="345" t="str">
        <f aca="false">A82</f>
        <v>µ-propu C6-3 x2</v>
      </c>
      <c r="G320" s="345"/>
      <c r="H320" s="346"/>
      <c r="I320" s="347" t="str">
        <f aca="false">A183</f>
        <v>p24-3G 74F85</v>
      </c>
      <c r="J320" s="347"/>
      <c r="K320" s="346"/>
      <c r="L320" s="347" t="str">
        <f aca="false">A228</f>
        <v>p29-2G 116G126</v>
      </c>
      <c r="M320" s="347"/>
      <c r="O320" s="345" t="str">
        <f aca="false">A123</f>
        <v>p24-2G 50E51</v>
      </c>
      <c r="P320" s="345"/>
      <c r="R320" s="345" t="str">
        <f aca="false">A294</f>
        <v>Pro98-6G Green</v>
      </c>
      <c r="S320" s="345"/>
    </row>
    <row r="321" customFormat="false" ht="12.75" hidden="false" customHeight="false" outlineLevel="0" collapsed="false">
      <c r="A321" s="344" t="str">
        <v> </v>
      </c>
      <c r="C321" s="345" t="str">
        <f aca="false">A46</f>
        <v>H2O 2.0L 400g 6bar</v>
      </c>
      <c r="D321" s="345"/>
      <c r="F321" s="345" t="str">
        <f aca="false">A87</f>
        <v>µ-propu C6-3 x3</v>
      </c>
      <c r="G321" s="345"/>
      <c r="H321" s="346"/>
      <c r="I321" s="347" t="str">
        <f aca="false">A188</f>
        <v>p24-3G 75F51</v>
      </c>
      <c r="J321" s="347"/>
      <c r="K321" s="346"/>
      <c r="L321" s="347" t="s">
        <v>93</v>
      </c>
      <c r="M321" s="347"/>
      <c r="O321" s="345" t="str">
        <f aca="false">A128</f>
        <v>p24-1G 53E70</v>
      </c>
      <c r="P321" s="345"/>
      <c r="R321" s="345" t="s">
        <v>93</v>
      </c>
      <c r="S321" s="345"/>
    </row>
    <row r="322" customFormat="false" ht="12.75" hidden="false" customHeight="false" outlineLevel="0" collapsed="false">
      <c r="A322" s="344" t="str">
        <v> </v>
      </c>
      <c r="C322" s="345" t="str">
        <f aca="false">A51</f>
        <v>H2O 2.0L 600g 6bar</v>
      </c>
      <c r="D322" s="345"/>
      <c r="F322" s="345" t="s">
        <v>93</v>
      </c>
      <c r="G322" s="345"/>
      <c r="H322" s="346"/>
      <c r="I322" s="347" t="s">
        <v>93</v>
      </c>
      <c r="J322" s="347"/>
      <c r="K322" s="346"/>
      <c r="L322" s="345" t="str">
        <f aca="false">A198</f>
        <v>Pandora (Pro24-6G BS)</v>
      </c>
      <c r="M322" s="345"/>
      <c r="O322" s="345" t="str">
        <f aca="false">A133</f>
        <v>p29-1G 41F36</v>
      </c>
      <c r="P322" s="345"/>
      <c r="R322" s="345" t="s">
        <v>93</v>
      </c>
      <c r="S322" s="345"/>
    </row>
    <row r="323" customFormat="false" ht="12.75" hidden="false" customHeight="false" outlineLevel="0" collapsed="false">
      <c r="A323" s="344" t="str">
        <v> </v>
      </c>
      <c r="C323" s="345" t="str">
        <f aca="false">A56</f>
        <v>H2O 2.0L 800g 6bar</v>
      </c>
      <c r="D323" s="345"/>
      <c r="F323" s="345" t="s">
        <v>93</v>
      </c>
      <c r="G323" s="345"/>
      <c r="H323" s="346"/>
      <c r="I323" s="347" t="s">
        <v>93</v>
      </c>
      <c r="J323" s="347"/>
      <c r="K323" s="346"/>
      <c r="L323" s="345" t="s">
        <v>93</v>
      </c>
      <c r="M323" s="345"/>
      <c r="O323" s="345" t="str">
        <f aca="false">A138</f>
        <v>p29-1G 51F36</v>
      </c>
      <c r="P323" s="345"/>
      <c r="R323" s="345" t="s">
        <v>93</v>
      </c>
      <c r="S323" s="345"/>
    </row>
    <row r="324" customFormat="false" ht="12.75" hidden="false" customHeight="false" outlineLevel="0" collapsed="false">
      <c r="A324" s="344" t="str">
        <v> </v>
      </c>
      <c r="C324" s="345" t="str">
        <f aca="false">A61</f>
        <v>H2O 2.0L 1000g 6bar</v>
      </c>
      <c r="D324" s="345"/>
      <c r="F324" s="345" t="s">
        <v>93</v>
      </c>
      <c r="G324" s="345"/>
      <c r="H324" s="346"/>
      <c r="I324" s="347" t="s">
        <v>93</v>
      </c>
      <c r="J324" s="347"/>
      <c r="K324" s="346"/>
      <c r="L324" s="345" t="str">
        <f aca="false">A92</f>
        <v>Klima D9-7</v>
      </c>
      <c r="M324" s="345"/>
      <c r="O324" s="345" t="str">
        <f aca="false">A143</f>
        <v>p29-1G 55F29</v>
      </c>
      <c r="P324" s="345"/>
      <c r="R324" s="345" t="s">
        <v>93</v>
      </c>
      <c r="S324" s="345"/>
    </row>
    <row r="325" customFormat="false" ht="12.75" hidden="false" customHeight="false" outlineLevel="0" collapsed="false">
      <c r="A325" s="344" t="str">
        <v> </v>
      </c>
      <c r="C325" s="345" t="s">
        <v>93</v>
      </c>
      <c r="D325" s="345"/>
      <c r="F325" s="345" t="s">
        <v>93</v>
      </c>
      <c r="G325" s="345"/>
      <c r="H325" s="346"/>
      <c r="I325" s="347" t="s">
        <v>93</v>
      </c>
      <c r="J325" s="347"/>
      <c r="K325" s="346"/>
      <c r="L325" s="345" t="str">
        <f aca="false">A97</f>
        <v>Klima D9-7 x2</v>
      </c>
      <c r="M325" s="345"/>
      <c r="O325" s="345" t="str">
        <f aca="false">A153</f>
        <v>p29-1G 56F120</v>
      </c>
      <c r="P325" s="345"/>
      <c r="R325" s="345" t="s">
        <v>93</v>
      </c>
      <c r="S325" s="345"/>
    </row>
    <row r="326" customFormat="false" ht="12.75" hidden="false" customHeight="false" outlineLevel="0" collapsed="false">
      <c r="A326" s="344" t="str">
        <v> </v>
      </c>
      <c r="C326" s="345" t="s">
        <v>93</v>
      </c>
      <c r="D326" s="345"/>
      <c r="F326" s="345" t="s">
        <v>93</v>
      </c>
      <c r="G326" s="345"/>
      <c r="H326" s="346"/>
      <c r="I326" s="347" t="s">
        <v>93</v>
      </c>
      <c r="J326" s="347"/>
      <c r="K326" s="346"/>
      <c r="L326" s="345" t="str">
        <f aca="false">A102</f>
        <v>Klima D9-7 x3</v>
      </c>
      <c r="M326" s="345"/>
      <c r="O326" s="345" t="str">
        <f aca="false">A158</f>
        <v>p29-1G 57F59</v>
      </c>
      <c r="P326" s="345"/>
      <c r="R326" s="345" t="s">
        <v>93</v>
      </c>
      <c r="S326" s="345"/>
    </row>
    <row r="327" customFormat="false" ht="12.75" hidden="false" customHeight="false" outlineLevel="0" collapsed="false">
      <c r="A327" s="344" t="str">
        <v> </v>
      </c>
      <c r="C327" s="345" t="s">
        <v>93</v>
      </c>
      <c r="D327" s="345"/>
      <c r="F327" s="345" t="s">
        <v>93</v>
      </c>
      <c r="G327" s="345"/>
      <c r="H327" s="346"/>
      <c r="I327" s="347" t="s">
        <v>93</v>
      </c>
      <c r="J327" s="347"/>
      <c r="K327" s="346"/>
      <c r="L327" s="345" t="s">
        <v>93</v>
      </c>
      <c r="M327" s="345"/>
      <c r="O327" s="345" t="str">
        <f aca="false">A163</f>
        <v>p24-3G 60F50</v>
      </c>
      <c r="P327" s="345"/>
      <c r="R327" s="345" t="s">
        <v>93</v>
      </c>
      <c r="S327" s="345"/>
    </row>
    <row r="328" customFormat="false" ht="12.75" hidden="false" customHeight="false" outlineLevel="0" collapsed="false">
      <c r="A328" s="344" t="str">
        <v> </v>
      </c>
      <c r="C328" s="345" t="s">
        <v>93</v>
      </c>
      <c r="D328" s="345"/>
      <c r="F328" s="345" t="s">
        <v>93</v>
      </c>
      <c r="G328" s="345"/>
      <c r="H328" s="346"/>
      <c r="I328" s="347" t="s">
        <v>93</v>
      </c>
      <c r="J328" s="347"/>
      <c r="K328" s="346"/>
      <c r="L328" s="345" t="s">
        <v>93</v>
      </c>
      <c r="M328" s="345"/>
      <c r="O328" s="345" t="str">
        <f aca="false">A168</f>
        <v>p24-3G 68F79</v>
      </c>
      <c r="P328" s="345"/>
      <c r="R328" s="345" t="s">
        <v>93</v>
      </c>
      <c r="S328" s="345"/>
    </row>
    <row r="329" customFormat="false" ht="12.75" hidden="false" customHeight="false" outlineLevel="0" collapsed="false">
      <c r="A329" s="344" t="str">
        <v> </v>
      </c>
      <c r="C329" s="345" t="s">
        <v>93</v>
      </c>
      <c r="D329" s="345"/>
      <c r="F329" s="345" t="s">
        <v>93</v>
      </c>
      <c r="G329" s="345"/>
      <c r="H329" s="346"/>
      <c r="I329" s="347" t="s">
        <v>93</v>
      </c>
      <c r="J329" s="347"/>
      <c r="K329" s="346"/>
      <c r="L329" s="345" t="s">
        <v>93</v>
      </c>
      <c r="M329" s="345"/>
      <c r="O329" s="345" t="str">
        <f aca="false">A173</f>
        <v>p24-3G 68F240</v>
      </c>
      <c r="P329" s="345"/>
      <c r="R329" s="345" t="s">
        <v>93</v>
      </c>
      <c r="S329" s="345"/>
    </row>
    <row r="330" customFormat="false" ht="12.75" hidden="false" customHeight="false" outlineLevel="0" collapsed="false">
      <c r="A330" s="344" t="str">
        <v> </v>
      </c>
      <c r="C330" s="345" t="s">
        <v>93</v>
      </c>
      <c r="D330" s="345"/>
      <c r="F330" s="345" t="s">
        <v>93</v>
      </c>
      <c r="G330" s="345"/>
      <c r="H330" s="346"/>
      <c r="I330" s="347" t="s">
        <v>93</v>
      </c>
      <c r="J330" s="347"/>
      <c r="K330" s="346"/>
      <c r="L330" s="345" t="s">
        <v>93</v>
      </c>
      <c r="M330" s="345"/>
      <c r="O330" s="345" t="str">
        <f aca="false">A178</f>
        <v>p24-3G 73F30</v>
      </c>
      <c r="P330" s="345"/>
      <c r="R330" s="345" t="s">
        <v>93</v>
      </c>
      <c r="S330" s="345"/>
    </row>
    <row r="331" customFormat="false" ht="12.75" hidden="false" customHeight="false" outlineLevel="0" collapsed="false">
      <c r="A331" s="344" t="str">
        <v> </v>
      </c>
      <c r="C331" s="345" t="s">
        <v>93</v>
      </c>
      <c r="D331" s="345"/>
      <c r="F331" s="345" t="s">
        <v>93</v>
      </c>
      <c r="G331" s="345"/>
      <c r="H331" s="346"/>
      <c r="I331" s="345" t="s">
        <v>93</v>
      </c>
      <c r="J331" s="345"/>
      <c r="K331" s="346"/>
      <c r="L331" s="345" t="s">
        <v>93</v>
      </c>
      <c r="M331" s="345"/>
      <c r="O331" s="345" t="str">
        <f aca="false">A183</f>
        <v>p24-3G 74F85</v>
      </c>
      <c r="P331" s="345"/>
      <c r="R331" s="345" t="s">
        <v>93</v>
      </c>
      <c r="S331" s="345"/>
    </row>
    <row r="332" customFormat="false" ht="12.75" hidden="false" customHeight="false" outlineLevel="0" collapsed="false">
      <c r="A332" s="348" t="str">
        <v> </v>
      </c>
      <c r="C332" s="349" t="s">
        <v>93</v>
      </c>
      <c r="D332" s="349"/>
      <c r="F332" s="349" t="s">
        <v>93</v>
      </c>
      <c r="G332" s="349"/>
      <c r="H332" s="346"/>
      <c r="I332" s="349" t="s">
        <v>93</v>
      </c>
      <c r="J332" s="349"/>
      <c r="K332" s="346"/>
      <c r="L332" s="349" t="s">
        <v>93</v>
      </c>
      <c r="M332" s="349"/>
      <c r="O332" s="345" t="str">
        <f aca="false">A188</f>
        <v>p24-3G 75F51</v>
      </c>
      <c r="P332" s="345"/>
      <c r="R332" s="349" t="s">
        <v>93</v>
      </c>
      <c r="S332" s="349"/>
    </row>
    <row r="333" customFormat="false" ht="12.75" hidden="false" customHeight="false" outlineLevel="0" collapsed="false">
      <c r="A333" s="344" t="str">
        <v> </v>
      </c>
      <c r="C333" s="350" t="s">
        <v>93</v>
      </c>
      <c r="D333" s="350"/>
      <c r="F333" s="350" t="s">
        <v>93</v>
      </c>
      <c r="G333" s="350"/>
      <c r="I333" s="351" t="s">
        <v>93</v>
      </c>
      <c r="J333" s="351"/>
      <c r="L333" s="351" t="s">
        <v>93</v>
      </c>
      <c r="M333" s="351"/>
      <c r="O333" s="345" t="str">
        <f aca="false">A213</f>
        <v>p29-2G 84G88</v>
      </c>
      <c r="P333" s="345"/>
      <c r="R333" s="352" t="s">
        <v>93</v>
      </c>
      <c r="S333" s="352"/>
    </row>
    <row r="334" customFormat="false" ht="12.75" hidden="false" customHeight="false" outlineLevel="0" collapsed="false">
      <c r="A334" s="344" t="str">
        <v>Isard</v>
      </c>
      <c r="C334" s="353" t="s">
        <v>93</v>
      </c>
      <c r="D334" s="353"/>
      <c r="F334" s="353" t="s">
        <v>93</v>
      </c>
      <c r="G334" s="353"/>
      <c r="I334" s="351" t="s">
        <v>93</v>
      </c>
      <c r="J334" s="351"/>
      <c r="L334" s="351" t="s">
        <v>93</v>
      </c>
      <c r="M334" s="351"/>
      <c r="O334" s="345" t="str">
        <f aca="false">A218</f>
        <v>p29-2G 93G80</v>
      </c>
      <c r="P334" s="345"/>
      <c r="R334" s="354" t="str">
        <f aca="false">A269</f>
        <v>Isard</v>
      </c>
      <c r="S334" s="354"/>
    </row>
    <row r="335" customFormat="false" ht="12.75" hidden="false" customHeight="false" outlineLevel="0" collapsed="false">
      <c r="A335" s="344" t="str">
        <v>Chamois</v>
      </c>
      <c r="C335" s="353" t="s">
        <v>93</v>
      </c>
      <c r="D335" s="353"/>
      <c r="F335" s="353" t="s">
        <v>93</v>
      </c>
      <c r="G335" s="353"/>
      <c r="I335" s="351" t="s">
        <v>93</v>
      </c>
      <c r="J335" s="351"/>
      <c r="L335" s="351" t="s">
        <v>93</v>
      </c>
      <c r="M335" s="351"/>
      <c r="O335" s="345" t="str">
        <f aca="false">A223</f>
        <v>p29-2G 110G250</v>
      </c>
      <c r="P335" s="345"/>
      <c r="R335" s="354" t="str">
        <f aca="false">A274</f>
        <v>Chamois</v>
      </c>
      <c r="S335" s="354"/>
    </row>
    <row r="336" customFormat="false" ht="12.75" hidden="false" customHeight="false" outlineLevel="0" collapsed="false">
      <c r="A336" s="344" t="str">
        <v>Pro54-5G WT</v>
      </c>
      <c r="C336" s="353" t="s">
        <v>93</v>
      </c>
      <c r="D336" s="353"/>
      <c r="F336" s="353" t="s">
        <v>93</v>
      </c>
      <c r="G336" s="353"/>
      <c r="I336" s="351" t="s">
        <v>93</v>
      </c>
      <c r="J336" s="351"/>
      <c r="L336" s="351" t="s">
        <v>93</v>
      </c>
      <c r="M336" s="351"/>
      <c r="O336" s="345" t="str">
        <f aca="false">A228</f>
        <v>p29-2G 116G126</v>
      </c>
      <c r="P336" s="345"/>
      <c r="R336" s="354" t="str">
        <f aca="false">A284</f>
        <v>Pro54-5G WT</v>
      </c>
      <c r="S336" s="354"/>
    </row>
    <row r="337" customFormat="false" ht="12.75" hidden="false" customHeight="false" outlineLevel="0" collapsed="false">
      <c r="A337" s="344" t="str">
        <v>Pro98-6G Green</v>
      </c>
      <c r="C337" s="353" t="s">
        <v>93</v>
      </c>
      <c r="D337" s="353"/>
      <c r="F337" s="353" t="s">
        <v>93</v>
      </c>
      <c r="G337" s="353"/>
      <c r="I337" s="351" t="s">
        <v>93</v>
      </c>
      <c r="J337" s="351"/>
      <c r="L337" s="351" t="s">
        <v>93</v>
      </c>
      <c r="M337" s="351"/>
      <c r="O337" s="345" t="str">
        <f aca="false">A233</f>
        <v>p29-3G 125G131</v>
      </c>
      <c r="P337" s="345"/>
      <c r="R337" s="354" t="str">
        <f aca="false">A294</f>
        <v>Pro98-6G Green</v>
      </c>
      <c r="S337" s="354"/>
    </row>
    <row r="338" customFormat="false" ht="12.75" hidden="false" customHeight="false" outlineLevel="0" collapsed="false">
      <c r="A338" s="344" t="str">
        <v>Pro98-3G WT</v>
      </c>
      <c r="C338" s="353" t="s">
        <v>93</v>
      </c>
      <c r="D338" s="353"/>
      <c r="F338" s="353" t="s">
        <v>93</v>
      </c>
      <c r="G338" s="353"/>
      <c r="I338" s="351" t="s">
        <v>93</v>
      </c>
      <c r="J338" s="351"/>
      <c r="L338" s="351" t="s">
        <v>93</v>
      </c>
      <c r="M338" s="351"/>
      <c r="O338" s="345" t="str">
        <f aca="false">A248</f>
        <v>p38-1G 128G185</v>
      </c>
      <c r="P338" s="345"/>
      <c r="R338" s="354" t="str">
        <f aca="false">A299</f>
        <v>Pro98-3G WT</v>
      </c>
      <c r="S338" s="354"/>
    </row>
    <row r="339" customFormat="false" ht="12.75" hidden="false" customHeight="false" outlineLevel="0" collapsed="false">
      <c r="A339" s="344" t="str">
        <v>Aucun (2e ét. inerte)</v>
      </c>
      <c r="C339" s="353" t="s">
        <v>93</v>
      </c>
      <c r="D339" s="353"/>
      <c r="F339" s="353" t="s">
        <v>93</v>
      </c>
      <c r="G339" s="353"/>
      <c r="I339" s="351" t="s">
        <v>93</v>
      </c>
      <c r="J339" s="351"/>
      <c r="L339" s="351" t="s">
        <v>93</v>
      </c>
      <c r="M339" s="351"/>
      <c r="O339" s="345" t="str">
        <f aca="false">A243</f>
        <v>p38-1G 137G58</v>
      </c>
      <c r="P339" s="345"/>
      <c r="R339" s="354" t="str">
        <f aca="false">A309</f>
        <v>Aucun (2e ét. inerte)</v>
      </c>
      <c r="S339" s="354"/>
    </row>
    <row r="340" customFormat="false" ht="12.75" hidden="false" customHeight="false" outlineLevel="0" collapsed="false">
      <c r="A340" s="344" t="str">
        <v> </v>
      </c>
      <c r="C340" s="353" t="s">
        <v>93</v>
      </c>
      <c r="D340" s="353"/>
      <c r="F340" s="353" t="s">
        <v>93</v>
      </c>
      <c r="G340" s="353"/>
      <c r="I340" s="351" t="s">
        <v>93</v>
      </c>
      <c r="J340" s="351"/>
      <c r="L340" s="351" t="s">
        <v>93</v>
      </c>
      <c r="M340" s="351"/>
      <c r="O340" s="345" t="str">
        <f aca="false">A253</f>
        <v>p38-1G 141G78</v>
      </c>
      <c r="P340" s="345"/>
      <c r="R340" s="351" t="s">
        <v>93</v>
      </c>
      <c r="S340" s="351"/>
    </row>
    <row r="341" customFormat="false" ht="12.75" hidden="false" customHeight="false" outlineLevel="0" collapsed="false">
      <c r="A341" s="344" t="str">
        <v> </v>
      </c>
      <c r="C341" s="353" t="s">
        <v>93</v>
      </c>
      <c r="D341" s="353"/>
      <c r="F341" s="353" t="s">
        <v>93</v>
      </c>
      <c r="G341" s="353"/>
      <c r="I341" s="353" t="s">
        <v>93</v>
      </c>
      <c r="J341" s="353"/>
      <c r="L341" s="351" t="s">
        <v>93</v>
      </c>
      <c r="M341" s="351"/>
      <c r="O341" s="345" t="str">
        <f aca="false">A193</f>
        <v>p24-6G 140G145 PK</v>
      </c>
      <c r="P341" s="345"/>
      <c r="R341" s="353" t="s">
        <v>93</v>
      </c>
      <c r="S341" s="353"/>
    </row>
    <row r="342" customFormat="false" ht="12.75" hidden="false" customHeight="false" outlineLevel="0" collapsed="false">
      <c r="A342" s="344" t="str">
        <v> </v>
      </c>
      <c r="C342" s="353" t="s">
        <v>93</v>
      </c>
      <c r="D342" s="353"/>
      <c r="F342" s="353" t="s">
        <v>93</v>
      </c>
      <c r="G342" s="353"/>
      <c r="I342" s="353" t="s">
        <v>93</v>
      </c>
      <c r="J342" s="353"/>
      <c r="L342" s="351" t="s">
        <v>93</v>
      </c>
      <c r="M342" s="351"/>
      <c r="O342" s="345" t="str">
        <f aca="false">A198</f>
        <v>Pandora (Pro24-6G BS)</v>
      </c>
      <c r="P342" s="345"/>
      <c r="R342" s="353" t="s">
        <v>93</v>
      </c>
      <c r="S342" s="353"/>
    </row>
    <row r="343" customFormat="false" ht="12.75" hidden="false" customHeight="false" outlineLevel="0" collapsed="false">
      <c r="A343" s="344" t="str">
        <v> </v>
      </c>
      <c r="C343" s="353" t="s">
        <v>93</v>
      </c>
      <c r="D343" s="353"/>
      <c r="F343" s="353" t="s">
        <v>93</v>
      </c>
      <c r="G343" s="353"/>
      <c r="I343" s="353" t="s">
        <v>93</v>
      </c>
      <c r="J343" s="353"/>
      <c r="L343" s="353" t="s">
        <v>93</v>
      </c>
      <c r="M343" s="353"/>
      <c r="O343" s="347" t="str">
        <f aca="false">A203</f>
        <v>p24-6G 142G117 WT</v>
      </c>
      <c r="P343" s="347"/>
      <c r="R343" s="353" t="s">
        <v>93</v>
      </c>
      <c r="S343" s="353"/>
    </row>
    <row r="344" customFormat="false" ht="12.75" hidden="false" customHeight="false" outlineLevel="0" collapsed="false">
      <c r="A344" s="344" t="str">
        <v> </v>
      </c>
      <c r="C344" s="353" t="s">
        <v>93</v>
      </c>
      <c r="D344" s="353"/>
      <c r="F344" s="353" t="s">
        <v>93</v>
      </c>
      <c r="G344" s="353"/>
      <c r="I344" s="353" t="s">
        <v>93</v>
      </c>
      <c r="J344" s="353"/>
      <c r="L344" s="353" t="s">
        <v>93</v>
      </c>
      <c r="M344" s="353"/>
      <c r="O344" s="347" t="str">
        <f aca="false">A208</f>
        <v>p24-6G 139G107 DT</v>
      </c>
      <c r="P344" s="347"/>
      <c r="R344" s="353" t="s">
        <v>93</v>
      </c>
      <c r="S344" s="353"/>
    </row>
    <row r="345" customFormat="false" ht="12.75" hidden="false" customHeight="false" outlineLevel="0" collapsed="false">
      <c r="A345" s="344" t="str">
        <v> </v>
      </c>
      <c r="C345" s="353" t="s">
        <v>93</v>
      </c>
      <c r="D345" s="353"/>
      <c r="F345" s="353" t="s">
        <v>93</v>
      </c>
      <c r="G345" s="353"/>
      <c r="I345" s="353" t="s">
        <v>93</v>
      </c>
      <c r="J345" s="353"/>
      <c r="L345" s="353" t="s">
        <v>93</v>
      </c>
      <c r="M345" s="353"/>
      <c r="O345" s="347" t="str">
        <f aca="false">A263</f>
        <v>Cariacou</v>
      </c>
      <c r="P345" s="347"/>
      <c r="R345" s="353" t="s">
        <v>93</v>
      </c>
      <c r="S345" s="353"/>
    </row>
    <row r="346" customFormat="false" ht="12.75" hidden="false" customHeight="false" outlineLevel="0" collapsed="false">
      <c r="A346" s="355" t="str">
        <v> </v>
      </c>
      <c r="C346" s="353" t="s">
        <v>93</v>
      </c>
      <c r="D346" s="353"/>
      <c r="F346" s="353" t="s">
        <v>93</v>
      </c>
      <c r="G346" s="353"/>
      <c r="I346" s="353" t="s">
        <v>93</v>
      </c>
      <c r="J346" s="353"/>
      <c r="L346" s="353" t="s">
        <v>93</v>
      </c>
      <c r="M346" s="353"/>
      <c r="O346" s="356" t="str">
        <f aca="false">A258</f>
        <v>Wapiti</v>
      </c>
      <c r="P346" s="356"/>
      <c r="R346" s="353" t="s">
        <v>93</v>
      </c>
      <c r="S346" s="353"/>
    </row>
  </sheetData>
  <sheetProtection algorithmName="SHA-512" hashValue="b5I0CIs2N9xo6yZFQ0MARnvgoDrGVf2puU3HUvi3alO4rDR/K71vyjiiwadNzu/DUBZ3r3ROoGUxJJfxc59IiQ==" saltValue="Vq1sOZLYIM5X4xS+fY5Rqg==" spinCount="100000" sheet="true" objects="true" scenarios="true"/>
  <mergeCells count="186">
    <mergeCell ref="C316:D316"/>
    <mergeCell ref="F316:G316"/>
    <mergeCell ref="I316:J316"/>
    <mergeCell ref="L316:M316"/>
    <mergeCell ref="O316:P316"/>
    <mergeCell ref="R316:S316"/>
    <mergeCell ref="C317:D317"/>
    <mergeCell ref="F317:G317"/>
    <mergeCell ref="I317:J317"/>
    <mergeCell ref="L317:M317"/>
    <mergeCell ref="O317:P317"/>
    <mergeCell ref="R317:S317"/>
    <mergeCell ref="C318:D318"/>
    <mergeCell ref="F318:G318"/>
    <mergeCell ref="I318:J318"/>
    <mergeCell ref="L318:M318"/>
    <mergeCell ref="O318:P318"/>
    <mergeCell ref="R318:S318"/>
    <mergeCell ref="C319:D319"/>
    <mergeCell ref="F319:G319"/>
    <mergeCell ref="I319:J319"/>
    <mergeCell ref="L319:M319"/>
    <mergeCell ref="O319:P319"/>
    <mergeCell ref="R319:S319"/>
    <mergeCell ref="C320:D320"/>
    <mergeCell ref="F320:G320"/>
    <mergeCell ref="I320:J320"/>
    <mergeCell ref="L320:M320"/>
    <mergeCell ref="O320:P320"/>
    <mergeCell ref="R320:S320"/>
    <mergeCell ref="C321:D321"/>
    <mergeCell ref="F321:G321"/>
    <mergeCell ref="I321:J321"/>
    <mergeCell ref="L321:M321"/>
    <mergeCell ref="O321:P321"/>
    <mergeCell ref="R321:S321"/>
    <mergeCell ref="C322:D322"/>
    <mergeCell ref="F322:G322"/>
    <mergeCell ref="I322:J322"/>
    <mergeCell ref="L322:M322"/>
    <mergeCell ref="O322:P322"/>
    <mergeCell ref="R322:S322"/>
    <mergeCell ref="C323:D323"/>
    <mergeCell ref="F323:G323"/>
    <mergeCell ref="I323:J323"/>
    <mergeCell ref="L323:M323"/>
    <mergeCell ref="O323:P323"/>
    <mergeCell ref="R323:S323"/>
    <mergeCell ref="C324:D324"/>
    <mergeCell ref="F324:G324"/>
    <mergeCell ref="I324:J324"/>
    <mergeCell ref="L324:M324"/>
    <mergeCell ref="O324:P324"/>
    <mergeCell ref="R324:S324"/>
    <mergeCell ref="C325:D325"/>
    <mergeCell ref="F325:G325"/>
    <mergeCell ref="I325:J325"/>
    <mergeCell ref="L325:M325"/>
    <mergeCell ref="O325:P325"/>
    <mergeCell ref="R325:S325"/>
    <mergeCell ref="C326:D326"/>
    <mergeCell ref="F326:G326"/>
    <mergeCell ref="I326:J326"/>
    <mergeCell ref="L326:M326"/>
    <mergeCell ref="O326:P326"/>
    <mergeCell ref="R326:S326"/>
    <mergeCell ref="C327:D327"/>
    <mergeCell ref="F327:G327"/>
    <mergeCell ref="I327:J327"/>
    <mergeCell ref="L327:M327"/>
    <mergeCell ref="O327:P327"/>
    <mergeCell ref="R327:S327"/>
    <mergeCell ref="C328:D328"/>
    <mergeCell ref="F328:G328"/>
    <mergeCell ref="I328:J328"/>
    <mergeCell ref="L328:M328"/>
    <mergeCell ref="O328:P328"/>
    <mergeCell ref="R328:S328"/>
    <mergeCell ref="C329:D329"/>
    <mergeCell ref="F329:G329"/>
    <mergeCell ref="I329:J329"/>
    <mergeCell ref="L329:M329"/>
    <mergeCell ref="O329:P329"/>
    <mergeCell ref="R329:S329"/>
    <mergeCell ref="C330:D330"/>
    <mergeCell ref="F330:G330"/>
    <mergeCell ref="I330:J330"/>
    <mergeCell ref="L330:M330"/>
    <mergeCell ref="O330:P330"/>
    <mergeCell ref="R330:S330"/>
    <mergeCell ref="C331:D331"/>
    <mergeCell ref="F331:G331"/>
    <mergeCell ref="I331:J331"/>
    <mergeCell ref="L331:M331"/>
    <mergeCell ref="O331:P331"/>
    <mergeCell ref="R331:S331"/>
    <mergeCell ref="C332:D332"/>
    <mergeCell ref="F332:G332"/>
    <mergeCell ref="I332:J332"/>
    <mergeCell ref="L332:M332"/>
    <mergeCell ref="O332:P332"/>
    <mergeCell ref="R332:S332"/>
    <mergeCell ref="C333:D333"/>
    <mergeCell ref="F333:G333"/>
    <mergeCell ref="I333:J333"/>
    <mergeCell ref="L333:M333"/>
    <mergeCell ref="O333:P333"/>
    <mergeCell ref="R333:S333"/>
    <mergeCell ref="C334:D334"/>
    <mergeCell ref="F334:G334"/>
    <mergeCell ref="I334:J334"/>
    <mergeCell ref="L334:M334"/>
    <mergeCell ref="O334:P334"/>
    <mergeCell ref="R334:S334"/>
    <mergeCell ref="C335:D335"/>
    <mergeCell ref="F335:G335"/>
    <mergeCell ref="I335:J335"/>
    <mergeCell ref="L335:M335"/>
    <mergeCell ref="O335:P335"/>
    <mergeCell ref="R335:S335"/>
    <mergeCell ref="C336:D336"/>
    <mergeCell ref="F336:G336"/>
    <mergeCell ref="I336:J336"/>
    <mergeCell ref="L336:M336"/>
    <mergeCell ref="O336:P336"/>
    <mergeCell ref="R336:S336"/>
    <mergeCell ref="C337:D337"/>
    <mergeCell ref="F337:G337"/>
    <mergeCell ref="I337:J337"/>
    <mergeCell ref="L337:M337"/>
    <mergeCell ref="O337:P337"/>
    <mergeCell ref="R337:S337"/>
    <mergeCell ref="C338:D338"/>
    <mergeCell ref="F338:G338"/>
    <mergeCell ref="I338:J338"/>
    <mergeCell ref="L338:M338"/>
    <mergeCell ref="O338:P338"/>
    <mergeCell ref="R338:S338"/>
    <mergeCell ref="C339:D339"/>
    <mergeCell ref="F339:G339"/>
    <mergeCell ref="I339:J339"/>
    <mergeCell ref="L339:M339"/>
    <mergeCell ref="O339:P339"/>
    <mergeCell ref="R339:S339"/>
    <mergeCell ref="C340:D340"/>
    <mergeCell ref="F340:G340"/>
    <mergeCell ref="I340:J340"/>
    <mergeCell ref="L340:M340"/>
    <mergeCell ref="O340:P340"/>
    <mergeCell ref="R340:S340"/>
    <mergeCell ref="C341:D341"/>
    <mergeCell ref="F341:G341"/>
    <mergeCell ref="I341:J341"/>
    <mergeCell ref="L341:M341"/>
    <mergeCell ref="O341:P341"/>
    <mergeCell ref="R341:S341"/>
    <mergeCell ref="C342:D342"/>
    <mergeCell ref="F342:G342"/>
    <mergeCell ref="I342:J342"/>
    <mergeCell ref="L342:M342"/>
    <mergeCell ref="O342:P342"/>
    <mergeCell ref="R342:S342"/>
    <mergeCell ref="C343:D343"/>
    <mergeCell ref="F343:G343"/>
    <mergeCell ref="I343:J343"/>
    <mergeCell ref="L343:M343"/>
    <mergeCell ref="O343:P343"/>
    <mergeCell ref="R343:S343"/>
    <mergeCell ref="C344:D344"/>
    <mergeCell ref="F344:G344"/>
    <mergeCell ref="I344:J344"/>
    <mergeCell ref="L344:M344"/>
    <mergeCell ref="O344:P344"/>
    <mergeCell ref="R344:S344"/>
    <mergeCell ref="C345:D345"/>
    <mergeCell ref="F345:G345"/>
    <mergeCell ref="I345:J345"/>
    <mergeCell ref="L345:M345"/>
    <mergeCell ref="O345:P345"/>
    <mergeCell ref="R345:S345"/>
    <mergeCell ref="C346:D346"/>
    <mergeCell ref="F346:G346"/>
    <mergeCell ref="I346:J346"/>
    <mergeCell ref="L346:M346"/>
    <mergeCell ref="O346:P346"/>
    <mergeCell ref="R346:S346"/>
  </mergeCells>
  <printOptions headings="false" gridLines="false" gridLinesSet="true" horizontalCentered="false" verticalCentered="false"/>
  <pageMargins left="0.39375" right="0.39375" top="0.39375" bottom="0.39375" header="0.511811023622047" footer="0.511811023622047"/>
  <pageSetup paperSize="1" scale="100" fitToWidth="1" fitToHeight="3"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H107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7" topLeftCell="D8" activePane="bottomRight" state="frozen"/>
      <selection pane="topLeft" activeCell="A1" activeCellId="0" sqref="A1"/>
      <selection pane="topRight" activeCell="D1" activeCellId="0" sqref="D1"/>
      <selection pane="bottomLeft" activeCell="A8" activeCellId="0" sqref="A8"/>
      <selection pane="bottomRight" activeCell="AL41" activeCellId="0" sqref="AL41"/>
    </sheetView>
  </sheetViews>
  <sheetFormatPr defaultColWidth="11.66796875" defaultRowHeight="12.75" zeroHeight="false" outlineLevelRow="0" outlineLevelCol="0"/>
  <cols>
    <col collapsed="false" customWidth="true" hidden="false" outlineLevel="0" max="1" min="1" style="357" width="4.67"/>
    <col collapsed="false" customWidth="true" hidden="false" outlineLevel="0" max="2" min="2" style="357" width="6"/>
    <col collapsed="false" customWidth="true" hidden="false" outlineLevel="0" max="3" min="3" style="358" width="1.33"/>
    <col collapsed="false" customWidth="true" hidden="false" outlineLevel="0" max="4" min="4" style="357" width="7.22"/>
    <col collapsed="false" customWidth="true" hidden="false" outlineLevel="0" max="6" min="5" style="357" width="7.33"/>
    <col collapsed="false" customWidth="true" hidden="false" outlineLevel="0" max="7" min="7" style="357" width="7.22"/>
    <col collapsed="false" customWidth="true" hidden="false" outlineLevel="0" max="8" min="8" style="357" width="7.33"/>
    <col collapsed="false" customWidth="true" hidden="false" outlineLevel="0" max="9" min="9" style="357" width="7.22"/>
    <col collapsed="false" customWidth="true" hidden="false" outlineLevel="0" max="12" min="10" style="357" width="7.67"/>
    <col collapsed="false" customWidth="true" hidden="false" outlineLevel="0" max="13" min="13" style="357" width="5.78"/>
    <col collapsed="false" customWidth="true" hidden="false" outlineLevel="0" max="14" min="14" style="357" width="6.33"/>
    <col collapsed="false" customWidth="true" hidden="false" outlineLevel="0" max="15" min="15" style="358" width="1.33"/>
    <col collapsed="false" customWidth="true" hidden="false" outlineLevel="0" max="16" min="16" style="357" width="4"/>
    <col collapsed="false" customWidth="true" hidden="false" outlineLevel="0" max="17" min="17" style="357" width="8.67"/>
    <col collapsed="false" customWidth="true" hidden="false" outlineLevel="0" max="18" min="18" style="357" width="5.78"/>
    <col collapsed="false" customWidth="true" hidden="false" outlineLevel="0" max="19" min="19" style="357" width="5.21"/>
    <col collapsed="false" customWidth="true" hidden="false" outlineLevel="0" max="20" min="20" style="357" width="6"/>
    <col collapsed="false" customWidth="true" hidden="false" outlineLevel="0" max="21" min="21" style="357" width="8.77"/>
    <col collapsed="false" customWidth="true" hidden="false" outlineLevel="0" max="22" min="22" style="357" width="6.77"/>
    <col collapsed="false" customWidth="true" hidden="false" outlineLevel="0" max="23" min="23" style="357" width="7.22"/>
    <col collapsed="false" customWidth="true" hidden="false" outlineLevel="0" max="24" min="24" style="358" width="1.33"/>
    <col collapsed="false" customWidth="true" hidden="false" outlineLevel="0" max="25" min="25" style="357" width="15.78"/>
    <col collapsed="false" customWidth="true" hidden="false" outlineLevel="0" max="26" min="26" style="357" width="5.78"/>
    <col collapsed="false" customWidth="true" hidden="false" outlineLevel="0" max="27" min="27" style="357" width="7.77"/>
    <col collapsed="false" customWidth="true" hidden="false" outlineLevel="0" max="28" min="28" style="357" width="1.67"/>
    <col collapsed="false" customWidth="true" hidden="false" outlineLevel="0" max="29" min="29" style="357" width="7.22"/>
    <col collapsed="false" customWidth="true" hidden="false" outlineLevel="0" max="31" min="30" style="357" width="6.77"/>
    <col collapsed="false" customWidth="true" hidden="false" outlineLevel="0" max="32" min="32" style="357" width="1.77"/>
    <col collapsed="false" customWidth="true" hidden="false" outlineLevel="0" max="238" min="33" style="357" width="11.33"/>
    <col collapsed="false" customWidth="true" hidden="false" outlineLevel="0" max="239" min="239" style="357" width="11"/>
  </cols>
  <sheetData>
    <row r="1" customFormat="false" ht="13.5" hidden="false" customHeight="false" outlineLevel="0" collapsed="false">
      <c r="D1" s="359" t="s">
        <v>302</v>
      </c>
      <c r="E1" s="359"/>
      <c r="F1" s="359"/>
      <c r="G1" s="359"/>
      <c r="H1" s="359"/>
      <c r="I1" s="359"/>
      <c r="J1" s="359"/>
      <c r="K1" s="359"/>
      <c r="L1" s="359"/>
      <c r="M1" s="359"/>
      <c r="N1" s="359"/>
      <c r="P1" s="359" t="s">
        <v>303</v>
      </c>
      <c r="Q1" s="359"/>
      <c r="R1" s="359"/>
      <c r="S1" s="359"/>
      <c r="T1" s="359"/>
      <c r="U1" s="359"/>
      <c r="V1" s="359"/>
      <c r="W1" s="359"/>
      <c r="Y1" s="360"/>
      <c r="Z1" s="360"/>
      <c r="AA1" s="360"/>
      <c r="AC1" s="359" t="s">
        <v>304</v>
      </c>
      <c r="AD1" s="359"/>
      <c r="AE1" s="359"/>
      <c r="AG1" s="361" t="s">
        <v>305</v>
      </c>
      <c r="AH1" s="361"/>
    </row>
    <row r="2" s="320" customFormat="true" ht="12.75" hidden="false" customHeight="false" outlineLevel="0" collapsed="false">
      <c r="A2" s="362" t="s">
        <v>306</v>
      </c>
      <c r="B2" s="363" t="s">
        <v>203</v>
      </c>
      <c r="C2" s="364"/>
      <c r="D2" s="365" t="s">
        <v>307</v>
      </c>
      <c r="E2" s="366" t="s">
        <v>308</v>
      </c>
      <c r="F2" s="363" t="s">
        <v>309</v>
      </c>
      <c r="G2" s="365" t="s">
        <v>310</v>
      </c>
      <c r="H2" s="366" t="s">
        <v>311</v>
      </c>
      <c r="I2" s="363" t="s">
        <v>312</v>
      </c>
      <c r="J2" s="365" t="s">
        <v>313</v>
      </c>
      <c r="K2" s="366" t="s">
        <v>314</v>
      </c>
      <c r="L2" s="363" t="s">
        <v>315</v>
      </c>
      <c r="M2" s="362" t="s">
        <v>316</v>
      </c>
      <c r="N2" s="363" t="s">
        <v>317</v>
      </c>
      <c r="O2" s="364"/>
      <c r="P2" s="362" t="s">
        <v>318</v>
      </c>
      <c r="Q2" s="363" t="s">
        <v>319</v>
      </c>
      <c r="R2" s="362" t="s">
        <v>320</v>
      </c>
      <c r="S2" s="366" t="s">
        <v>175</v>
      </c>
      <c r="T2" s="363" t="s">
        <v>321</v>
      </c>
      <c r="U2" s="367" t="s">
        <v>322</v>
      </c>
      <c r="V2" s="362" t="s">
        <v>323</v>
      </c>
      <c r="W2" s="363" t="s">
        <v>324</v>
      </c>
      <c r="X2" s="368"/>
      <c r="Y2" s="369" t="s">
        <v>325</v>
      </c>
      <c r="Z2" s="369"/>
      <c r="AA2" s="369"/>
      <c r="AC2" s="362" t="s">
        <v>326</v>
      </c>
      <c r="AD2" s="366" t="s">
        <v>202</v>
      </c>
      <c r="AE2" s="363" t="s">
        <v>201</v>
      </c>
      <c r="AG2" s="370" t="s">
        <v>327</v>
      </c>
      <c r="AH2" s="363" t="s">
        <v>328</v>
      </c>
    </row>
    <row r="3" s="320" customFormat="true" ht="12.75" hidden="false" customHeight="false" outlineLevel="0" collapsed="false">
      <c r="A3" s="371" t="s">
        <v>174</v>
      </c>
      <c r="B3" s="372" t="s">
        <v>174</v>
      </c>
      <c r="C3" s="364"/>
      <c r="D3" s="373" t="s">
        <v>177</v>
      </c>
      <c r="E3" s="374" t="s">
        <v>177</v>
      </c>
      <c r="F3" s="372" t="s">
        <v>177</v>
      </c>
      <c r="G3" s="373" t="s">
        <v>176</v>
      </c>
      <c r="H3" s="374" t="s">
        <v>176</v>
      </c>
      <c r="I3" s="372" t="s">
        <v>176</v>
      </c>
      <c r="J3" s="373" t="s">
        <v>175</v>
      </c>
      <c r="K3" s="374" t="s">
        <v>175</v>
      </c>
      <c r="L3" s="372" t="s">
        <v>175</v>
      </c>
      <c r="M3" s="371" t="s">
        <v>329</v>
      </c>
      <c r="N3" s="372" t="s">
        <v>178</v>
      </c>
      <c r="O3" s="364"/>
      <c r="P3" s="373" t="s">
        <v>11</v>
      </c>
      <c r="Q3" s="375" t="s">
        <v>330</v>
      </c>
      <c r="R3" s="373" t="s">
        <v>331</v>
      </c>
      <c r="S3" s="376" t="s">
        <v>332</v>
      </c>
      <c r="T3" s="375" t="s">
        <v>330</v>
      </c>
      <c r="U3" s="377" t="s">
        <v>330</v>
      </c>
      <c r="V3" s="373" t="s">
        <v>333</v>
      </c>
      <c r="W3" s="375" t="s">
        <v>330</v>
      </c>
      <c r="X3" s="368"/>
      <c r="Y3" s="378"/>
      <c r="Z3" s="379"/>
      <c r="AA3" s="380"/>
      <c r="AC3" s="373" t="s">
        <v>174</v>
      </c>
      <c r="AD3" s="376" t="s">
        <v>175</v>
      </c>
      <c r="AE3" s="375" t="s">
        <v>175</v>
      </c>
      <c r="AG3" s="378" t="s">
        <v>177</v>
      </c>
      <c r="AH3" s="375" t="s">
        <v>177</v>
      </c>
    </row>
    <row r="4" customFormat="false" ht="12.75" hidden="false" customHeight="false" outlineLevel="0" collapsed="false">
      <c r="A4" s="381" t="s">
        <v>11</v>
      </c>
      <c r="B4" s="382" t="n">
        <f aca="false">T_ini</f>
        <v>0</v>
      </c>
      <c r="D4" s="381" t="s">
        <v>11</v>
      </c>
      <c r="E4" s="383" t="s">
        <v>11</v>
      </c>
      <c r="F4" s="384" t="s">
        <v>11</v>
      </c>
      <c r="G4" s="381" t="n">
        <f aca="false">vit_xz*COS(Beta)</f>
        <v>0</v>
      </c>
      <c r="H4" s="383" t="n">
        <f aca="false">vit_xz*SIN(Beta)</f>
        <v>0</v>
      </c>
      <c r="I4" s="382" t="n">
        <f aca="false">V_ini</f>
        <v>0</v>
      </c>
      <c r="J4" s="385" t="n">
        <f aca="false">X_ini</f>
        <v>0</v>
      </c>
      <c r="K4" s="386" t="n">
        <f aca="false">Z_ini</f>
        <v>0</v>
      </c>
      <c r="L4" s="387" t="n">
        <f aca="false">SQRT(pos_x^2+pos_z^2)</f>
        <v>0</v>
      </c>
      <c r="M4" s="381" t="n">
        <f aca="false">RADIANS(N4)</f>
        <v>1.39626340159546</v>
      </c>
      <c r="N4" s="382" t="n">
        <f aca="false">Beta_rampe</f>
        <v>80</v>
      </c>
      <c r="P4" s="381" t="s">
        <v>11</v>
      </c>
      <c r="Q4" s="384" t="s">
        <v>11</v>
      </c>
      <c r="R4" s="381" t="s">
        <v>11</v>
      </c>
      <c r="S4" s="386" t="n">
        <f aca="false">m_tot</f>
        <v>9.432</v>
      </c>
      <c r="T4" s="387" t="n">
        <f aca="false">m*g</f>
        <v>92.52792</v>
      </c>
      <c r="U4" s="388" t="n">
        <f aca="false">IF(pos_xz&lt;L_rampe,Poids*COS(Beta),0)</f>
        <v>16.0673046913115</v>
      </c>
      <c r="V4" s="389" t="n">
        <f aca="false">Rho_moyen*(20000-Alt_rampe-pos_z)/(20000+Alt_rampe+pos_z)</f>
        <v>1.225</v>
      </c>
      <c r="W4" s="387" t="n">
        <f aca="false">1/2*Rho*Sref*Cx*vit_xz^2</f>
        <v>0</v>
      </c>
      <c r="Y4" s="390" t="s">
        <v>11</v>
      </c>
      <c r="Z4" s="391" t="s">
        <v>11</v>
      </c>
      <c r="AA4" s="392" t="s">
        <v>11</v>
      </c>
      <c r="AC4" s="393" t="n">
        <f aca="false">IF(ABS(t-ROUND(t,0))&lt;0.001,t,-1)</f>
        <v>0</v>
      </c>
      <c r="AD4" s="394" t="n">
        <f aca="false">IF(ABS(t-ROUND(t,0))&lt;0.001,pos_x,-1)</f>
        <v>0</v>
      </c>
      <c r="AE4" s="395" t="n">
        <f aca="false">IF(t&lt;T_para, pos_z, NA())</f>
        <v>0</v>
      </c>
      <c r="AG4" s="381" t="s">
        <v>11</v>
      </c>
      <c r="AH4" s="384" t="s">
        <v>11</v>
      </c>
    </row>
    <row r="5" customFormat="false" ht="12.75" hidden="false" customHeight="false" outlineLevel="0" collapsed="false">
      <c r="A5" s="396" t="n">
        <f aca="false">IF(B4+0.01&lt;=T_ini+ROUNDUP(Temps_fin_propu,0), 0.01, IF(K4&gt;0, 0.1, 0.0001))</f>
        <v>0.01</v>
      </c>
      <c r="B5" s="397" t="n">
        <f aca="false">B4+pas</f>
        <v>0.01</v>
      </c>
      <c r="D5" s="396" t="n">
        <f aca="false">IF(AND(L4&lt;L_rampe,Poussee&lt;Poids*SIN(M4)),0,(-W4+Poussee)/m*COS(M4)-U4/m*SIN(M4))</f>
        <v>2.85405042155416</v>
      </c>
      <c r="E5" s="398" t="n">
        <f aca="false">IF(AND(L4&lt;L_rampe,Poussee&lt;Poids*SIN(M4)),0,(-W4+Poussee)/m*SIN(M4)+U4/m*COS(M4)-Poids/m)</f>
        <v>16.1873824395519</v>
      </c>
      <c r="F5" s="397" t="n">
        <f aca="false">SQRT(acc_x^2+acc_z^2)</f>
        <v>16.4370603835688</v>
      </c>
      <c r="G5" s="396" t="n">
        <f aca="false">G4+acc_x*pas</f>
        <v>0.0285405042155416</v>
      </c>
      <c r="H5" s="398" t="n">
        <f aca="false">H4+acc_z*pas</f>
        <v>0.161873824395519</v>
      </c>
      <c r="I5" s="397" t="n">
        <f aca="false">SQRT(vit_x^2+vit_z^2)</f>
        <v>0.164370603835688</v>
      </c>
      <c r="J5" s="396" t="n">
        <f aca="false">J4+0.5*(vit_x+G4)*pas*(K4&gt;=0)</f>
        <v>0.000142702521077708</v>
      </c>
      <c r="K5" s="398" t="n">
        <f aca="false">K4+0.5*(vit_z+H4)*pas</f>
        <v>0.000809369121977596</v>
      </c>
      <c r="L5" s="397" t="n">
        <f aca="false">SQRT(pos_x^2+pos_z^2)</f>
        <v>0.000821853019178441</v>
      </c>
      <c r="M5" s="396" t="n">
        <f aca="false">IF(AND(L4&gt;L_rampe,G5&gt;0),ATAN2(G5,H5),$M$4)</f>
        <v>1.39626340159546</v>
      </c>
      <c r="N5" s="397" t="n">
        <f aca="false">DEGREES(Beta)</f>
        <v>80</v>
      </c>
      <c r="P5" s="399" t="n">
        <f aca="false">MATCH(t-pas/2-T_ini,CdP_t)</f>
        <v>1</v>
      </c>
      <c r="Q5" s="397" t="n">
        <f aca="false">(INDEX(CdP,2,i_P+1)-INDEX(CdP,2,i_P+0))/(INDEX(CdP,1,i_P+1)-INDEX(CdP,1,i_P+0))*(t-pas/2-T_ini-INDEX(CdP,1,i_P+0))+INDEX(CdP,2,i_P+0)</f>
        <v>246.125</v>
      </c>
      <c r="R5" s="396" t="n">
        <f aca="false">Poussee/(g*ISP)</f>
        <v>0.120953638819385</v>
      </c>
      <c r="S5" s="398" t="n">
        <f aca="false">S4-Débit*pas</f>
        <v>9.43079046361181</v>
      </c>
      <c r="T5" s="397" t="n">
        <f aca="false">m*g</f>
        <v>92.5160544480318</v>
      </c>
      <c r="U5" s="400" t="n">
        <f aca="false">IF(pos_xz&lt;L_rampe,Poids*COS(Beta),0)</f>
        <v>16.0652442598352</v>
      </c>
      <c r="V5" s="396" t="n">
        <f aca="false">Rho_moyen*(20000-Alt_rampe-pos_z)/(20000+Alt_rampe+pos_z)</f>
        <v>1.22499990085229</v>
      </c>
      <c r="W5" s="397" t="n">
        <f aca="false">1/2*Rho*Sref*Cx*vit_xz^2</f>
        <v>0.000124540871815544</v>
      </c>
      <c r="Y5" s="401" t="str">
        <f aca="false">IF(AND(pos_z&lt;=0,K4&gt;0),"Impact balistique","") &amp; IF(AND(H6&lt;0,vit_z&gt;=0),"Apogée","") &amp; IF(AND(Poussee=0,Q4&gt;0),"Fin de propulsion","") &amp; IF(AND(L6&gt;L_rampe,pos_xz&lt;=L_rampe),"Sortie de rampe","")</f>
        <v/>
      </c>
      <c r="Z5" s="402" t="str">
        <f aca="false">IF(ABS(t-T_para)&lt;pas/2,"Para","")</f>
        <v/>
      </c>
      <c r="AA5" s="403" t="str">
        <f aca="false">IF(ABS(t-T_satellite)&lt;pas/2,"Satellite","")</f>
        <v/>
      </c>
      <c r="AC5" s="399" t="e">
        <f aca="false">IF(ABS(t-ROUND(t,0))&lt;0.001,t,NA())</f>
        <v>#N/A</v>
      </c>
      <c r="AD5" s="404" t="e">
        <f aca="false">IF(ABS(t-ROUND(t,0))&lt;0.001,pos_x,NA())</f>
        <v>#N/A</v>
      </c>
      <c r="AE5" s="405" t="n">
        <f aca="false">IF(t&lt;T_para, pos_z, NA())</f>
        <v>0.000809369121977596</v>
      </c>
      <c r="AG5" s="396" t="n">
        <f aca="false">IF(AND(L4&lt;L_rampe,Poussee&lt;Poids*SIN(M4)),0,(-W4+Poussee)/m-Poids*SIN(M4)/m)</f>
        <v>16.4370603821168</v>
      </c>
      <c r="AH5" s="397" t="n">
        <f aca="false">IF(AND(L4&lt;L_rampe,Poussee&lt;Poids*SIN(M4)), g*SIN(M4), (-W4+Poussee)/m)</f>
        <v>26.0980244391666</v>
      </c>
    </row>
    <row r="6" customFormat="false" ht="12.75" hidden="false" customHeight="false" outlineLevel="0" collapsed="false">
      <c r="A6" s="396" t="n">
        <f aca="false">IF(B5+0.01&lt;=T_ini+ROUNDUP(Temps_fin_propu,0), 0.01, IF(K5&gt;0, 0.1, 0.0001))</f>
        <v>0.01</v>
      </c>
      <c r="B6" s="397" t="n">
        <f aca="false">B5+pas</f>
        <v>0.02</v>
      </c>
      <c r="D6" s="396" t="n">
        <f aca="false">IF(AND(L5&lt;L_rampe,Poussee&lt;Poids*SIN(M5)),0,(-W5+Poussee)/m*COS(M5)-U5/m*SIN(M5))</f>
        <v>15.4696302864803</v>
      </c>
      <c r="E6" s="398" t="n">
        <f aca="false">IF(AND(L5&lt;L_rampe,Poussee&lt;Poids*SIN(M5)),0,(-W5+Poussee)/m*SIN(M5)+U5/m*COS(M5)-Poids/m)</f>
        <v>87.7373937662734</v>
      </c>
      <c r="F6" s="397" t="n">
        <f aca="false">SQRT(acc_x^2+acc_z^2)</f>
        <v>89.090738722375</v>
      </c>
      <c r="G6" s="396" t="n">
        <f aca="false">G5+acc_x*pas</f>
        <v>0.183236807080344</v>
      </c>
      <c r="H6" s="398" t="n">
        <f aca="false">H5+acc_z*pas</f>
        <v>1.03924776205825</v>
      </c>
      <c r="I6" s="397" t="n">
        <f aca="false">SQRT(vit_x^2+vit_z^2)</f>
        <v>1.05527799105832</v>
      </c>
      <c r="J6" s="396" t="n">
        <f aca="false">J5+0.5*(vit_x+G5)*pas*(K5&gt;=0)</f>
        <v>0.00120158907755714</v>
      </c>
      <c r="K6" s="398" t="n">
        <f aca="false">K5+0.5*(vit_z+H5)*pas</f>
        <v>0.00681497705424646</v>
      </c>
      <c r="L6" s="397" t="n">
        <f aca="false">SQRT(pos_x^2+pos_z^2)</f>
        <v>0.0069200959936413</v>
      </c>
      <c r="M6" s="396" t="n">
        <f aca="false">IF(AND(L5&gt;L_rampe,G6&gt;0),ATAN2(G6,H6),$M$4)</f>
        <v>1.39626340159546</v>
      </c>
      <c r="N6" s="397" t="n">
        <f aca="false">DEGREES(Beta)</f>
        <v>80</v>
      </c>
      <c r="P6" s="399" t="n">
        <f aca="false">MATCH(t-pas/2-T_ini,CdP_t)</f>
        <v>2</v>
      </c>
      <c r="Q6" s="397" t="n">
        <f aca="false">(INDEX(CdP,2,i_P+1)-INDEX(CdP,2,i_P+0))/(INDEX(CdP,1,i_P+1)-INDEX(CdP,1,i_P+0))*(t-pas/2-T_ini-INDEX(CdP,1,i_P+0))+INDEX(CdP,2,i_P+0)</f>
        <v>930.855</v>
      </c>
      <c r="R6" s="396" t="n">
        <f aca="false">Poussee/(g*ISP)</f>
        <v>0.457451699190324</v>
      </c>
      <c r="S6" s="398" t="n">
        <f aca="false">S5-Débit*pas</f>
        <v>9.4262159466199</v>
      </c>
      <c r="T6" s="397" t="n">
        <f aca="false">m*g</f>
        <v>92.4711784363413</v>
      </c>
      <c r="U6" s="400" t="n">
        <f aca="false">IF(pos_xz&lt;L_rampe,Poids*COS(Beta),0)</f>
        <v>16.0574516221842</v>
      </c>
      <c r="V6" s="396" t="n">
        <f aca="false">Rho_moyen*(20000-Alt_rampe-pos_z)/(20000+Alt_rampe+pos_z)</f>
        <v>1.2249991651656</v>
      </c>
      <c r="W6" s="397" t="n">
        <f aca="false">1/2*Rho*Sref*Cx*vit_xz^2</f>
        <v>0.00513330537410219</v>
      </c>
      <c r="Y6" s="401" t="str">
        <f aca="false">IF(AND(pos_z&lt;=0,K5&gt;0),"Impact balistique","") &amp; IF(AND(H7&lt;0,vit_z&gt;=0),"Apogée","") &amp; IF(AND(Poussee=0,Q5&gt;0),"Fin de propulsion","") &amp; IF(AND(L7&gt;L_rampe,pos_xz&lt;=L_rampe),"Sortie de rampe","")</f>
        <v/>
      </c>
      <c r="Z6" s="402" t="str">
        <f aca="false">IF(ABS(t-T_para)&lt;pas/2,"Para","")</f>
        <v/>
      </c>
      <c r="AA6" s="403" t="str">
        <f aca="false">IF(ABS(t-T_satellite)&lt;pas/2,"Satellite","")</f>
        <v/>
      </c>
      <c r="AC6" s="399" t="e">
        <f aca="false">IF(ABS(t-ROUND(t,0))&lt;0.001,t,NA())</f>
        <v>#N/A</v>
      </c>
      <c r="AD6" s="404" t="e">
        <f aca="false">IF(ABS(t-ROUND(t,0))&lt;0.001,pos_x,NA())</f>
        <v>#N/A</v>
      </c>
      <c r="AE6" s="405" t="n">
        <f aca="false">IF(t&lt;T_para, pos_z, NA())</f>
        <v>0.00681497705424646</v>
      </c>
      <c r="AG6" s="396" t="n">
        <f aca="false">IF(AND(L5&lt;L_rampe,Poussee&lt;Poids*SIN(M5)),0,(-W5+Poussee)/m-Poids*SIN(M5)/m)</f>
        <v>89.0907387185395</v>
      </c>
      <c r="AH6" s="397" t="n">
        <f aca="false">IF(AND(L5&lt;L_rampe,Poussee&lt;Poids*SIN(M5)), g*SIN(M5), (-W5+Poussee)/m)</f>
        <v>98.7517027755892</v>
      </c>
    </row>
    <row r="7" customFormat="false" ht="12.75" hidden="false" customHeight="false" outlineLevel="0" collapsed="false">
      <c r="A7" s="396" t="n">
        <f aca="false">IF(B6+0.01&lt;=T_ini+ROUNDUP(Temps_fin_propu,0), 0.01, IF(K6&gt;0, 0.1, 0.0001))</f>
        <v>0.01</v>
      </c>
      <c r="B7" s="397" t="n">
        <f aca="false">B6+pas</f>
        <v>0.03</v>
      </c>
      <c r="D7" s="396" t="n">
        <f aca="false">IF(AND(L6&lt;L_rampe,Poussee&lt;Poids*SIN(M6)),0,(-W6+Poussee)/m*COS(M6)-U6/m*SIN(M6))</f>
        <v>23.1567925789633</v>
      </c>
      <c r="E7" s="398" t="n">
        <f aca="false">IF(AND(L6&lt;L_rampe,Poussee&lt;Poids*SIN(M6)),0,(-W6+Poussee)/m*SIN(M6)+U6/m*COS(M6)-Poids/m)</f>
        <v>131.335591812262</v>
      </c>
      <c r="F7" s="397" t="n">
        <f aca="false">SQRT(acc_x^2+acc_z^2)</f>
        <v>133.361443900485</v>
      </c>
      <c r="G7" s="396" t="n">
        <f aca="false">G6+acc_x*pas</f>
        <v>0.414804732869977</v>
      </c>
      <c r="H7" s="398" t="n">
        <f aca="false">H6+acc_z*pas</f>
        <v>2.35260368018087</v>
      </c>
      <c r="I7" s="397" t="n">
        <f aca="false">SQRT(vit_x^2+vit_z^2)</f>
        <v>2.38889243006292</v>
      </c>
      <c r="J7" s="396" t="n">
        <f aca="false">J6+0.5*(vit_x+G6)*pas*(K6&gt;=0)</f>
        <v>0.00419179677730875</v>
      </c>
      <c r="K7" s="398" t="n">
        <f aca="false">K6+0.5*(vit_z+H6)*pas</f>
        <v>0.0237742342654421</v>
      </c>
      <c r="L7" s="397" t="n">
        <f aca="false">SQRT(pos_x^2+pos_z^2)</f>
        <v>0.0241409480992437</v>
      </c>
      <c r="M7" s="396" t="n">
        <f aca="false">IF(AND(L6&gt;L_rampe,G7&gt;0),ATAN2(G7,H7),$M$4)</f>
        <v>1.39626340159546</v>
      </c>
      <c r="N7" s="397" t="n">
        <f aca="false">DEGREES(Beta)</f>
        <v>80</v>
      </c>
      <c r="P7" s="399" t="n">
        <f aca="false">MATCH(t-pas/2-T_ini,CdP_t)</f>
        <v>3</v>
      </c>
      <c r="Q7" s="397" t="n">
        <f aca="false">(INDEX(CdP,2,i_P+1)-INDEX(CdP,2,i_P+0))/(INDEX(CdP,1,i_P+1)-INDEX(CdP,1,i_P+0))*(t-pas/2-T_ini-INDEX(CdP,1,i_P+0))+INDEX(CdP,2,i_P+0)</f>
        <v>1347.21833333333</v>
      </c>
      <c r="R7" s="396" t="n">
        <f aca="false">Poussee/(g*ISP)</f>
        <v>0.662065859627643</v>
      </c>
      <c r="S7" s="398" t="n">
        <f aca="false">S6-Débit*pas</f>
        <v>9.41959528802363</v>
      </c>
      <c r="T7" s="397" t="n">
        <f aca="false">m*g</f>
        <v>92.4062297755118</v>
      </c>
      <c r="U7" s="400" t="n">
        <f aca="false">IF(pos_xz&lt;L_rampe,Poids*COS(Beta),0)</f>
        <v>16.0461734055893</v>
      </c>
      <c r="V7" s="396" t="n">
        <f aca="false">Rho_moyen*(20000-Alt_rampe-pos_z)/(20000+Alt_rampe+pos_z)</f>
        <v>1.22499708765976</v>
      </c>
      <c r="W7" s="397" t="n">
        <f aca="false">1/2*Rho*Sref*Cx*vit_xz^2</f>
        <v>0.026306059103167</v>
      </c>
      <c r="Y7" s="401" t="str">
        <f aca="false">IF(AND(pos_z&lt;=0,K6&gt;0),"Impact balistique","") &amp; IF(AND(H8&lt;0,vit_z&gt;=0),"Apogée","") &amp; IF(AND(Poussee=0,Q6&gt;0),"Fin de propulsion","") &amp; IF(AND(L8&gt;L_rampe,pos_xz&lt;=L_rampe),"Sortie de rampe","")</f>
        <v/>
      </c>
      <c r="Z7" s="402" t="str">
        <f aca="false">IF(ABS(t-T_para)&lt;pas/2,"Para","")</f>
        <v/>
      </c>
      <c r="AA7" s="403" t="str">
        <f aca="false">IF(ABS(t-T_satellite)&lt;pas/2,"Satellite","")</f>
        <v/>
      </c>
      <c r="AC7" s="399" t="e">
        <f aca="false">IF(ABS(t-ROUND(t,0))&lt;0.001,t,NA())</f>
        <v>#N/A</v>
      </c>
      <c r="AD7" s="404" t="e">
        <f aca="false">IF(ABS(t-ROUND(t,0))&lt;0.001,pos_x,NA())</f>
        <v>#N/A</v>
      </c>
      <c r="AE7" s="405" t="n">
        <f aca="false">IF(t&lt;T_para, pos_z, NA())</f>
        <v>0.0237742342654421</v>
      </c>
      <c r="AG7" s="396" t="n">
        <f aca="false">IF(AND(L6&lt;L_rampe,Poussee&lt;Poids*SIN(M6)),0,(-W6+Poussee)/m-Poids*SIN(M6)/m)</f>
        <v>133.36144389511</v>
      </c>
      <c r="AH7" s="397" t="n">
        <f aca="false">IF(AND(L6&lt;L_rampe,Poussee&lt;Poids*SIN(M6)), g*SIN(M6), (-W6+Poussee)/m)</f>
        <v>143.02240795216</v>
      </c>
    </row>
    <row r="8" customFormat="false" ht="12.75" hidden="false" customHeight="false" outlineLevel="0" collapsed="false">
      <c r="A8" s="396" t="n">
        <f aca="false">IF(B7+0.01&lt;=T_ini+ROUNDUP(Temps_fin_propu,0), 0.01, IF(K7&gt;0, 0.1, 0.0001))</f>
        <v>0.01</v>
      </c>
      <c r="B8" s="397" t="n">
        <f aca="false">B7+pas</f>
        <v>0.04</v>
      </c>
      <c r="D8" s="396" t="n">
        <f aca="false">IF(AND(L7&lt;L_rampe,Poussee&lt;Poids*SIN(M7)),0,(-W7+Poussee)/m*COS(M7)-U7/m*SIN(M7))</f>
        <v>22.3527329687855</v>
      </c>
      <c r="E8" s="398" t="n">
        <f aca="false">IF(AND(L7&lt;L_rampe,Poussee&lt;Poids*SIN(M7)),0,(-W7+Poussee)/m*SIN(M7)+U7/m*COS(M7)-Poids/m)</f>
        <v>126.775320032227</v>
      </c>
      <c r="F8" s="397" t="n">
        <f aca="false">SQRT(acc_x^2+acc_z^2)</f>
        <v>128.730829409459</v>
      </c>
      <c r="G8" s="396" t="n">
        <f aca="false">G7+acc_x*pas</f>
        <v>0.638332062557832</v>
      </c>
      <c r="H8" s="398" t="n">
        <f aca="false">H7+acc_z*pas</f>
        <v>3.62035688050314</v>
      </c>
      <c r="I8" s="397" t="n">
        <f aca="false">SQRT(vit_x^2+vit_z^2)</f>
        <v>3.67620072415745</v>
      </c>
      <c r="J8" s="396" t="n">
        <f aca="false">J7+0.5*(vit_x+G7)*pas*(K7&gt;=0)</f>
        <v>0.00945748075444779</v>
      </c>
      <c r="K8" s="398" t="n">
        <f aca="false">K7+0.5*(vit_z+H7)*pas</f>
        <v>0.0536390370688621</v>
      </c>
      <c r="L8" s="397" t="n">
        <f aca="false">SQRT(pos_x^2+pos_z^2)</f>
        <v>0.0544664138703432</v>
      </c>
      <c r="M8" s="396" t="n">
        <f aca="false">IF(AND(L7&gt;L_rampe,G8&gt;0),ATAN2(G8,H8),$M$4)</f>
        <v>1.39626340159546</v>
      </c>
      <c r="N8" s="397" t="n">
        <f aca="false">DEGREES(Beta)</f>
        <v>80</v>
      </c>
      <c r="P8" s="399" t="n">
        <f aca="false">MATCH(t-pas/2-T_ini,CdP_t)</f>
        <v>3</v>
      </c>
      <c r="Q8" s="397" t="n">
        <f aca="false">(INDEX(CdP,2,i_P+1)-INDEX(CdP,2,i_P+0))/(INDEX(CdP,1,i_P+1)-INDEX(CdP,1,i_P+0))*(t-pas/2-T_ini-INDEX(CdP,1,i_P+0))+INDEX(CdP,2,i_P+0)</f>
        <v>1302.735</v>
      </c>
      <c r="R8" s="396" t="n">
        <f aca="false">Poussee/(g*ISP)</f>
        <v>0.640205337399172</v>
      </c>
      <c r="S8" s="398" t="n">
        <f aca="false">S7-Débit*pas</f>
        <v>9.41319323464964</v>
      </c>
      <c r="T8" s="397" t="n">
        <f aca="false">m*g</f>
        <v>92.3434256319129</v>
      </c>
      <c r="U8" s="400" t="n">
        <f aca="false">IF(pos_xz&lt;L_rampe,Poids*COS(Beta),0)</f>
        <v>16.0352675805034</v>
      </c>
      <c r="V8" s="396" t="n">
        <f aca="false">Rho_moyen*(20000-Alt_rampe-pos_z)/(20000+Alt_rampe+pos_z)</f>
        <v>1.22499342923558</v>
      </c>
      <c r="W8" s="397" t="n">
        <f aca="false">1/2*Rho*Sref*Cx*vit_xz^2</f>
        <v>0.062295939303446</v>
      </c>
      <c r="Y8" s="401" t="str">
        <f aca="false">IF(AND(pos_z&lt;=0,K7&gt;0),"Impact balistique","") &amp; IF(AND(H9&lt;0,vit_z&gt;=0),"Apogée","") &amp; IF(AND(Poussee=0,Q7&gt;0),"Fin de propulsion","") &amp; IF(AND(L9&gt;L_rampe,pos_xz&lt;=L_rampe),"Sortie de rampe","")</f>
        <v/>
      </c>
      <c r="Z8" s="402" t="str">
        <f aca="false">IF(ABS(t-T_para)&lt;pas/2,"Para","")</f>
        <v/>
      </c>
      <c r="AA8" s="403" t="str">
        <f aca="false">IF(ABS(t-T_satellite)&lt;pas/2,"Satellite","")</f>
        <v/>
      </c>
      <c r="AC8" s="399" t="e">
        <f aca="false">IF(ABS(t-ROUND(t,0))&lt;0.001,t,NA())</f>
        <v>#N/A</v>
      </c>
      <c r="AD8" s="404" t="e">
        <f aca="false">IF(ABS(t-ROUND(t,0))&lt;0.001,pos_x,NA())</f>
        <v>#N/A</v>
      </c>
      <c r="AE8" s="405" t="n">
        <f aca="false">IF(t&lt;T_para, pos_z, NA())</f>
        <v>0.0536390370688621</v>
      </c>
      <c r="AG8" s="396" t="n">
        <f aca="false">IF(AND(L7&lt;L_rampe,Poussee&lt;Poids*SIN(M7)),0,(-W7+Poussee)/m-Poids*SIN(M7)/m)</f>
        <v>128.730829404246</v>
      </c>
      <c r="AH8" s="397" t="n">
        <f aca="false">IF(AND(L7&lt;L_rampe,Poussee&lt;Poids*SIN(M7)), g*SIN(M7), (-W7+Poussee)/m)</f>
        <v>138.391793461296</v>
      </c>
    </row>
    <row r="9" customFormat="false" ht="12.75" hidden="false" customHeight="false" outlineLevel="0" collapsed="false">
      <c r="A9" s="396" t="n">
        <f aca="false">IF(B8+0.01&lt;=T_ini+ROUNDUP(Temps_fin_propu,0), 0.01, IF(K8&gt;0, 0.1, 0.0001))</f>
        <v>0.01</v>
      </c>
      <c r="B9" s="397" t="n">
        <f aca="false">B8+pas</f>
        <v>0.05</v>
      </c>
      <c r="D9" s="396" t="n">
        <f aca="false">IF(AND(L8&lt;L_rampe,Poussee&lt;Poids*SIN(M8)),0,(-W8+Poussee)/m*COS(M8)-U8/m*SIN(M8))</f>
        <v>21.5467656728421</v>
      </c>
      <c r="E9" s="398" t="n">
        <f aca="false">IF(AND(L8&lt;L_rampe,Poussee&lt;Poids*SIN(M8)),0,(-W8+Poussee)/m*SIN(M8)+U8/m*COS(M8)-Poids/m)</f>
        <v>122.204228775023</v>
      </c>
      <c r="F9" s="397" t="n">
        <f aca="false">SQRT(acc_x^2+acc_z^2)</f>
        <v>124.089228547277</v>
      </c>
      <c r="G9" s="396" t="n">
        <f aca="false">G8+acc_x*pas</f>
        <v>0.853799719286253</v>
      </c>
      <c r="H9" s="398" t="n">
        <f aca="false">H8+acc_z*pas</f>
        <v>4.84239916825336</v>
      </c>
      <c r="I9" s="397" t="n">
        <f aca="false">SQRT(vit_x^2+vit_z^2)</f>
        <v>4.9170930096302</v>
      </c>
      <c r="J9" s="396" t="n">
        <f aca="false">J8+0.5*(vit_x+G8)*pas*(K8&gt;=0)</f>
        <v>0.0169181396636682</v>
      </c>
      <c r="K9" s="398" t="n">
        <f aca="false">K8+0.5*(vit_z+H8)*pas</f>
        <v>0.0959528173126447</v>
      </c>
      <c r="L9" s="397" t="n">
        <f aca="false">SQRT(pos_x^2+pos_z^2)</f>
        <v>0.0974328825392801</v>
      </c>
      <c r="M9" s="396" t="n">
        <f aca="false">IF(AND(L8&gt;L_rampe,G9&gt;0),ATAN2(G9,H9),$M$4)</f>
        <v>1.39626340159546</v>
      </c>
      <c r="N9" s="397" t="n">
        <f aca="false">DEGREES(Beta)</f>
        <v>80</v>
      </c>
      <c r="P9" s="399" t="n">
        <f aca="false">MATCH(t-pas/2-T_ini,CdP_t)</f>
        <v>3</v>
      </c>
      <c r="Q9" s="397" t="n">
        <f aca="false">(INDEX(CdP,2,i_P+1)-INDEX(CdP,2,i_P+0))/(INDEX(CdP,1,i_P+1)-INDEX(CdP,1,i_P+0))*(t-pas/2-T_ini-INDEX(CdP,1,i_P+0))+INDEX(CdP,2,i_P+0)</f>
        <v>1258.25166666667</v>
      </c>
      <c r="R9" s="396" t="n">
        <f aca="false">Poussee/(g*ISP)</f>
        <v>0.618344815170702</v>
      </c>
      <c r="S9" s="398" t="n">
        <f aca="false">S8-Débit*pas</f>
        <v>9.40700978649793</v>
      </c>
      <c r="T9" s="397" t="n">
        <f aca="false">m*g</f>
        <v>92.2827660055447</v>
      </c>
      <c r="U9" s="400" t="n">
        <f aca="false">IF(pos_xz&lt;L_rampe,Poids*COS(Beta),0)</f>
        <v>16.0247341469266</v>
      </c>
      <c r="V9" s="396" t="n">
        <f aca="false">Rho_moyen*(20000-Alt_rampe-pos_z)/(20000+Alt_rampe+pos_z)</f>
        <v>1.22498824583627</v>
      </c>
      <c r="W9" s="397" t="n">
        <f aca="false">1/2*Rho*Sref*Cx*vit_xz^2</f>
        <v>0.111449035646977</v>
      </c>
      <c r="Y9" s="401" t="str">
        <f aca="false">IF(AND(pos_z&lt;=0,K8&gt;0),"Impact balistique","") &amp; IF(AND(H10&lt;0,vit_z&gt;=0),"Apogée","") &amp; IF(AND(Poussee=0,Q8&gt;0),"Fin de propulsion","") &amp; IF(AND(L10&gt;L_rampe,pos_xz&lt;=L_rampe),"Sortie de rampe","")</f>
        <v/>
      </c>
      <c r="Z9" s="402" t="str">
        <f aca="false">IF(ABS(t-T_para)&lt;pas/2,"Para","")</f>
        <v/>
      </c>
      <c r="AA9" s="403" t="str">
        <f aca="false">IF(ABS(t-T_satellite)&lt;pas/2,"Satellite","")</f>
        <v/>
      </c>
      <c r="AC9" s="399" t="e">
        <f aca="false">IF(ABS(t-ROUND(t,0))&lt;0.001,t,NA())</f>
        <v>#N/A</v>
      </c>
      <c r="AD9" s="404" t="e">
        <f aca="false">IF(ABS(t-ROUND(t,0))&lt;0.001,pos_x,NA())</f>
        <v>#N/A</v>
      </c>
      <c r="AE9" s="405" t="n">
        <f aca="false">IF(t&lt;T_para, pos_z, NA())</f>
        <v>0.0959528173126447</v>
      </c>
      <c r="AG9" s="396" t="n">
        <f aca="false">IF(AND(L8&lt;L_rampe,Poussee&lt;Poids*SIN(M8)),0,(-W8+Poussee)/m-Poids*SIN(M8)/m)</f>
        <v>124.089228542225</v>
      </c>
      <c r="AH9" s="397" t="n">
        <f aca="false">IF(AND(L8&lt;L_rampe,Poussee&lt;Poids*SIN(M8)), g*SIN(M8), (-W8+Poussee)/m)</f>
        <v>133.750192599275</v>
      </c>
    </row>
    <row r="10" customFormat="false" ht="12.75" hidden="false" customHeight="false" outlineLevel="0" collapsed="false">
      <c r="A10" s="396" t="n">
        <f aca="false">IF(B9+0.01&lt;=T_ini+ROUNDUP(Temps_fin_propu,0), 0.01, IF(K9&gt;0, 0.1, 0.0001))</f>
        <v>0.01</v>
      </c>
      <c r="B10" s="397" t="n">
        <f aca="false">B9+pas</f>
        <v>0.06</v>
      </c>
      <c r="D10" s="396" t="n">
        <f aca="false">IF(AND(L9&lt;L_rampe,Poussee&lt;Poids*SIN(M9)),0,(-W9+Poussee)/m*COS(M9)-U9/m*SIN(M9))</f>
        <v>21.2303737374014</v>
      </c>
      <c r="E10" s="398" t="n">
        <f aca="false">IF(AND(L9&lt;L_rampe,Poussee&lt;Poids*SIN(M9)),0,(-W9+Poussee)/m*SIN(M9)+U9/m*COS(M9)-Poids/m)</f>
        <v>120.409793352796</v>
      </c>
      <c r="F10" s="397" t="n">
        <f aca="false">SQRT(acc_x^2+acc_z^2)</f>
        <v>122.267113748108</v>
      </c>
      <c r="G10" s="396" t="n">
        <f aca="false">G9+acc_x*pas</f>
        <v>1.06610345666027</v>
      </c>
      <c r="H10" s="398" t="n">
        <f aca="false">H9+acc_z*pas</f>
        <v>6.04649710178132</v>
      </c>
      <c r="I10" s="397" t="n">
        <f aca="false">SQRT(vit_x^2+vit_z^2)</f>
        <v>6.13976414711126</v>
      </c>
      <c r="J10" s="396" t="n">
        <f aca="false">J9+0.5*(vit_x+G9)*pas*(K9&gt;=0)</f>
        <v>0.0265176555434008</v>
      </c>
      <c r="K10" s="398" t="n">
        <f aca="false">K9+0.5*(vit_z+H9)*pas</f>
        <v>0.150397298662818</v>
      </c>
      <c r="L10" s="397" t="n">
        <f aca="false">SQRT(pos_x^2+pos_z^2)</f>
        <v>0.152717168322986</v>
      </c>
      <c r="M10" s="396" t="n">
        <f aca="false">IF(AND(L9&gt;L_rampe,G10&gt;0),ATAN2(G10,H10),$M$4)</f>
        <v>1.39626340159546</v>
      </c>
      <c r="N10" s="397" t="n">
        <f aca="false">DEGREES(Beta)</f>
        <v>80</v>
      </c>
      <c r="P10" s="399" t="n">
        <f aca="false">MATCH(t-pas/2-T_ini,CdP_t)</f>
        <v>4</v>
      </c>
      <c r="Q10" s="397" t="n">
        <f aca="false">(INDEX(CdP,2,i_P+1)-INDEX(CdP,2,i_P+0))/(INDEX(CdP,1,i_P+1)-INDEX(CdP,1,i_P+0))*(t-pas/2-T_ini-INDEX(CdP,1,i_P+0))+INDEX(CdP,2,i_P+0)</f>
        <v>1240.356</v>
      </c>
      <c r="R10" s="396" t="n">
        <f aca="false">Poussee/(g*ISP)</f>
        <v>0.6095503164305</v>
      </c>
      <c r="S10" s="398" t="n">
        <f aca="false">S9-Débit*pas</f>
        <v>9.40091428333362</v>
      </c>
      <c r="T10" s="397" t="n">
        <f aca="false">m*g</f>
        <v>92.2229691195029</v>
      </c>
      <c r="U10" s="400" t="n">
        <f aca="false">IF(pos_xz&lt;L_rampe,Poids*COS(Beta),0)</f>
        <v>16.0143505266353</v>
      </c>
      <c r="V10" s="396" t="n">
        <f aca="false">Rho_moyen*(20000-Alt_rampe-pos_z)/(20000+Alt_rampe+pos_z)</f>
        <v>1.22498157646946</v>
      </c>
      <c r="W10" s="397" t="n">
        <f aca="false">1/2*Rho*Sref*Cx*vit_xz^2</f>
        <v>0.173764270247756</v>
      </c>
      <c r="Y10" s="401" t="str">
        <f aca="false">IF(AND(pos_z&lt;=0,K9&gt;0),"Impact balistique","") &amp; IF(AND(H11&lt;0,vit_z&gt;=0),"Apogée","") &amp; IF(AND(Poussee=0,Q9&gt;0),"Fin de propulsion","") &amp; IF(AND(L11&gt;L_rampe,pos_xz&lt;=L_rampe),"Sortie de rampe","")</f>
        <v/>
      </c>
      <c r="Z10" s="402" t="str">
        <f aca="false">IF(ABS(t-T_para)&lt;pas/2,"Para","")</f>
        <v/>
      </c>
      <c r="AA10" s="403" t="str">
        <f aca="false">IF(ABS(t-T_satellite)&lt;pas/2,"Satellite","")</f>
        <v/>
      </c>
      <c r="AC10" s="399" t="e">
        <f aca="false">IF(ABS(t-ROUND(t,0))&lt;0.001,t,NA())</f>
        <v>#N/A</v>
      </c>
      <c r="AD10" s="404" t="e">
        <f aca="false">IF(ABS(t-ROUND(t,0))&lt;0.001,pos_x,NA())</f>
        <v>#N/A</v>
      </c>
      <c r="AE10" s="405" t="n">
        <f aca="false">IF(t&lt;T_para, pos_z, NA())</f>
        <v>0.150397298662818</v>
      </c>
      <c r="AG10" s="396" t="n">
        <f aca="false">IF(AND(L9&lt;L_rampe,Poussee&lt;Poids*SIN(M9)),0,(-W9+Poussee)/m-Poids*SIN(M9)/m)</f>
        <v>122.267113743119</v>
      </c>
      <c r="AH10" s="397" t="n">
        <f aca="false">IF(AND(L9&lt;L_rampe,Poussee&lt;Poids*SIN(M9)), g*SIN(M9), (-W9+Poussee)/m)</f>
        <v>131.928077800168</v>
      </c>
    </row>
    <row r="11" customFormat="false" ht="12.75" hidden="false" customHeight="false" outlineLevel="0" collapsed="false">
      <c r="A11" s="396" t="n">
        <f aca="false">IF(B10+0.01&lt;=T_ini+ROUNDUP(Temps_fin_propu,0), 0.01, IF(K10&gt;0, 0.1, 0.0001))</f>
        <v>0.01</v>
      </c>
      <c r="B11" s="397" t="n">
        <f aca="false">B10+pas</f>
        <v>0.07</v>
      </c>
      <c r="D11" s="396" t="n">
        <f aca="false">IF(AND(L10&lt;L_rampe,Poussee&lt;Poids*SIN(M10)),0,(-W10+Poussee)/m*COS(M10)-U10/m*SIN(M10))</f>
        <v>21.4048400112919</v>
      </c>
      <c r="E11" s="398" t="n">
        <f aca="false">IF(AND(L10&lt;L_rampe,Poussee&lt;Poids*SIN(M10)),0,(-W10+Poussee)/m*SIN(M10)+U10/m*COS(M10)-Poids/m)</f>
        <v>121.399289519088</v>
      </c>
      <c r="F11" s="397" t="n">
        <f aca="false">SQRT(acc_x^2+acc_z^2)</f>
        <v>123.271872994809</v>
      </c>
      <c r="G11" s="396" t="n">
        <f aca="false">G10+acc_x*pas</f>
        <v>1.28015185677319</v>
      </c>
      <c r="H11" s="398" t="n">
        <f aca="false">H10+acc_z*pas</f>
        <v>7.2604899969722</v>
      </c>
      <c r="I11" s="397" t="n">
        <f aca="false">SQRT(vit_x^2+vit_z^2)</f>
        <v>7.37248287705934</v>
      </c>
      <c r="J11" s="396" t="n">
        <f aca="false">J10+0.5*(vit_x+G10)*pas*(K10&gt;=0)</f>
        <v>0.0382489321105681</v>
      </c>
      <c r="K11" s="398" t="n">
        <f aca="false">K10+0.5*(vit_z+H10)*pas</f>
        <v>0.216932234156586</v>
      </c>
      <c r="L11" s="397" t="n">
        <f aca="false">SQRT(pos_x^2+pos_z^2)</f>
        <v>0.220278403443839</v>
      </c>
      <c r="M11" s="396" t="n">
        <f aca="false">IF(AND(L10&gt;L_rampe,G11&gt;0),ATAN2(G11,H11),$M$4)</f>
        <v>1.39626340159546</v>
      </c>
      <c r="N11" s="397" t="n">
        <f aca="false">DEGREES(Beta)</f>
        <v>80</v>
      </c>
      <c r="P11" s="399" t="n">
        <f aca="false">MATCH(t-pas/2-T_ini,CdP_t)</f>
        <v>4</v>
      </c>
      <c r="Q11" s="397" t="n">
        <f aca="false">(INDEX(CdP,2,i_P+1)-INDEX(CdP,2,i_P+0))/(INDEX(CdP,1,i_P+1)-INDEX(CdP,1,i_P+0))*(t-pas/2-T_ini-INDEX(CdP,1,i_P+0))+INDEX(CdP,2,i_P+0)</f>
        <v>1249.048</v>
      </c>
      <c r="R11" s="396" t="n">
        <f aca="false">Poussee/(g*ISP)</f>
        <v>0.613821841178568</v>
      </c>
      <c r="S11" s="398" t="n">
        <f aca="false">S10-Débit*pas</f>
        <v>9.39477606492184</v>
      </c>
      <c r="T11" s="397" t="n">
        <f aca="false">m*g</f>
        <v>92.1627531968832</v>
      </c>
      <c r="U11" s="400" t="n">
        <f aca="false">IF(pos_xz&lt;L_rampe,Poids*COS(Beta),0)</f>
        <v>16.0038941414058</v>
      </c>
      <c r="V11" s="396" t="n">
        <f aca="false">Rho_moyen*(20000-Alt_rampe-pos_z)/(20000+Alt_rampe+pos_z)</f>
        <v>1.22497342608955</v>
      </c>
      <c r="W11" s="397" t="n">
        <f aca="false">1/2*Rho*Sref*Cx*vit_xz^2</f>
        <v>0.250542703494764</v>
      </c>
      <c r="Y11" s="401" t="str">
        <f aca="false">IF(AND(pos_z&lt;=0,K10&gt;0),"Impact balistique","") &amp; IF(AND(H12&lt;0,vit_z&gt;=0),"Apogée","") &amp; IF(AND(Poussee=0,Q10&gt;0),"Fin de propulsion","") &amp; IF(AND(L12&gt;L_rampe,pos_xz&lt;=L_rampe),"Sortie de rampe","")</f>
        <v/>
      </c>
      <c r="Z11" s="402" t="str">
        <f aca="false">IF(ABS(t-T_para)&lt;pas/2,"Para","")</f>
        <v/>
      </c>
      <c r="AA11" s="403" t="str">
        <f aca="false">IF(ABS(t-T_satellite)&lt;pas/2,"Satellite","")</f>
        <v/>
      </c>
      <c r="AC11" s="399" t="e">
        <f aca="false">IF(ABS(t-ROUND(t,0))&lt;0.001,t,NA())</f>
        <v>#N/A</v>
      </c>
      <c r="AD11" s="404" t="e">
        <f aca="false">IF(ABS(t-ROUND(t,0))&lt;0.001,pos_x,NA())</f>
        <v>#N/A</v>
      </c>
      <c r="AE11" s="405" t="n">
        <f aca="false">IF(t&lt;T_para, pos_z, NA())</f>
        <v>0.216932234156586</v>
      </c>
      <c r="AG11" s="396" t="n">
        <f aca="false">IF(AND(L10&lt;L_rampe,Poussee&lt;Poids*SIN(M10)),0,(-W10+Poussee)/m-Poids*SIN(M10)/m)</f>
        <v>123.271872989784</v>
      </c>
      <c r="AH11" s="397" t="n">
        <f aca="false">IF(AND(L10&lt;L_rampe,Poussee&lt;Poids*SIN(M10)), g*SIN(M10), (-W10+Poussee)/m)</f>
        <v>132.932837046834</v>
      </c>
    </row>
    <row r="12" customFormat="false" ht="12.75" hidden="false" customHeight="false" outlineLevel="0" collapsed="false">
      <c r="A12" s="396" t="n">
        <f aca="false">IF(B11+0.01&lt;=T_ini+ROUNDUP(Temps_fin_propu,0), 0.01, IF(K11&gt;0, 0.1, 0.0001))</f>
        <v>0.01</v>
      </c>
      <c r="B12" s="397" t="n">
        <f aca="false">B11+pas</f>
        <v>0.08</v>
      </c>
      <c r="D12" s="396" t="n">
        <f aca="false">IF(AND(L11&lt;L_rampe,Poussee&lt;Poids*SIN(M11)),0,(-W11+Poussee)/m*COS(M11)-U11/m*SIN(M11))</f>
        <v>21.5793727212121</v>
      </c>
      <c r="E12" s="398" t="n">
        <f aca="false">IF(AND(L11&lt;L_rampe,Poussee&lt;Poids*SIN(M11)),0,(-W11+Poussee)/m*SIN(M11)+U11/m*COS(M11)-Poids/m)</f>
        <v>122.389162555967</v>
      </c>
      <c r="F12" s="397" t="n">
        <f aca="false">SQRT(acc_x^2+acc_z^2)</f>
        <v>124.277014923082</v>
      </c>
      <c r="G12" s="396" t="n">
        <f aca="false">G11+acc_x*pas</f>
        <v>1.49594558398531</v>
      </c>
      <c r="H12" s="398" t="n">
        <f aca="false">H11+acc_z*pas</f>
        <v>8.48438162253187</v>
      </c>
      <c r="I12" s="397" t="n">
        <f aca="false">SQRT(vit_x^2+vit_z^2)</f>
        <v>8.61525302629016</v>
      </c>
      <c r="J12" s="396" t="n">
        <f aca="false">J11+0.5*(vit_x+G11)*pas*(K11&gt;=0)</f>
        <v>0.0521294193143606</v>
      </c>
      <c r="K12" s="398" t="n">
        <f aca="false">K11+0.5*(vit_z+H11)*pas</f>
        <v>0.295656592254106</v>
      </c>
      <c r="L12" s="397" t="n">
        <f aca="false">SQRT(pos_x^2+pos_z^2)</f>
        <v>0.300217082960586</v>
      </c>
      <c r="M12" s="396" t="n">
        <f aca="false">IF(AND(L11&gt;L_rampe,G12&gt;0),ATAN2(G12,H12),$M$4)</f>
        <v>1.39626340159546</v>
      </c>
      <c r="N12" s="397" t="n">
        <f aca="false">DEGREES(Beta)</f>
        <v>80</v>
      </c>
      <c r="P12" s="399" t="n">
        <f aca="false">MATCH(t-pas/2-T_ini,CdP_t)</f>
        <v>4</v>
      </c>
      <c r="Q12" s="397" t="n">
        <f aca="false">(INDEX(CdP,2,i_P+1)-INDEX(CdP,2,i_P+0))/(INDEX(CdP,1,i_P+1)-INDEX(CdP,1,i_P+0))*(t-pas/2-T_ini-INDEX(CdP,1,i_P+0))+INDEX(CdP,2,i_P+0)</f>
        <v>1257.74</v>
      </c>
      <c r="R12" s="396" t="n">
        <f aca="false">Poussee/(g*ISP)</f>
        <v>0.618093365926635</v>
      </c>
      <c r="S12" s="398" t="n">
        <f aca="false">S11-Débit*pas</f>
        <v>9.38859513126257</v>
      </c>
      <c r="T12" s="397" t="n">
        <f aca="false">m*g</f>
        <v>92.1021182376858</v>
      </c>
      <c r="U12" s="400" t="n">
        <f aca="false">IF(pos_xz&lt;L_rampe,Poids*COS(Beta),0)</f>
        <v>15.9933649912383</v>
      </c>
      <c r="V12" s="396" t="n">
        <f aca="false">Rho_moyen*(20000-Alt_rampe-pos_z)/(20000+Alt_rampe+pos_z)</f>
        <v>1.22496378260284</v>
      </c>
      <c r="W12" s="397" t="n">
        <f aca="false">1/2*Rho*Sref*Cx*vit_xz^2</f>
        <v>0.34212662197488</v>
      </c>
      <c r="Y12" s="401" t="str">
        <f aca="false">IF(AND(pos_z&lt;=0,K11&gt;0),"Impact balistique","") &amp; IF(AND(H13&lt;0,vit_z&gt;=0),"Apogée","") &amp; IF(AND(Poussee=0,Q11&gt;0),"Fin de propulsion","") &amp; IF(AND(L13&gt;L_rampe,pos_xz&lt;=L_rampe),"Sortie de rampe","")</f>
        <v/>
      </c>
      <c r="Z12" s="402" t="str">
        <f aca="false">IF(ABS(t-T_para)&lt;pas/2,"Para","")</f>
        <v/>
      </c>
      <c r="AA12" s="403" t="str">
        <f aca="false">IF(ABS(t-T_satellite)&lt;pas/2,"Satellite","")</f>
        <v/>
      </c>
      <c r="AC12" s="399" t="e">
        <f aca="false">IF(ABS(t-ROUND(t,0))&lt;0.001,t,NA())</f>
        <v>#N/A</v>
      </c>
      <c r="AD12" s="404" t="e">
        <f aca="false">IF(ABS(t-ROUND(t,0))&lt;0.001,pos_x,NA())</f>
        <v>#N/A</v>
      </c>
      <c r="AE12" s="405" t="n">
        <f aca="false">IF(t&lt;T_para, pos_z, NA())</f>
        <v>0.295656592254106</v>
      </c>
      <c r="AG12" s="396" t="n">
        <f aca="false">IF(AND(L11&lt;L_rampe,Poussee&lt;Poids*SIN(M11)),0,(-W11+Poussee)/m-Poids*SIN(M11)/m)</f>
        <v>124.277014918022</v>
      </c>
      <c r="AH12" s="397" t="n">
        <f aca="false">IF(AND(L11&lt;L_rampe,Poussee&lt;Poids*SIN(M11)), g*SIN(M11), (-W11+Poussee)/m)</f>
        <v>133.937978975072</v>
      </c>
    </row>
    <row r="13" customFormat="false" ht="12.75" hidden="false" customHeight="false" outlineLevel="0" collapsed="false">
      <c r="A13" s="396" t="n">
        <f aca="false">IF(B12+0.01&lt;=T_ini+ROUNDUP(Temps_fin_propu,0), 0.01, IF(K12&gt;0, 0.1, 0.0001))</f>
        <v>0.01</v>
      </c>
      <c r="B13" s="397" t="n">
        <f aca="false">B12+pas</f>
        <v>0.09</v>
      </c>
      <c r="D13" s="396" t="n">
        <f aca="false">IF(AND(L12&lt;L_rampe,Poussee&lt;Poids*SIN(M12)),0,(-W12+Poussee)/m*COS(M12)-U12/m*SIN(M12))</f>
        <v>21.753968047242</v>
      </c>
      <c r="E13" s="398" t="n">
        <f aca="false">IF(AND(L12&lt;L_rampe,Poussee&lt;Poids*SIN(M12)),0,(-W12+Poussee)/m*SIN(M12)+U12/m*COS(M12)-Poids/m)</f>
        <v>123.379390800442</v>
      </c>
      <c r="F13" s="397" t="n">
        <f aca="false">SQRT(acc_x^2+acc_z^2)</f>
        <v>125.282517535723</v>
      </c>
      <c r="G13" s="396" t="n">
        <f aca="false">G12+acc_x*pas</f>
        <v>1.71348526445773</v>
      </c>
      <c r="H13" s="398" t="n">
        <f aca="false">H12+acc_z*pas</f>
        <v>9.71817553053629</v>
      </c>
      <c r="I13" s="397" t="n">
        <f aca="false">SQRT(vit_x^2+vit_z^2)</f>
        <v>9.86807820164738</v>
      </c>
      <c r="J13" s="396" t="n">
        <f aca="false">J12+0.5*(vit_x+G12)*pas*(K12&gt;=0)</f>
        <v>0.0681765735565757</v>
      </c>
      <c r="K13" s="398" t="n">
        <f aca="false">K12+0.5*(vit_z+H12)*pas</f>
        <v>0.386669378019447</v>
      </c>
      <c r="L13" s="397" t="n">
        <f aca="false">SQRT(pos_x^2+pos_z^2)</f>
        <v>0.392633739100273</v>
      </c>
      <c r="M13" s="396" t="n">
        <f aca="false">IF(AND(L12&gt;L_rampe,G13&gt;0),ATAN2(G13,H13),$M$4)</f>
        <v>1.39626340159546</v>
      </c>
      <c r="N13" s="397" t="n">
        <f aca="false">DEGREES(Beta)</f>
        <v>80</v>
      </c>
      <c r="P13" s="399" t="n">
        <f aca="false">MATCH(t-pas/2-T_ini,CdP_t)</f>
        <v>4</v>
      </c>
      <c r="Q13" s="397" t="n">
        <f aca="false">(INDEX(CdP,2,i_P+1)-INDEX(CdP,2,i_P+0))/(INDEX(CdP,1,i_P+1)-INDEX(CdP,1,i_P+0))*(t-pas/2-T_ini-INDEX(CdP,1,i_P+0))+INDEX(CdP,2,i_P+0)</f>
        <v>1266.432</v>
      </c>
      <c r="R13" s="396" t="n">
        <f aca="false">Poussee/(g*ISP)</f>
        <v>0.622364890674702</v>
      </c>
      <c r="S13" s="398" t="n">
        <f aca="false">S12-Débit*pas</f>
        <v>9.38237148235582</v>
      </c>
      <c r="T13" s="397" t="n">
        <f aca="false">m*g</f>
        <v>92.0410642419106</v>
      </c>
      <c r="U13" s="400" t="n">
        <f aca="false">IF(pos_xz&lt;L_rampe,Poids*COS(Beta),0)</f>
        <v>15.9827630761327</v>
      </c>
      <c r="V13" s="396" t="n">
        <f aca="false">Rho_moyen*(20000-Alt_rampe-pos_z)/(20000+Alt_rampe+pos_z)</f>
        <v>1.22495263391694</v>
      </c>
      <c r="W13" s="397" t="n">
        <f aca="false">1/2*Rho*Sref*Cx*vit_xz^2</f>
        <v>0.448861139518686</v>
      </c>
      <c r="Y13" s="401" t="str">
        <f aca="false">IF(AND(pos_z&lt;=0,K12&gt;0),"Impact balistique","") &amp; IF(AND(H14&lt;0,vit_z&gt;=0),"Apogée","") &amp; IF(AND(Poussee=0,Q12&gt;0),"Fin de propulsion","") &amp; IF(AND(L14&gt;L_rampe,pos_xz&lt;=L_rampe),"Sortie de rampe","")</f>
        <v/>
      </c>
      <c r="Z13" s="402" t="str">
        <f aca="false">IF(ABS(t-T_para)&lt;pas/2,"Para","")</f>
        <v/>
      </c>
      <c r="AA13" s="403" t="str">
        <f aca="false">IF(ABS(t-T_satellite)&lt;pas/2,"Satellite","")</f>
        <v/>
      </c>
      <c r="AC13" s="399" t="e">
        <f aca="false">IF(ABS(t-ROUND(t,0))&lt;0.001,t,NA())</f>
        <v>#N/A</v>
      </c>
      <c r="AD13" s="404" t="e">
        <f aca="false">IF(ABS(t-ROUND(t,0))&lt;0.001,pos_x,NA())</f>
        <v>#N/A</v>
      </c>
      <c r="AE13" s="405" t="n">
        <f aca="false">IF(t&lt;T_para, pos_z, NA())</f>
        <v>0.386669378019447</v>
      </c>
      <c r="AG13" s="396" t="n">
        <f aca="false">IF(AND(L12&lt;L_rampe,Poussee&lt;Poids*SIN(M12)),0,(-W12+Poussee)/m-Poids*SIN(M12)/m)</f>
        <v>125.282517530627</v>
      </c>
      <c r="AH13" s="397" t="n">
        <f aca="false">IF(AND(L12&lt;L_rampe,Poussee&lt;Poids*SIN(M12)), g*SIN(M12), (-W12+Poussee)/m)</f>
        <v>134.943481587677</v>
      </c>
    </row>
    <row r="14" customFormat="false" ht="12.75" hidden="false" customHeight="false" outlineLevel="0" collapsed="false">
      <c r="A14" s="396" t="n">
        <f aca="false">IF(B13+0.01&lt;=T_ini+ROUNDUP(Temps_fin_propu,0), 0.01, IF(K13&gt;0, 0.1, 0.0001))</f>
        <v>0.01</v>
      </c>
      <c r="B14" s="397" t="n">
        <f aca="false">B13+pas</f>
        <v>0.1</v>
      </c>
      <c r="D14" s="396" t="n">
        <f aca="false">IF(AND(L13&lt;L_rampe,Poussee&lt;Poids*SIN(M13)),0,(-W13+Poussee)/m*COS(M13)-U13/m*SIN(M13))</f>
        <v>21.9286221087043</v>
      </c>
      <c r="E14" s="398" t="n">
        <f aca="false">IF(AND(L13&lt;L_rampe,Poussee&lt;Poids*SIN(M13)),0,(-W13+Poussee)/m*SIN(M13)+U13/m*COS(M13)-Poids/m)</f>
        <v>124.369952244955</v>
      </c>
      <c r="F14" s="397" t="n">
        <f aca="false">SQRT(acc_x^2+acc_z^2)</f>
        <v>126.288358485645</v>
      </c>
      <c r="G14" s="396" t="n">
        <f aca="false">G13+acc_x*pas</f>
        <v>1.93277148554477</v>
      </c>
      <c r="H14" s="398" t="n">
        <f aca="false">H13+acc_z*pas</f>
        <v>10.9618750529858</v>
      </c>
      <c r="I14" s="397" t="n">
        <f aca="false">SQRT(vit_x^2+vit_z^2)</f>
        <v>11.1309617865038</v>
      </c>
      <c r="J14" s="396" t="n">
        <f aca="false">J13+0.5*(vit_x+G13)*pas*(K13&gt;=0)</f>
        <v>0.0864078573065882</v>
      </c>
      <c r="K14" s="398" t="n">
        <f aca="false">K13+0.5*(vit_z+H13)*pas</f>
        <v>0.490069630937058</v>
      </c>
      <c r="L14" s="397" t="n">
        <f aca="false">SQRT(pos_x^2+pos_z^2)</f>
        <v>0.497628939041028</v>
      </c>
      <c r="M14" s="396" t="n">
        <f aca="false">IF(AND(L13&gt;L_rampe,G14&gt;0),ATAN2(G14,H14),$M$4)</f>
        <v>1.39626340159546</v>
      </c>
      <c r="N14" s="397" t="n">
        <f aca="false">DEGREES(Beta)</f>
        <v>80</v>
      </c>
      <c r="P14" s="399" t="n">
        <f aca="false">MATCH(t-pas/2-T_ini,CdP_t)</f>
        <v>4</v>
      </c>
      <c r="Q14" s="397" t="n">
        <f aca="false">(INDEX(CdP,2,i_P+1)-INDEX(CdP,2,i_P+0))/(INDEX(CdP,1,i_P+1)-INDEX(CdP,1,i_P+0))*(t-pas/2-T_ini-INDEX(CdP,1,i_P+0))+INDEX(CdP,2,i_P+0)</f>
        <v>1275.124</v>
      </c>
      <c r="R14" s="396" t="n">
        <f aca="false">Poussee/(g*ISP)</f>
        <v>0.62663641542277</v>
      </c>
      <c r="S14" s="398" t="n">
        <f aca="false">S13-Débit*pas</f>
        <v>9.3761051182016</v>
      </c>
      <c r="T14" s="397" t="n">
        <f aca="false">m*g</f>
        <v>91.9795912095577</v>
      </c>
      <c r="U14" s="400" t="n">
        <f aca="false">IF(pos_xz&lt;L_rampe,Poids*COS(Beta),0)</f>
        <v>15.9720883960889</v>
      </c>
      <c r="V14" s="396" t="n">
        <f aca="false">Rho_moyen*(20000-Alt_rampe-pos_z)/(20000+Alt_rampe+pos_z)</f>
        <v>1.2249399679412</v>
      </c>
      <c r="W14" s="397" t="n">
        <f aca="false">1/2*Rho*Sref*Cx*vit_xz^2</f>
        <v>0.571094181756921</v>
      </c>
      <c r="Y14" s="401" t="str">
        <f aca="false">IF(AND(pos_z&lt;=0,K13&gt;0),"Impact balistique","") &amp; IF(AND(H15&lt;0,vit_z&gt;=0),"Apogée","") &amp; IF(AND(Poussee=0,Q13&gt;0),"Fin de propulsion","") &amp; IF(AND(L15&gt;L_rampe,pos_xz&lt;=L_rampe),"Sortie de rampe","")</f>
        <v/>
      </c>
      <c r="Z14" s="402" t="str">
        <f aca="false">IF(ABS(t-T_para)&lt;pas/2,"Para","")</f>
        <v/>
      </c>
      <c r="AA14" s="403" t="str">
        <f aca="false">IF(ABS(t-T_satellite)&lt;pas/2,"Satellite","")</f>
        <v/>
      </c>
      <c r="AC14" s="399" t="e">
        <f aca="false">IF(ABS(t-ROUND(t,0))&lt;0.001,t,NA())</f>
        <v>#N/A</v>
      </c>
      <c r="AD14" s="404" t="e">
        <f aca="false">IF(ABS(t-ROUND(t,0))&lt;0.001,pos_x,NA())</f>
        <v>#N/A</v>
      </c>
      <c r="AE14" s="405" t="n">
        <f aca="false">IF(t&lt;T_para, pos_z, NA())</f>
        <v>0.490069630937058</v>
      </c>
      <c r="AG14" s="396" t="n">
        <f aca="false">IF(AND(L13&lt;L_rampe,Poussee&lt;Poids*SIN(M13)),0,(-W13+Poussee)/m-Poids*SIN(M13)/m)</f>
        <v>126.288358480513</v>
      </c>
      <c r="AH14" s="397" t="n">
        <f aca="false">IF(AND(L13&lt;L_rampe,Poussee&lt;Poids*SIN(M13)), g*SIN(M13), (-W13+Poussee)/m)</f>
        <v>135.949322537563</v>
      </c>
    </row>
    <row r="15" customFormat="false" ht="12.75" hidden="false" customHeight="false" outlineLevel="0" collapsed="false">
      <c r="A15" s="396" t="n">
        <f aca="false">IF(B14+0.01&lt;=T_ini+ROUNDUP(Temps_fin_propu,0), 0.01, IF(K14&gt;0, 0.1, 0.0001))</f>
        <v>0.01</v>
      </c>
      <c r="B15" s="397" t="n">
        <f aca="false">B14+pas</f>
        <v>0.11</v>
      </c>
      <c r="D15" s="396" t="n">
        <f aca="false">IF(AND(L14&lt;L_rampe,Poussee&lt;Poids*SIN(M14)),0,(-W14+Poussee)/m*COS(M14)-U14/m*SIN(M14))</f>
        <v>22.0523340682939</v>
      </c>
      <c r="E15" s="398" t="n">
        <f aca="false">IF(AND(L14&lt;L_rampe,Poussee&lt;Poids*SIN(M14)),0,(-W14+Poussee)/m*SIN(M14)+U14/m*COS(M14)-Poids/m)</f>
        <v>125.071592610171</v>
      </c>
      <c r="F15" s="397" t="n">
        <f aca="false">SQRT(acc_x^2+acc_z^2)</f>
        <v>127.0008217135</v>
      </c>
      <c r="G15" s="396" t="n">
        <f aca="false">G14+acc_x*pas</f>
        <v>2.15329482622771</v>
      </c>
      <c r="H15" s="398" t="n">
        <f aca="false">H14+acc_z*pas</f>
        <v>12.2125909790876</v>
      </c>
      <c r="I15" s="397" t="n">
        <f aca="false">SQRT(vit_x^2+vit_z^2)</f>
        <v>12.4009700036388</v>
      </c>
      <c r="J15" s="396" t="n">
        <f aca="false">J14+0.5*(vit_x+G14)*pas*(K14&gt;=0)</f>
        <v>0.106838188865451</v>
      </c>
      <c r="K15" s="398" t="n">
        <f aca="false">K14+0.5*(vit_z+H14)*pas</f>
        <v>0.605941961097425</v>
      </c>
      <c r="L15" s="397" t="n">
        <f aca="false">SQRT(pos_x^2+pos_z^2)</f>
        <v>0.615288597991741</v>
      </c>
      <c r="M15" s="396" t="n">
        <f aca="false">IF(AND(L14&gt;L_rampe,G15&gt;0),ATAN2(G15,H15),$M$4)</f>
        <v>1.39626340159546</v>
      </c>
      <c r="N15" s="397" t="n">
        <f aca="false">DEGREES(Beta)</f>
        <v>80</v>
      </c>
      <c r="P15" s="399" t="n">
        <f aca="false">MATCH(t-pas/2-T_ini,CdP_t)</f>
        <v>5</v>
      </c>
      <c r="Q15" s="397" t="n">
        <f aca="false">(INDEX(CdP,2,i_P+1)-INDEX(CdP,2,i_P+0))/(INDEX(CdP,1,i_P+1)-INDEX(CdP,1,i_P+0))*(t-pas/2-T_ini-INDEX(CdP,1,i_P+0))+INDEX(CdP,2,i_P+0)</f>
        <v>1281.066</v>
      </c>
      <c r="R15" s="396" t="n">
        <f aca="false">Poussee/(g*ISP)</f>
        <v>0.629556502865593</v>
      </c>
      <c r="S15" s="398" t="n">
        <f aca="false">S14-Débit*pas</f>
        <v>9.36980955317294</v>
      </c>
      <c r="T15" s="397" t="n">
        <f aca="false">m*g</f>
        <v>91.9178317166266</v>
      </c>
      <c r="U15" s="400" t="n">
        <f aca="false">IF(pos_xz&lt;L_rampe,Poids*COS(Beta),0)</f>
        <v>15.9613639726878</v>
      </c>
      <c r="V15" s="396" t="n">
        <f aca="false">Rho_moyen*(20000-Alt_rampe-pos_z)/(20000+Alt_rampe+pos_z)</f>
        <v>1.22492577435859</v>
      </c>
      <c r="W15" s="397" t="n">
        <f aca="false">1/2*Rho*Sref*Cx*vit_xz^2</f>
        <v>0.708840680434774</v>
      </c>
      <c r="Y15" s="401" t="str">
        <f aca="false">IF(AND(pos_z&lt;=0,K14&gt;0),"Impact balistique","") &amp; IF(AND(H16&lt;0,vit_z&gt;=0),"Apogée","") &amp; IF(AND(Poussee=0,Q14&gt;0),"Fin de propulsion","") &amp; IF(AND(L16&gt;L_rampe,pos_xz&lt;=L_rampe),"Sortie de rampe","")</f>
        <v/>
      </c>
      <c r="Z15" s="402" t="str">
        <f aca="false">IF(ABS(t-T_para)&lt;pas/2,"Para","")</f>
        <v/>
      </c>
      <c r="AA15" s="403" t="str">
        <f aca="false">IF(ABS(t-T_satellite)&lt;pas/2,"Satellite","")</f>
        <v/>
      </c>
      <c r="AC15" s="399" t="e">
        <f aca="false">IF(ABS(t-ROUND(t,0))&lt;0.001,t,NA())</f>
        <v>#N/A</v>
      </c>
      <c r="AD15" s="404" t="e">
        <f aca="false">IF(ABS(t-ROUND(t,0))&lt;0.001,pos_x,NA())</f>
        <v>#N/A</v>
      </c>
      <c r="AE15" s="405" t="n">
        <f aca="false">IF(t&lt;T_para, pos_z, NA())</f>
        <v>0.605941961097425</v>
      </c>
      <c r="AG15" s="396" t="n">
        <f aca="false">IF(AND(L14&lt;L_rampe,Poussee&lt;Poids*SIN(M14)),0,(-W14+Poussee)/m-Poids*SIN(M14)/m)</f>
        <v>127.000821708342</v>
      </c>
      <c r="AH15" s="397" t="n">
        <f aca="false">IF(AND(L14&lt;L_rampe,Poussee&lt;Poids*SIN(M14)), g*SIN(M14), (-W14+Poussee)/m)</f>
        <v>136.661785765392</v>
      </c>
    </row>
    <row r="16" customFormat="false" ht="12.75" hidden="false" customHeight="false" outlineLevel="0" collapsed="false">
      <c r="A16" s="396" t="n">
        <f aca="false">IF(B15+0.01&lt;=T_ini+ROUNDUP(Temps_fin_propu,0), 0.01, IF(K15&gt;0, 0.1, 0.0001))</f>
        <v>0.01</v>
      </c>
      <c r="B16" s="397" t="n">
        <f aca="false">B15+pas</f>
        <v>0.12</v>
      </c>
      <c r="D16" s="396" t="n">
        <f aca="false">IF(AND(L15&lt;L_rampe,Poussee&lt;Poids*SIN(M15)),0,(-W15+Poussee)/m*COS(M15)-U15/m*SIN(M15))</f>
        <v>22.1249676989273</v>
      </c>
      <c r="E16" s="398" t="n">
        <f aca="false">IF(AND(L15&lt;L_rampe,Poussee&lt;Poids*SIN(M15)),0,(-W15+Poussee)/m*SIN(M15)+U15/m*COS(M15)-Poids/m)</f>
        <v>125.483539276327</v>
      </c>
      <c r="F16" s="397" t="n">
        <f aca="false">SQRT(acc_x^2+acc_z^2)</f>
        <v>127.41912268177</v>
      </c>
      <c r="G16" s="396" t="n">
        <f aca="false">G15+acc_x*pas</f>
        <v>2.37454450321698</v>
      </c>
      <c r="H16" s="398" t="n">
        <f aca="false">H15+acc_z*pas</f>
        <v>13.4674263718508</v>
      </c>
      <c r="I16" s="397" t="n">
        <f aca="false">SQRT(vit_x^2+vit_z^2)</f>
        <v>13.6751612304565</v>
      </c>
      <c r="J16" s="396" t="n">
        <f aca="false">J15+0.5*(vit_x+G15)*pas*(K15&gt;=0)</f>
        <v>0.129477385512674</v>
      </c>
      <c r="K16" s="398" t="n">
        <f aca="false">K15+0.5*(vit_z+H15)*pas</f>
        <v>0.734342047852116</v>
      </c>
      <c r="L16" s="397" t="n">
        <f aca="false">SQRT(pos_x^2+pos_z^2)</f>
        <v>0.745669254162217</v>
      </c>
      <c r="M16" s="396" t="n">
        <f aca="false">IF(AND(L15&gt;L_rampe,G16&gt;0),ATAN2(G16,H16),$M$4)</f>
        <v>1.39626340159546</v>
      </c>
      <c r="N16" s="397" t="n">
        <f aca="false">DEGREES(Beta)</f>
        <v>80</v>
      </c>
      <c r="P16" s="399" t="n">
        <f aca="false">MATCH(t-pas/2-T_ini,CdP_t)</f>
        <v>5</v>
      </c>
      <c r="Q16" s="397" t="n">
        <f aca="false">(INDEX(CdP,2,i_P+1)-INDEX(CdP,2,i_P+0))/(INDEX(CdP,1,i_P+1)-INDEX(CdP,1,i_P+0))*(t-pas/2-T_ini-INDEX(CdP,1,i_P+0))+INDEX(CdP,2,i_P+0)</f>
        <v>1284.258</v>
      </c>
      <c r="R16" s="396" t="n">
        <f aca="false">Poussee/(g*ISP)</f>
        <v>0.631125153003171</v>
      </c>
      <c r="S16" s="398" t="n">
        <f aca="false">S15-Débit*pas</f>
        <v>9.36349830164291</v>
      </c>
      <c r="T16" s="397" t="n">
        <f aca="false">m*g</f>
        <v>91.8559183391169</v>
      </c>
      <c r="U16" s="400" t="n">
        <f aca="false">IF(pos_xz&lt;L_rampe,Poids*COS(Beta),0)</f>
        <v>15.95061282751</v>
      </c>
      <c r="V16" s="396" t="n">
        <f aca="false">Rho_moyen*(20000-Alt_rampe-pos_z)/(20000+Alt_rampe+pos_z)</f>
        <v>1.22491004640197</v>
      </c>
      <c r="W16" s="397" t="n">
        <f aca="false">1/2*Rho*Sref*Cx*vit_xz^2</f>
        <v>0.86197893802732</v>
      </c>
      <c r="Y16" s="401" t="str">
        <f aca="false">IF(AND(pos_z&lt;=0,K15&gt;0),"Impact balistique","") &amp; IF(AND(H17&lt;0,vit_z&gt;=0),"Apogée","") &amp; IF(AND(Poussee=0,Q15&gt;0),"Fin de propulsion","") &amp; IF(AND(L17&gt;L_rampe,pos_xz&lt;=L_rampe),"Sortie de rampe","")</f>
        <v/>
      </c>
      <c r="Z16" s="402" t="str">
        <f aca="false">IF(ABS(t-T_para)&lt;pas/2,"Para","")</f>
        <v/>
      </c>
      <c r="AA16" s="403" t="str">
        <f aca="false">IF(ABS(t-T_satellite)&lt;pas/2,"Satellite","")</f>
        <v/>
      </c>
      <c r="AC16" s="399" t="e">
        <f aca="false">IF(ABS(t-ROUND(t,0))&lt;0.001,t,NA())</f>
        <v>#N/A</v>
      </c>
      <c r="AD16" s="404" t="e">
        <f aca="false">IF(ABS(t-ROUND(t,0))&lt;0.001,pos_x,NA())</f>
        <v>#N/A</v>
      </c>
      <c r="AE16" s="405" t="n">
        <f aca="false">IF(t&lt;T_para, pos_z, NA())</f>
        <v>0.734342047852116</v>
      </c>
      <c r="AG16" s="396" t="n">
        <f aca="false">IF(AND(L15&lt;L_rampe,Poussee&lt;Poids*SIN(M15)),0,(-W15+Poussee)/m-Poids*SIN(M15)/m)</f>
        <v>127.419122676597</v>
      </c>
      <c r="AH16" s="397" t="n">
        <f aca="false">IF(AND(L15&lt;L_rampe,Poussee&lt;Poids*SIN(M15)), g*SIN(M15), (-W15+Poussee)/m)</f>
        <v>137.080086733647</v>
      </c>
    </row>
    <row r="17" customFormat="false" ht="12.75" hidden="false" customHeight="false" outlineLevel="0" collapsed="false">
      <c r="A17" s="396" t="n">
        <f aca="false">IF(B16+0.01&lt;=T_ini+ROUNDUP(Temps_fin_propu,0), 0.01, IF(K16&gt;0, 0.1, 0.0001))</f>
        <v>0.01</v>
      </c>
      <c r="B17" s="397" t="n">
        <f aca="false">B16+pas</f>
        <v>0.13</v>
      </c>
      <c r="D17" s="396" t="n">
        <f aca="false">IF(AND(L16&lt;L_rampe,Poussee&lt;Poids*SIN(M16)),0,(-W16+Poussee)/m*COS(M16)-U16/m*SIN(M16))</f>
        <v>22.1974536979645</v>
      </c>
      <c r="E17" s="398" t="n">
        <f aca="false">IF(AND(L16&lt;L_rampe,Poussee&lt;Poids*SIN(M16)),0,(-W16+Poussee)/m*SIN(M16)+U16/m*COS(M16)-Poids/m)</f>
        <v>125.894648721378</v>
      </c>
      <c r="F17" s="397" t="n">
        <f aca="false">SQRT(acc_x^2+acc_z^2)</f>
        <v>127.836573512248</v>
      </c>
      <c r="G17" s="396" t="n">
        <f aca="false">G16+acc_x*pas</f>
        <v>2.59651904019663</v>
      </c>
      <c r="H17" s="398" t="n">
        <f aca="false">H16+acc_z*pas</f>
        <v>14.7263728590646</v>
      </c>
      <c r="I17" s="397" t="n">
        <f aca="false">SQRT(vit_x^2+vit_z^2)</f>
        <v>14.953526965579</v>
      </c>
      <c r="J17" s="396" t="n">
        <f aca="false">J16+0.5*(vit_x+G16)*pas*(K16&gt;=0)</f>
        <v>0.154332703229742</v>
      </c>
      <c r="K17" s="398" t="n">
        <f aca="false">K16+0.5*(vit_z+H16)*pas</f>
        <v>0.875311044006693</v>
      </c>
      <c r="L17" s="397" t="n">
        <f aca="false">SQRT(pos_x^2+pos_z^2)</f>
        <v>0.888812695142395</v>
      </c>
      <c r="M17" s="396" t="n">
        <f aca="false">IF(AND(L16&gt;L_rampe,G17&gt;0),ATAN2(G17,H17),$M$4)</f>
        <v>1.39626340159546</v>
      </c>
      <c r="N17" s="397" t="n">
        <f aca="false">DEGREES(Beta)</f>
        <v>80</v>
      </c>
      <c r="P17" s="399" t="n">
        <f aca="false">MATCH(t-pas/2-T_ini,CdP_t)</f>
        <v>5</v>
      </c>
      <c r="Q17" s="397" t="n">
        <f aca="false">(INDEX(CdP,2,i_P+1)-INDEX(CdP,2,i_P+0))/(INDEX(CdP,1,i_P+1)-INDEX(CdP,1,i_P+0))*(t-pas/2-T_ini-INDEX(CdP,1,i_P+0))+INDEX(CdP,2,i_P+0)</f>
        <v>1287.45</v>
      </c>
      <c r="R17" s="396" t="n">
        <f aca="false">Poussee/(g*ISP)</f>
        <v>0.632693803140749</v>
      </c>
      <c r="S17" s="398" t="n">
        <f aca="false">S16-Débit*pas</f>
        <v>9.3571713636115</v>
      </c>
      <c r="T17" s="397" t="n">
        <f aca="false">m*g</f>
        <v>91.7938510770288</v>
      </c>
      <c r="U17" s="400" t="n">
        <f aca="false">IF(pos_xz&lt;L_rampe,Poids*COS(Beta),0)</f>
        <v>15.9398349605557</v>
      </c>
      <c r="V17" s="396" t="n">
        <f aca="false">Rho_moyen*(20000-Alt_rampe-pos_z)/(20000+Alt_rampe+pos_z)</f>
        <v>1.22489277908969</v>
      </c>
      <c r="W17" s="397" t="n">
        <f aca="false">1/2*Rho*Sref*Cx*vit_xz^2</f>
        <v>1.03065401084692</v>
      </c>
      <c r="Y17" s="401" t="str">
        <f aca="false">IF(AND(pos_z&lt;=0,K16&gt;0),"Impact balistique","") &amp; IF(AND(H18&lt;0,vit_z&gt;=0),"Apogée","") &amp; IF(AND(Poussee=0,Q16&gt;0),"Fin de propulsion","") &amp; IF(AND(L18&gt;L_rampe,pos_xz&lt;=L_rampe),"Sortie de rampe","")</f>
        <v/>
      </c>
      <c r="Z17" s="402" t="str">
        <f aca="false">IF(ABS(t-T_para)&lt;pas/2,"Para","")</f>
        <v/>
      </c>
      <c r="AA17" s="403" t="str">
        <f aca="false">IF(ABS(t-T_satellite)&lt;pas/2,"Satellite","")</f>
        <v/>
      </c>
      <c r="AC17" s="399" t="e">
        <f aca="false">IF(ABS(t-ROUND(t,0))&lt;0.001,t,NA())</f>
        <v>#N/A</v>
      </c>
      <c r="AD17" s="404" t="e">
        <f aca="false">IF(ABS(t-ROUND(t,0))&lt;0.001,pos_x,NA())</f>
        <v>#N/A</v>
      </c>
      <c r="AE17" s="405" t="n">
        <f aca="false">IF(t&lt;T_para, pos_z, NA())</f>
        <v>0.875311044006693</v>
      </c>
      <c r="AG17" s="396" t="n">
        <f aca="false">IF(AND(L16&lt;L_rampe,Poussee&lt;Poids*SIN(M16)),0,(-W16+Poussee)/m-Poids*SIN(M16)/m)</f>
        <v>127.836573507059</v>
      </c>
      <c r="AH17" s="397" t="n">
        <f aca="false">IF(AND(L16&lt;L_rampe,Poussee&lt;Poids*SIN(M16)), g*SIN(M16), (-W16+Poussee)/m)</f>
        <v>137.497537564109</v>
      </c>
    </row>
    <row r="18" customFormat="false" ht="12.75" hidden="false" customHeight="false" outlineLevel="0" collapsed="false">
      <c r="A18" s="396" t="n">
        <f aca="false">IF(B17+0.01&lt;=T_ini+ROUNDUP(Temps_fin_propu,0), 0.01, IF(K17&gt;0, 0.1, 0.0001))</f>
        <v>0.01</v>
      </c>
      <c r="B18" s="397" t="n">
        <f aca="false">B17+pas</f>
        <v>0.14</v>
      </c>
      <c r="D18" s="396" t="n">
        <f aca="false">IF(AND(L17&lt;L_rampe,Poussee&lt;Poids*SIN(M17)),0,(-W17+Poussee)/m*COS(M17)-U17/m*SIN(M17))</f>
        <v>22.2697894367853</v>
      </c>
      <c r="E18" s="398" t="n">
        <f aca="false">IF(AND(L17&lt;L_rampe,Poussee&lt;Poids*SIN(M17)),0,(-W17+Poussee)/m*SIN(M17)+U17/m*COS(M17)-Poids/m)</f>
        <v>126.304906037862</v>
      </c>
      <c r="F18" s="397" t="n">
        <f aca="false">SQRT(acc_x^2+acc_z^2)</f>
        <v>128.253159067494</v>
      </c>
      <c r="G18" s="396" t="n">
        <f aca="false">G17+acc_x*pas</f>
        <v>2.81921693456448</v>
      </c>
      <c r="H18" s="398" t="n">
        <f aca="false">H17+acc_z*pas</f>
        <v>15.9894219194432</v>
      </c>
      <c r="I18" s="397" t="n">
        <f aca="false">SQRT(vit_x^2+vit_z^2)</f>
        <v>16.2360585562539</v>
      </c>
      <c r="J18" s="396" t="n">
        <f aca="false">J17+0.5*(vit_x+G17)*pas*(K17&gt;=0)</f>
        <v>0.181411383103548</v>
      </c>
      <c r="K18" s="398" t="n">
        <f aca="false">K17+0.5*(vit_z+H17)*pas</f>
        <v>1.02889001789923</v>
      </c>
      <c r="L18" s="397" t="n">
        <f aca="false">SQRT(pos_x^2+pos_z^2)</f>
        <v>1.04476062275156</v>
      </c>
      <c r="M18" s="396" t="n">
        <f aca="false">IF(AND(L17&gt;L_rampe,G18&gt;0),ATAN2(G18,H18),$M$4)</f>
        <v>1.39626340159546</v>
      </c>
      <c r="N18" s="397" t="n">
        <f aca="false">DEGREES(Beta)</f>
        <v>80</v>
      </c>
      <c r="P18" s="399" t="n">
        <f aca="false">MATCH(t-pas/2-T_ini,CdP_t)</f>
        <v>5</v>
      </c>
      <c r="Q18" s="397" t="n">
        <f aca="false">(INDEX(CdP,2,i_P+1)-INDEX(CdP,2,i_P+0))/(INDEX(CdP,1,i_P+1)-INDEX(CdP,1,i_P+0))*(t-pas/2-T_ini-INDEX(CdP,1,i_P+0))+INDEX(CdP,2,i_P+0)</f>
        <v>1290.642</v>
      </c>
      <c r="R18" s="396" t="n">
        <f aca="false">Poussee/(g*ISP)</f>
        <v>0.634262453278328</v>
      </c>
      <c r="S18" s="398" t="n">
        <f aca="false">S17-Débit*pas</f>
        <v>9.35082873907872</v>
      </c>
      <c r="T18" s="397" t="n">
        <f aca="false">m*g</f>
        <v>91.7316299303622</v>
      </c>
      <c r="U18" s="400" t="n">
        <f aca="false">IF(pos_xz&lt;L_rampe,Poids*COS(Beta),0)</f>
        <v>15.9290303718247</v>
      </c>
      <c r="V18" s="396" t="n">
        <f aca="false">Rho_moyen*(20000-Alt_rampe-pos_z)/(20000+Alt_rampe+pos_z)</f>
        <v>1.22487396745649</v>
      </c>
      <c r="W18" s="397" t="n">
        <f aca="false">1/2*Rho*Sref*Cx*vit_xz^2</f>
        <v>1.21501088672691</v>
      </c>
      <c r="Y18" s="401" t="str">
        <f aca="false">IF(AND(pos_z&lt;=0,K17&gt;0),"Impact balistique","") &amp; IF(AND(H19&lt;0,vit_z&gt;=0),"Apogée","") &amp; IF(AND(Poussee=0,Q17&gt;0),"Fin de propulsion","") &amp; IF(AND(L19&gt;L_rampe,pos_xz&lt;=L_rampe),"Sortie de rampe","")</f>
        <v/>
      </c>
      <c r="Z18" s="402" t="str">
        <f aca="false">IF(ABS(t-T_para)&lt;pas/2,"Para","")</f>
        <v/>
      </c>
      <c r="AA18" s="403" t="str">
        <f aca="false">IF(ABS(t-T_satellite)&lt;pas/2,"Satellite","")</f>
        <v/>
      </c>
      <c r="AC18" s="399" t="e">
        <f aca="false">IF(ABS(t-ROUND(t,0))&lt;0.001,t,NA())</f>
        <v>#N/A</v>
      </c>
      <c r="AD18" s="404" t="e">
        <f aca="false">IF(ABS(t-ROUND(t,0))&lt;0.001,pos_x,NA())</f>
        <v>#N/A</v>
      </c>
      <c r="AE18" s="405" t="n">
        <f aca="false">IF(t&lt;T_para, pos_z, NA())</f>
        <v>1.02889001789923</v>
      </c>
      <c r="AG18" s="396" t="n">
        <f aca="false">IF(AND(L17&lt;L_rampe,Poussee&lt;Poids*SIN(M17)),0,(-W17+Poussee)/m-Poids*SIN(M17)/m)</f>
        <v>128.253159062289</v>
      </c>
      <c r="AH18" s="397" t="n">
        <f aca="false">IF(AND(L17&lt;L_rampe,Poussee&lt;Poids*SIN(M17)), g*SIN(M17), (-W17+Poussee)/m)</f>
        <v>137.914123119339</v>
      </c>
    </row>
    <row r="19" customFormat="false" ht="12.75" hidden="false" customHeight="false" outlineLevel="0" collapsed="false">
      <c r="A19" s="396" t="n">
        <f aca="false">IF(B18+0.01&lt;=T_ini+ROUNDUP(Temps_fin_propu,0), 0.01, IF(K18&gt;0, 0.1, 0.0001))</f>
        <v>0.01</v>
      </c>
      <c r="B19" s="397" t="n">
        <f aca="false">B18+pas</f>
        <v>0.15</v>
      </c>
      <c r="D19" s="396" t="n">
        <f aca="false">IF(AND(L18&lt;L_rampe,Poussee&lt;Poids*SIN(M18)),0,(-W18+Poussee)/m*COS(M18)-U18/m*SIN(M18))</f>
        <v>22.3419722794006</v>
      </c>
      <c r="E19" s="398" t="n">
        <f aca="false">IF(AND(L18&lt;L_rampe,Poussee&lt;Poids*SIN(M18)),0,(-W18+Poussee)/m*SIN(M18)+U18/m*COS(M18)-Poids/m)</f>
        <v>126.714296276529</v>
      </c>
      <c r="F19" s="397" t="n">
        <f aca="false">SQRT(acc_x^2+acc_z^2)</f>
        <v>128.668864167636</v>
      </c>
      <c r="G19" s="396" t="n">
        <f aca="false">G18+acc_x*pas</f>
        <v>3.04263665735849</v>
      </c>
      <c r="H19" s="398" t="n">
        <f aca="false">H18+acc_z*pas</f>
        <v>17.2565648822085</v>
      </c>
      <c r="I19" s="397" t="n">
        <f aca="false">SQRT(vit_x^2+vit_z^2)</f>
        <v>17.5227471979303</v>
      </c>
      <c r="J19" s="396" t="n">
        <f aca="false">J18+0.5*(vit_x+G18)*pas*(K18&gt;=0)</f>
        <v>0.210720651063163</v>
      </c>
      <c r="K19" s="398" t="n">
        <f aca="false">K18+0.5*(vit_z+H18)*pas</f>
        <v>1.19511995190749</v>
      </c>
      <c r="L19" s="397" t="n">
        <f aca="false">SQRT(pos_x^2+pos_z^2)</f>
        <v>1.21355465152248</v>
      </c>
      <c r="M19" s="396" t="n">
        <f aca="false">IF(AND(L18&gt;L_rampe,G19&gt;0),ATAN2(G19,H19),$M$4)</f>
        <v>1.39626340159546</v>
      </c>
      <c r="N19" s="397" t="n">
        <f aca="false">DEGREES(Beta)</f>
        <v>80</v>
      </c>
      <c r="P19" s="399" t="n">
        <f aca="false">MATCH(t-pas/2-T_ini,CdP_t)</f>
        <v>5</v>
      </c>
      <c r="Q19" s="397" t="n">
        <f aca="false">(INDEX(CdP,2,i_P+1)-INDEX(CdP,2,i_P+0))/(INDEX(CdP,1,i_P+1)-INDEX(CdP,1,i_P+0))*(t-pas/2-T_ini-INDEX(CdP,1,i_P+0))+INDEX(CdP,2,i_P+0)</f>
        <v>1293.834</v>
      </c>
      <c r="R19" s="396" t="n">
        <f aca="false">Poussee/(g*ISP)</f>
        <v>0.635831103415906</v>
      </c>
      <c r="S19" s="398" t="n">
        <f aca="false">S18-Débit*pas</f>
        <v>9.34447042804456</v>
      </c>
      <c r="T19" s="397" t="n">
        <f aca="false">m*g</f>
        <v>91.6692548991171</v>
      </c>
      <c r="U19" s="400" t="n">
        <f aca="false">IF(pos_xz&lt;L_rampe,Poids*COS(Beta),0)</f>
        <v>15.918199061317</v>
      </c>
      <c r="V19" s="396" t="n">
        <f aca="false">Rho_moyen*(20000-Alt_rampe-pos_z)/(20000+Alt_rampe+pos_z)</f>
        <v>1.22485360655378</v>
      </c>
      <c r="W19" s="397" t="n">
        <f aca="false">1/2*Rho*Sref*Cx*vit_xz^2</f>
        <v>1.41519447024087</v>
      </c>
      <c r="Y19" s="401" t="str">
        <f aca="false">IF(AND(pos_z&lt;=0,K18&gt;0),"Impact balistique","") &amp; IF(AND(H20&lt;0,vit_z&gt;=0),"Apogée","") &amp; IF(AND(Poussee=0,Q18&gt;0),"Fin de propulsion","") &amp; IF(AND(L20&gt;L_rampe,pos_xz&lt;=L_rampe),"Sortie de rampe","")</f>
        <v/>
      </c>
      <c r="Z19" s="402" t="str">
        <f aca="false">IF(ABS(t-T_para)&lt;pas/2,"Para","")</f>
        <v/>
      </c>
      <c r="AA19" s="403" t="str">
        <f aca="false">IF(ABS(t-T_satellite)&lt;pas/2,"Satellite","")</f>
        <v/>
      </c>
      <c r="AC19" s="399" t="e">
        <f aca="false">IF(ABS(t-ROUND(t,0))&lt;0.001,t,NA())</f>
        <v>#N/A</v>
      </c>
      <c r="AD19" s="404" t="e">
        <f aca="false">IF(ABS(t-ROUND(t,0))&lt;0.001,pos_x,NA())</f>
        <v>#N/A</v>
      </c>
      <c r="AE19" s="405" t="n">
        <f aca="false">IF(t&lt;T_para, pos_z, NA())</f>
        <v>1.19511995190749</v>
      </c>
      <c r="AG19" s="396" t="n">
        <f aca="false">IF(AND(L18&lt;L_rampe,Poussee&lt;Poids*SIN(M18)),0,(-W18+Poussee)/m-Poids*SIN(M18)/m)</f>
        <v>128.668864162415</v>
      </c>
      <c r="AH19" s="397" t="n">
        <f aca="false">IF(AND(L18&lt;L_rampe,Poussee&lt;Poids*SIN(M18)), g*SIN(M18), (-W18+Poussee)/m)</f>
        <v>138.329828219465</v>
      </c>
    </row>
    <row r="20" customFormat="false" ht="12.75" hidden="false" customHeight="false" outlineLevel="0" collapsed="false">
      <c r="A20" s="396" t="n">
        <f aca="false">IF(B19+0.01&lt;=T_ini+ROUNDUP(Temps_fin_propu,0), 0.01, IF(K19&gt;0, 0.1, 0.0001))</f>
        <v>0.01</v>
      </c>
      <c r="B20" s="397" t="n">
        <f aca="false">B19+pas</f>
        <v>0.16</v>
      </c>
      <c r="D20" s="396" t="n">
        <f aca="false">IF(AND(L19&lt;L_rampe,Poussee&lt;Poids*SIN(M19)),0,(-W19+Poussee)/m*COS(M19)-U19/m*SIN(M19))</f>
        <v>22.413999582658</v>
      </c>
      <c r="E20" s="398" t="n">
        <f aca="false">IF(AND(L19&lt;L_rampe,Poussee&lt;Poids*SIN(M19)),0,(-W19+Poussee)/m*SIN(M19)+U19/m*COS(M19)-Poids/m)</f>
        <v>127.122804447505</v>
      </c>
      <c r="F20" s="397" t="n">
        <f aca="false">SQRT(acc_x^2+acc_z^2)</f>
        <v>129.083673591551</v>
      </c>
      <c r="G20" s="396" t="n">
        <f aca="false">G19+acc_x*pas</f>
        <v>3.26677665318507</v>
      </c>
      <c r="H20" s="398" t="n">
        <f aca="false">H19+acc_z*pas</f>
        <v>18.5277929266836</v>
      </c>
      <c r="I20" s="397" t="n">
        <f aca="false">SQRT(vit_x^2+vit_z^2)</f>
        <v>18.8135839338458</v>
      </c>
      <c r="J20" s="396" t="n">
        <f aca="false">J19+0.5*(vit_x+G19)*pas*(K19&gt;=0)</f>
        <v>0.24226771761588</v>
      </c>
      <c r="K20" s="398" t="n">
        <f aca="false">K19+0.5*(vit_z+H19)*pas</f>
        <v>1.37404174095195</v>
      </c>
      <c r="L20" s="397" t="n">
        <f aca="false">SQRT(pos_x^2+pos_z^2)</f>
        <v>1.39523630718136</v>
      </c>
      <c r="M20" s="396" t="n">
        <f aca="false">IF(AND(L19&gt;L_rampe,G20&gt;0),ATAN2(G20,H20),$M$4)</f>
        <v>1.39626340159546</v>
      </c>
      <c r="N20" s="397" t="n">
        <f aca="false">DEGREES(Beta)</f>
        <v>80</v>
      </c>
      <c r="P20" s="399" t="n">
        <f aca="false">MATCH(t-pas/2-T_ini,CdP_t)</f>
        <v>5</v>
      </c>
      <c r="Q20" s="397" t="n">
        <f aca="false">(INDEX(CdP,2,i_P+1)-INDEX(CdP,2,i_P+0))/(INDEX(CdP,1,i_P+1)-INDEX(CdP,1,i_P+0))*(t-pas/2-T_ini-INDEX(CdP,1,i_P+0))+INDEX(CdP,2,i_P+0)</f>
        <v>1297.026</v>
      </c>
      <c r="R20" s="396" t="n">
        <f aca="false">Poussee/(g*ISP)</f>
        <v>0.637399753553485</v>
      </c>
      <c r="S20" s="398" t="n">
        <f aca="false">S19-Débit*pas</f>
        <v>9.33809643050902</v>
      </c>
      <c r="T20" s="397" t="n">
        <f aca="false">m*g</f>
        <v>91.6067259832935</v>
      </c>
      <c r="U20" s="400" t="n">
        <f aca="false">IF(pos_xz&lt;L_rampe,Poids*COS(Beta),0)</f>
        <v>15.9073410290328</v>
      </c>
      <c r="V20" s="396" t="n">
        <f aca="false">Rho_moyen*(20000-Alt_rampe-pos_z)/(20000+Alt_rampe+pos_z)</f>
        <v>1.22483169144988</v>
      </c>
      <c r="W20" s="397" t="n">
        <f aca="false">1/2*Rho*Sref*Cx*vit_xz^2</f>
        <v>1.63134956780526</v>
      </c>
      <c r="Y20" s="401" t="str">
        <f aca="false">IF(AND(pos_z&lt;=0,K19&gt;0),"Impact balistique","") &amp; IF(AND(H21&lt;0,vit_z&gt;=0),"Apogée","") &amp; IF(AND(Poussee=0,Q19&gt;0),"Fin de propulsion","") &amp; IF(AND(L21&gt;L_rampe,pos_xz&lt;=L_rampe),"Sortie de rampe","")</f>
        <v/>
      </c>
      <c r="Z20" s="402" t="str">
        <f aca="false">IF(ABS(t-T_para)&lt;pas/2,"Para","")</f>
        <v/>
      </c>
      <c r="AA20" s="403" t="str">
        <f aca="false">IF(ABS(t-T_satellite)&lt;pas/2,"Satellite","")</f>
        <v/>
      </c>
      <c r="AC20" s="399" t="e">
        <f aca="false">IF(ABS(t-ROUND(t,0))&lt;0.001,t,NA())</f>
        <v>#N/A</v>
      </c>
      <c r="AD20" s="404" t="e">
        <f aca="false">IF(ABS(t-ROUND(t,0))&lt;0.001,pos_x,NA())</f>
        <v>#N/A</v>
      </c>
      <c r="AE20" s="405" t="n">
        <f aca="false">IF(t&lt;T_para, pos_z, NA())</f>
        <v>1.37404174095195</v>
      </c>
      <c r="AG20" s="396" t="n">
        <f aca="false">IF(AND(L19&lt;L_rampe,Poussee&lt;Poids*SIN(M19)),0,(-W19+Poussee)/m-Poids*SIN(M19)/m)</f>
        <v>129.083673586314</v>
      </c>
      <c r="AH20" s="397" t="n">
        <f aca="false">IF(AND(L19&lt;L_rampe,Poussee&lt;Poids*SIN(M19)), g*SIN(M19), (-W19+Poussee)/m)</f>
        <v>138.744637643363</v>
      </c>
    </row>
    <row r="21" customFormat="false" ht="12.75" hidden="false" customHeight="false" outlineLevel="0" collapsed="false">
      <c r="A21" s="396" t="n">
        <f aca="false">IF(B20+0.01&lt;=T_ini+ROUNDUP(Temps_fin_propu,0), 0.01, IF(K20&gt;0, 0.1, 0.0001))</f>
        <v>0.01</v>
      </c>
      <c r="B21" s="397" t="n">
        <f aca="false">B20+pas</f>
        <v>0.17</v>
      </c>
      <c r="D21" s="396" t="n">
        <f aca="false">IF(AND(L20&lt;L_rampe,Poussee&lt;Poids*SIN(M20)),0,(-W20+Poussee)/m*COS(M20)-U20/m*SIN(M20))</f>
        <v>22.4858686964505</v>
      </c>
      <c r="E21" s="398" t="n">
        <f aca="false">IF(AND(L20&lt;L_rampe,Poussee&lt;Poids*SIN(M20)),0,(-W20+Poussee)/m*SIN(M20)+U20/m*COS(M20)-Poids/m)</f>
        <v>127.530415521471</v>
      </c>
      <c r="F21" s="397" t="n">
        <f aca="false">SQRT(acc_x^2+acc_z^2)</f>
        <v>129.497572078063</v>
      </c>
      <c r="G21" s="396" t="n">
        <f aca="false">G20+acc_x*pas</f>
        <v>3.49163534014957</v>
      </c>
      <c r="H21" s="398" t="n">
        <f aca="false">H20+acc_z*pas</f>
        <v>19.8030970818983</v>
      </c>
      <c r="I21" s="397" t="n">
        <f aca="false">SQRT(vit_x^2+vit_z^2)</f>
        <v>20.1085596546264</v>
      </c>
      <c r="J21" s="396" t="n">
        <f aca="false">J20+0.5*(vit_x+G20)*pas*(K20&gt;=0)</f>
        <v>0.276059777582553</v>
      </c>
      <c r="K21" s="398" t="n">
        <f aca="false">K20+0.5*(vit_z+H20)*pas</f>
        <v>1.56569619099486</v>
      </c>
      <c r="L21" s="397" t="n">
        <f aca="false">SQRT(pos_x^2+pos_z^2)</f>
        <v>1.58984702512372</v>
      </c>
      <c r="M21" s="396" t="n">
        <f aca="false">IF(AND(L20&gt;L_rampe,G21&gt;0),ATAN2(G21,H21),$M$4)</f>
        <v>1.39626340159546</v>
      </c>
      <c r="N21" s="397" t="n">
        <f aca="false">DEGREES(Beta)</f>
        <v>80</v>
      </c>
      <c r="P21" s="399" t="n">
        <f aca="false">MATCH(t-pas/2-T_ini,CdP_t)</f>
        <v>5</v>
      </c>
      <c r="Q21" s="397" t="n">
        <f aca="false">(INDEX(CdP,2,i_P+1)-INDEX(CdP,2,i_P+0))/(INDEX(CdP,1,i_P+1)-INDEX(CdP,1,i_P+0))*(t-pas/2-T_ini-INDEX(CdP,1,i_P+0))+INDEX(CdP,2,i_P+0)</f>
        <v>1300.218</v>
      </c>
      <c r="R21" s="396" t="n">
        <f aca="false">Poussee/(g*ISP)</f>
        <v>0.638968403691063</v>
      </c>
      <c r="S21" s="398" t="n">
        <f aca="false">S20-Débit*pas</f>
        <v>9.33170674647211</v>
      </c>
      <c r="T21" s="397" t="n">
        <f aca="false">m*g</f>
        <v>91.5440431828914</v>
      </c>
      <c r="U21" s="400" t="n">
        <f aca="false">IF(pos_xz&lt;L_rampe,Poids*COS(Beta),0)</f>
        <v>15.8964562749719</v>
      </c>
      <c r="V21" s="396" t="n">
        <f aca="false">Rho_moyen*(20000-Alt_rampe-pos_z)/(20000+Alt_rampe+pos_z)</f>
        <v>1.22480821723028</v>
      </c>
      <c r="W21" s="397" t="n">
        <f aca="false">1/2*Rho*Sref*Cx*vit_xz^2</f>
        <v>1.86362087266703</v>
      </c>
      <c r="Y21" s="401" t="str">
        <f aca="false">IF(AND(pos_z&lt;=0,K20&gt;0),"Impact balistique","") &amp; IF(AND(H22&lt;0,vit_z&gt;=0),"Apogée","") &amp; IF(AND(Poussee=0,Q20&gt;0),"Fin de propulsion","") &amp; IF(AND(L22&gt;L_rampe,pos_xz&lt;=L_rampe),"Sortie de rampe","")</f>
        <v/>
      </c>
      <c r="Z21" s="402" t="str">
        <f aca="false">IF(ABS(t-T_para)&lt;pas/2,"Para","")</f>
        <v/>
      </c>
      <c r="AA21" s="403" t="str">
        <f aca="false">IF(ABS(t-T_satellite)&lt;pas/2,"Satellite","")</f>
        <v/>
      </c>
      <c r="AC21" s="399" t="e">
        <f aca="false">IF(ABS(t-ROUND(t,0))&lt;0.001,t,NA())</f>
        <v>#N/A</v>
      </c>
      <c r="AD21" s="404" t="e">
        <f aca="false">IF(ABS(t-ROUND(t,0))&lt;0.001,pos_x,NA())</f>
        <v>#N/A</v>
      </c>
      <c r="AE21" s="405" t="n">
        <f aca="false">IF(t&lt;T_para, pos_z, NA())</f>
        <v>1.56569619099486</v>
      </c>
      <c r="AG21" s="396" t="n">
        <f aca="false">IF(AND(L20&lt;L_rampe,Poussee&lt;Poids*SIN(M20)),0,(-W20+Poussee)/m-Poids*SIN(M20)/m)</f>
        <v>129.49757207281</v>
      </c>
      <c r="AH21" s="397" t="n">
        <f aca="false">IF(AND(L20&lt;L_rampe,Poussee&lt;Poids*SIN(M20)), g*SIN(M20), (-W20+Poussee)/m)</f>
        <v>139.15853612986</v>
      </c>
    </row>
    <row r="22" customFormat="false" ht="12.75" hidden="false" customHeight="false" outlineLevel="0" collapsed="false">
      <c r="A22" s="396" t="n">
        <f aca="false">IF(B21+0.01&lt;=T_ini+ROUNDUP(Temps_fin_propu,0), 0.01, IF(K21&gt;0, 0.1, 0.0001))</f>
        <v>0.01</v>
      </c>
      <c r="B22" s="397" t="n">
        <f aca="false">B21+pas</f>
        <v>0.18</v>
      </c>
      <c r="D22" s="396" t="n">
        <f aca="false">IF(AND(L21&lt;L_rampe,Poussee&lt;Poids*SIN(M21)),0,(-W21+Poussee)/m*COS(M21)-U21/m*SIN(M21))</f>
        <v>22.557576963927</v>
      </c>
      <c r="E22" s="398" t="n">
        <f aca="false">IF(AND(L21&lt;L_rampe,Poussee&lt;Poids*SIN(M21)),0,(-W21+Poussee)/m*SIN(M21)+U21/m*COS(M21)-Poids/m)</f>
        <v>127.937114430867</v>
      </c>
      <c r="F22" s="397" t="n">
        <f aca="false">SQRT(acc_x^2+acc_z^2)</f>
        <v>129.910544327164</v>
      </c>
      <c r="G22" s="396" t="n">
        <f aca="false">G21+acc_x*pas</f>
        <v>3.71721110978884</v>
      </c>
      <c r="H22" s="398" t="n">
        <f aca="false">H21+acc_z*pas</f>
        <v>21.0824682262069</v>
      </c>
      <c r="I22" s="397" t="n">
        <f aca="false">SQRT(vit_x^2+vit_z^2)</f>
        <v>21.4076650978981</v>
      </c>
      <c r="J22" s="396" t="n">
        <f aca="false">J21+0.5*(vit_x+G21)*pas*(K21&gt;=0)</f>
        <v>0.312104009832246</v>
      </c>
      <c r="K22" s="398" t="n">
        <f aca="false">K21+0.5*(vit_z+H21)*pas</f>
        <v>1.77012401753539</v>
      </c>
      <c r="L22" s="397" t="n">
        <f aca="false">SQRT(pos_x^2+pos_z^2)</f>
        <v>1.79742814888634</v>
      </c>
      <c r="M22" s="396" t="n">
        <f aca="false">IF(AND(L21&gt;L_rampe,G22&gt;0),ATAN2(G22,H22),$M$4)</f>
        <v>1.39626340159546</v>
      </c>
      <c r="N22" s="397" t="n">
        <f aca="false">DEGREES(Beta)</f>
        <v>80</v>
      </c>
      <c r="P22" s="399" t="n">
        <f aca="false">MATCH(t-pas/2-T_ini,CdP_t)</f>
        <v>5</v>
      </c>
      <c r="Q22" s="397" t="n">
        <f aca="false">(INDEX(CdP,2,i_P+1)-INDEX(CdP,2,i_P+0))/(INDEX(CdP,1,i_P+1)-INDEX(CdP,1,i_P+0))*(t-pas/2-T_ini-INDEX(CdP,1,i_P+0))+INDEX(CdP,2,i_P+0)</f>
        <v>1303.41</v>
      </c>
      <c r="R22" s="396" t="n">
        <f aca="false">Poussee/(g*ISP)</f>
        <v>0.640537053828641</v>
      </c>
      <c r="S22" s="398" t="n">
        <f aca="false">S21-Débit*pas</f>
        <v>9.32530137593383</v>
      </c>
      <c r="T22" s="397" t="n">
        <f aca="false">m*g</f>
        <v>91.4812064979108</v>
      </c>
      <c r="U22" s="400" t="n">
        <f aca="false">IF(pos_xz&lt;L_rampe,Poids*COS(Beta),0)</f>
        <v>15.8855447991344</v>
      </c>
      <c r="V22" s="396" t="n">
        <f aca="false">Rho_moyen*(20000-Alt_rampe-pos_z)/(20000+Alt_rampe+pos_z)</f>
        <v>1.22478317899786</v>
      </c>
      <c r="W22" s="397" t="n">
        <f aca="false">1/2*Rho*Sref*Cx*vit_xz^2</f>
        <v>2.11215294977768</v>
      </c>
      <c r="Y22" s="401" t="str">
        <f aca="false">IF(AND(pos_z&lt;=0,K21&gt;0),"Impact balistique","") &amp; IF(AND(H23&lt;0,vit_z&gt;=0),"Apogée","") &amp; IF(AND(Poussee=0,Q21&gt;0),"Fin de propulsion","") &amp; IF(AND(L23&gt;L_rampe,pos_xz&lt;=L_rampe),"Sortie de rampe","")</f>
        <v/>
      </c>
      <c r="Z22" s="402" t="str">
        <f aca="false">IF(ABS(t-T_para)&lt;pas/2,"Para","")</f>
        <v/>
      </c>
      <c r="AA22" s="403" t="str">
        <f aca="false">IF(ABS(t-T_satellite)&lt;pas/2,"Satellite","")</f>
        <v/>
      </c>
      <c r="AC22" s="399" t="e">
        <f aca="false">IF(ABS(t-ROUND(t,0))&lt;0.001,t,NA())</f>
        <v>#N/A</v>
      </c>
      <c r="AD22" s="404" t="e">
        <f aca="false">IF(ABS(t-ROUND(t,0))&lt;0.001,pos_x,NA())</f>
        <v>#N/A</v>
      </c>
      <c r="AE22" s="405" t="n">
        <f aca="false">IF(t&lt;T_para, pos_z, NA())</f>
        <v>1.77012401753539</v>
      </c>
      <c r="AG22" s="396" t="n">
        <f aca="false">IF(AND(L21&lt;L_rampe,Poussee&lt;Poids*SIN(M21)),0,(-W21+Poussee)/m-Poids*SIN(M21)/m)</f>
        <v>129.910544321895</v>
      </c>
      <c r="AH22" s="397" t="n">
        <f aca="false">IF(AND(L21&lt;L_rampe,Poussee&lt;Poids*SIN(M21)), g*SIN(M21), (-W21+Poussee)/m)</f>
        <v>139.571508378945</v>
      </c>
    </row>
    <row r="23" customFormat="false" ht="12.75" hidden="false" customHeight="false" outlineLevel="0" collapsed="false">
      <c r="A23" s="396" t="n">
        <f aca="false">IF(B22+0.01&lt;=T_ini+ROUNDUP(Temps_fin_propu,0), 0.01, IF(K22&gt;0, 0.1, 0.0001))</f>
        <v>0.01</v>
      </c>
      <c r="B23" s="397" t="n">
        <f aca="false">B22+pas</f>
        <v>0.19</v>
      </c>
      <c r="D23" s="396" t="n">
        <f aca="false">IF(AND(L22&lt;L_rampe,Poussee&lt;Poids*SIN(M22)),0,(-W22+Poussee)/m*COS(M22)-U22/m*SIN(M22))</f>
        <v>22.6291217217068</v>
      </c>
      <c r="E23" s="398" t="n">
        <f aca="false">IF(AND(L22&lt;L_rampe,Poussee&lt;Poids*SIN(M22)),0,(-W22+Poussee)/m*SIN(M22)+U22/m*COS(M22)-Poids/m)</f>
        <v>128.342886071098</v>
      </c>
      <c r="F23" s="397" t="n">
        <f aca="false">SQRT(acc_x^2+acc_z^2)</f>
        <v>130.322575001243</v>
      </c>
      <c r="G23" s="396" t="n">
        <f aca="false">G22+acc_x*pas</f>
        <v>3.94350232700591</v>
      </c>
      <c r="H23" s="398" t="n">
        <f aca="false">H22+acc_z*pas</f>
        <v>22.3658970869179</v>
      </c>
      <c r="I23" s="397" t="n">
        <f aca="false">SQRT(vit_x^2+vit_z^2)</f>
        <v>22.7108908479105</v>
      </c>
      <c r="J23" s="396" t="n">
        <f aca="false">J22+0.5*(vit_x+G22)*pas*(K22&gt;=0)</f>
        <v>0.350407577016219</v>
      </c>
      <c r="K23" s="398" t="n">
        <f aca="false">K22+0.5*(vit_z+H22)*pas</f>
        <v>1.98736584410101</v>
      </c>
      <c r="L23" s="397" t="n">
        <f aca="false">SQRT(pos_x^2+pos_z^2)</f>
        <v>2.01802092861539</v>
      </c>
      <c r="M23" s="396" t="n">
        <f aca="false">IF(AND(L22&gt;L_rampe,G23&gt;0),ATAN2(G23,H23),$M$4)</f>
        <v>1.39626340159546</v>
      </c>
      <c r="N23" s="397" t="n">
        <f aca="false">DEGREES(Beta)</f>
        <v>80</v>
      </c>
      <c r="P23" s="399" t="n">
        <f aca="false">MATCH(t-pas/2-T_ini,CdP_t)</f>
        <v>5</v>
      </c>
      <c r="Q23" s="397" t="n">
        <f aca="false">(INDEX(CdP,2,i_P+1)-INDEX(CdP,2,i_P+0))/(INDEX(CdP,1,i_P+1)-INDEX(CdP,1,i_P+0))*(t-pas/2-T_ini-INDEX(CdP,1,i_P+0))+INDEX(CdP,2,i_P+0)</f>
        <v>1306.602</v>
      </c>
      <c r="R23" s="396" t="n">
        <f aca="false">Poussee/(g*ISP)</f>
        <v>0.64210570396622</v>
      </c>
      <c r="S23" s="398" t="n">
        <f aca="false">S22-Débit*pas</f>
        <v>9.31888031889416</v>
      </c>
      <c r="T23" s="397" t="n">
        <f aca="false">m*g</f>
        <v>91.4182159283518</v>
      </c>
      <c r="U23" s="400" t="n">
        <f aca="false">IF(pos_xz&lt;L_rampe,Poids*COS(Beta),0)</f>
        <v>15.8746066015202</v>
      </c>
      <c r="V23" s="396" t="n">
        <f aca="false">Rho_moyen*(20000-Alt_rampe-pos_z)/(20000+Alt_rampe+pos_z)</f>
        <v>1.22475657187314</v>
      </c>
      <c r="W23" s="397" t="n">
        <f aca="false">1/2*Rho*Sref*Cx*vit_xz^2</f>
        <v>2.37709022055577</v>
      </c>
      <c r="Y23" s="401" t="str">
        <f aca="false">IF(AND(pos_z&lt;=0,K22&gt;0),"Impact balistique","") &amp; IF(AND(H24&lt;0,vit_z&gt;=0),"Apogée","") &amp; IF(AND(Poussee=0,Q22&gt;0),"Fin de propulsion","") &amp; IF(AND(L24&gt;L_rampe,pos_xz&lt;=L_rampe),"Sortie de rampe","")</f>
        <v/>
      </c>
      <c r="Z23" s="402" t="str">
        <f aca="false">IF(ABS(t-T_para)&lt;pas/2,"Para","")</f>
        <v/>
      </c>
      <c r="AA23" s="403" t="str">
        <f aca="false">IF(ABS(t-T_satellite)&lt;pas/2,"Satellite","")</f>
        <v/>
      </c>
      <c r="AC23" s="399" t="e">
        <f aca="false">IF(ABS(t-ROUND(t,0))&lt;0.001,t,NA())</f>
        <v>#N/A</v>
      </c>
      <c r="AD23" s="404" t="e">
        <f aca="false">IF(ABS(t-ROUND(t,0))&lt;0.001,pos_x,NA())</f>
        <v>#N/A</v>
      </c>
      <c r="AE23" s="405" t="n">
        <f aca="false">IF(t&lt;T_para, pos_z, NA())</f>
        <v>1.98736584410101</v>
      </c>
      <c r="AG23" s="396" t="n">
        <f aca="false">IF(AND(L22&lt;L_rampe,Poussee&lt;Poids*SIN(M22)),0,(-W22+Poussee)/m-Poids*SIN(M22)/m)</f>
        <v>130.322574995958</v>
      </c>
      <c r="AH23" s="397" t="n">
        <f aca="false">IF(AND(L22&lt;L_rampe,Poussee&lt;Poids*SIN(M22)), g*SIN(M22), (-W22+Poussee)/m)</f>
        <v>139.983539053007</v>
      </c>
    </row>
    <row r="24" customFormat="false" ht="12.75" hidden="false" customHeight="false" outlineLevel="0" collapsed="false">
      <c r="A24" s="396" t="n">
        <f aca="false">IF(B23+0.01&lt;=T_ini+ROUNDUP(Temps_fin_propu,0), 0.01, IF(K23&gt;0, 0.1, 0.0001))</f>
        <v>0.01</v>
      </c>
      <c r="B24" s="397" t="n">
        <f aca="false">B23+pas</f>
        <v>0.2</v>
      </c>
      <c r="D24" s="396" t="n">
        <f aca="false">IF(AND(L23&lt;L_rampe,Poussee&lt;Poids*SIN(M23)),0,(-W23+Poussee)/m*COS(M23)-U23/m*SIN(M23))</f>
        <v>22.7005003000964</v>
      </c>
      <c r="E24" s="398" t="n">
        <f aca="false">IF(AND(L23&lt;L_rampe,Poussee&lt;Poids*SIN(M23)),0,(-W23+Poussee)/m*SIN(M23)+U23/m*COS(M23)-Poids/m)</f>
        <v>128.747715301772</v>
      </c>
      <c r="F24" s="397" t="n">
        <f aca="false">SQRT(acc_x^2+acc_z^2)</f>
        <v>130.733648726335</v>
      </c>
      <c r="G24" s="396" t="n">
        <f aca="false">G23+acc_x*pas</f>
        <v>4.17050733000687</v>
      </c>
      <c r="H24" s="398" t="n">
        <f aca="false">H23+acc_z*pas</f>
        <v>23.6533742399356</v>
      </c>
      <c r="I24" s="397" t="n">
        <f aca="false">SQRT(vit_x^2+vit_z^2)</f>
        <v>24.0182273351738</v>
      </c>
      <c r="J24" s="396" t="n">
        <f aca="false">J23+0.5*(vit_x+G23)*pas*(K23&gt;=0)</f>
        <v>0.390977625301283</v>
      </c>
      <c r="K24" s="398" t="n">
        <f aca="false">K23+0.5*(vit_z+H23)*pas</f>
        <v>2.21746220073528</v>
      </c>
      <c r="L24" s="397" t="n">
        <f aca="false">SQRT(pos_x^2+pos_z^2)</f>
        <v>2.25166651953081</v>
      </c>
      <c r="M24" s="396" t="n">
        <f aca="false">IF(AND(L23&gt;L_rampe,G24&gt;0),ATAN2(G24,H24),$M$4)</f>
        <v>1.39626340159546</v>
      </c>
      <c r="N24" s="397" t="n">
        <f aca="false">DEGREES(Beta)</f>
        <v>80</v>
      </c>
      <c r="P24" s="399" t="n">
        <f aca="false">MATCH(t-pas/2-T_ini,CdP_t)</f>
        <v>5</v>
      </c>
      <c r="Q24" s="397" t="n">
        <f aca="false">(INDEX(CdP,2,i_P+1)-INDEX(CdP,2,i_P+0))/(INDEX(CdP,1,i_P+1)-INDEX(CdP,1,i_P+0))*(t-pas/2-T_ini-INDEX(CdP,1,i_P+0))+INDEX(CdP,2,i_P+0)</f>
        <v>1309.794</v>
      </c>
      <c r="R24" s="396" t="n">
        <f aca="false">Poussee/(g*ISP)</f>
        <v>0.643674354103798</v>
      </c>
      <c r="S24" s="398" t="n">
        <f aca="false">S23-Débit*pas</f>
        <v>9.31244357535313</v>
      </c>
      <c r="T24" s="397" t="n">
        <f aca="false">m*g</f>
        <v>91.3550714742142</v>
      </c>
      <c r="U24" s="400" t="n">
        <f aca="false">IF(pos_xz&lt;L_rampe,Poids*COS(Beta),0)</f>
        <v>15.8636416821295</v>
      </c>
      <c r="V24" s="396" t="n">
        <f aca="false">Rho_moyen*(20000-Alt_rampe-pos_z)/(20000+Alt_rampe+pos_z)</f>
        <v>1.22472839099455</v>
      </c>
      <c r="W24" s="397" t="n">
        <f aca="false">1/2*Rho*Sref*Cx*vit_xz^2</f>
        <v>2.65857694753919</v>
      </c>
      <c r="Y24" s="401" t="str">
        <f aca="false">IF(AND(pos_z&lt;=0,K23&gt;0),"Impact balistique","") &amp; IF(AND(H25&lt;0,vit_z&gt;=0),"Apogée","") &amp; IF(AND(Poussee=0,Q23&gt;0),"Fin de propulsion","") &amp; IF(AND(L25&gt;L_rampe,pos_xz&lt;=L_rampe),"Sortie de rampe","")</f>
        <v/>
      </c>
      <c r="Z24" s="402" t="str">
        <f aca="false">IF(ABS(t-T_para)&lt;pas/2,"Para","")</f>
        <v/>
      </c>
      <c r="AA24" s="403" t="str">
        <f aca="false">IF(ABS(t-T_satellite)&lt;pas/2,"Satellite","")</f>
        <v/>
      </c>
      <c r="AC24" s="399" t="e">
        <f aca="false">IF(ABS(t-ROUND(t,0))&lt;0.001,t,NA())</f>
        <v>#N/A</v>
      </c>
      <c r="AD24" s="404" t="e">
        <f aca="false">IF(ABS(t-ROUND(t,0))&lt;0.001,pos_x,NA())</f>
        <v>#N/A</v>
      </c>
      <c r="AE24" s="405" t="n">
        <f aca="false">IF(t&lt;T_para, pos_z, NA())</f>
        <v>2.21746220073528</v>
      </c>
      <c r="AG24" s="396" t="n">
        <f aca="false">IF(AND(L23&lt;L_rampe,Poussee&lt;Poids*SIN(M23)),0,(-W23+Poussee)/m-Poids*SIN(M23)/m)</f>
        <v>130.733648721033</v>
      </c>
      <c r="AH24" s="397" t="n">
        <f aca="false">IF(AND(L23&lt;L_rampe,Poussee&lt;Poids*SIN(M23)), g*SIN(M23), (-W23+Poussee)/m)</f>
        <v>140.394612778083</v>
      </c>
    </row>
    <row r="25" customFormat="false" ht="12.75" hidden="false" customHeight="false" outlineLevel="0" collapsed="false">
      <c r="A25" s="396" t="n">
        <f aca="false">IF(B24+0.01&lt;=T_ini+ROUNDUP(Temps_fin_propu,0), 0.01, IF(K24&gt;0, 0.1, 0.0001))</f>
        <v>0.01</v>
      </c>
      <c r="B25" s="397" t="n">
        <f aca="false">B24+pas</f>
        <v>0.21</v>
      </c>
      <c r="D25" s="396" t="n">
        <f aca="false">IF(AND(L24&lt;L_rampe,Poussee&lt;Poids*SIN(M24)),0,(-W24+Poussee)/m*COS(M24)-U24/m*SIN(M24))</f>
        <v>22.7512456858675</v>
      </c>
      <c r="E25" s="398" t="n">
        <f aca="false">IF(AND(L24&lt;L_rampe,Poussee&lt;Poids*SIN(M24)),0,(-W24+Poussee)/m*SIN(M24)+U24/m*COS(M24)-Poids/m)</f>
        <v>129.035522241322</v>
      </c>
      <c r="F25" s="397" t="n">
        <f aca="false">SQRT(acc_x^2+acc_z^2)</f>
        <v>131.025895075551</v>
      </c>
      <c r="G25" s="396" t="n">
        <f aca="false">G24+acc_x*pas</f>
        <v>4.39801978686555</v>
      </c>
      <c r="H25" s="398" t="n">
        <f aca="false">H24+acc_z*pas</f>
        <v>24.9437294623489</v>
      </c>
      <c r="I25" s="397" t="n">
        <f aca="false">SQRT(vit_x^2+vit_z^2)</f>
        <v>25.3284862859294</v>
      </c>
      <c r="J25" s="396" t="n">
        <f aca="false">J24+0.5*(vit_x+G24)*pas*(K24&gt;=0)</f>
        <v>0.433820260885645</v>
      </c>
      <c r="K25" s="398" t="n">
        <f aca="false">K24+0.5*(vit_z+H24)*pas</f>
        <v>2.4604477192467</v>
      </c>
      <c r="L25" s="397" t="n">
        <f aca="false">SQRT(pos_x^2+pos_z^2)</f>
        <v>2.49840008763632</v>
      </c>
      <c r="M25" s="396" t="n">
        <f aca="false">IF(AND(L24&gt;L_rampe,G25&gt;0),ATAN2(G25,H25),$M$4)</f>
        <v>1.39626340159546</v>
      </c>
      <c r="N25" s="397" t="n">
        <f aca="false">DEGREES(Beta)</f>
        <v>80</v>
      </c>
      <c r="P25" s="399" t="n">
        <f aca="false">MATCH(t-pas/2-T_ini,CdP_t)</f>
        <v>6</v>
      </c>
      <c r="Q25" s="397" t="n">
        <f aca="false">(INDEX(CdP,2,i_P+1)-INDEX(CdP,2,i_P+0))/(INDEX(CdP,1,i_P+1)-INDEX(CdP,1,i_P+0))*(t-pas/2-T_ini-INDEX(CdP,1,i_P+0))+INDEX(CdP,2,i_P+0)</f>
        <v>1311.89</v>
      </c>
      <c r="R25" s="396" t="n">
        <f aca="false">Poussee/(g*ISP)</f>
        <v>0.644704395046268</v>
      </c>
      <c r="S25" s="398" t="n">
        <f aca="false">S24-Débit*pas</f>
        <v>9.30599653140266</v>
      </c>
      <c r="T25" s="397" t="n">
        <f aca="false">m*g</f>
        <v>91.2918259730601</v>
      </c>
      <c r="U25" s="400" t="n">
        <f aca="false">IF(pos_xz&lt;L_rampe,Poids*COS(Beta),0)</f>
        <v>15.8526592161084</v>
      </c>
      <c r="V25" s="396" t="n">
        <f aca="false">Rho_moyen*(20000-Alt_rampe-pos_z)/(20000+Alt_rampe+pos_z)</f>
        <v>1.22469863222937</v>
      </c>
      <c r="W25" s="397" t="n">
        <f aca="false">1/2*Rho*Sref*Cx*vit_xz^2</f>
        <v>2.95648208035384</v>
      </c>
      <c r="Y25" s="401" t="str">
        <f aca="false">IF(AND(pos_z&lt;=0,K24&gt;0),"Impact balistique","") &amp; IF(AND(H26&lt;0,vit_z&gt;=0),"Apogée","") &amp; IF(AND(Poussee=0,Q24&gt;0),"Fin de propulsion","") &amp; IF(AND(L26&gt;L_rampe,pos_xz&lt;=L_rampe),"Sortie de rampe","")</f>
        <v/>
      </c>
      <c r="Z25" s="402" t="str">
        <f aca="false">IF(ABS(t-T_para)&lt;pas/2,"Para","")</f>
        <v/>
      </c>
      <c r="AA25" s="403" t="str">
        <f aca="false">IF(ABS(t-T_satellite)&lt;pas/2,"Satellite","")</f>
        <v/>
      </c>
      <c r="AC25" s="399" t="e">
        <f aca="false">IF(ABS(t-ROUND(t,0))&lt;0.001,t,NA())</f>
        <v>#N/A</v>
      </c>
      <c r="AD25" s="404" t="e">
        <f aca="false">IF(ABS(t-ROUND(t,0))&lt;0.001,pos_x,NA())</f>
        <v>#N/A</v>
      </c>
      <c r="AE25" s="405" t="n">
        <f aca="false">IF(t&lt;T_para, pos_z, NA())</f>
        <v>2.4604477192467</v>
      </c>
      <c r="AG25" s="396" t="n">
        <f aca="false">IF(AND(L24&lt;L_rampe,Poussee&lt;Poids*SIN(M24)),0,(-W24+Poussee)/m-Poids*SIN(M24)/m)</f>
        <v>131.025895070236</v>
      </c>
      <c r="AH25" s="397" t="n">
        <f aca="false">IF(AND(L24&lt;L_rampe,Poussee&lt;Poids*SIN(M24)), g*SIN(M24), (-W24+Poussee)/m)</f>
        <v>140.686859127286</v>
      </c>
    </row>
    <row r="26" customFormat="false" ht="12.75" hidden="false" customHeight="false" outlineLevel="0" collapsed="false">
      <c r="A26" s="396" t="n">
        <f aca="false">IF(B25+0.01&lt;=T_ini+ROUNDUP(Temps_fin_propu,0), 0.01, IF(K25&gt;0, 0.1, 0.0001))</f>
        <v>0.01</v>
      </c>
      <c r="B26" s="397" t="n">
        <f aca="false">B25+pas</f>
        <v>0.22</v>
      </c>
      <c r="D26" s="396" t="n">
        <f aca="false">IF(AND(L25&lt;L_rampe,Poussee&lt;Poids*SIN(M25)),0,(-W25+Poussee)/m*COS(M25)-U25/m*SIN(M25))</f>
        <v>22.7813034158382</v>
      </c>
      <c r="E26" s="398" t="n">
        <f aca="false">IF(AND(L25&lt;L_rampe,Poussee&lt;Poids*SIN(M25)),0,(-W25+Poussee)/m*SIN(M25)+U25/m*COS(M25)-Poids/m)</f>
        <v>129.205997998072</v>
      </c>
      <c r="F26" s="397" t="n">
        <f aca="false">SQRT(acc_x^2+acc_z^2)</f>
        <v>131.199000392542</v>
      </c>
      <c r="G26" s="396" t="n">
        <f aca="false">G25+acc_x*pas</f>
        <v>4.62583282102393</v>
      </c>
      <c r="H26" s="398" t="n">
        <f aca="false">H25+acc_z*pas</f>
        <v>26.2357894423296</v>
      </c>
      <c r="I26" s="397" t="n">
        <f aca="false">SQRT(vit_x^2+vit_z^2)</f>
        <v>26.6404762898548</v>
      </c>
      <c r="J26" s="396" t="n">
        <f aca="false">J25+0.5*(vit_x+G25)*pas*(K25&gt;=0)</f>
        <v>0.478939523925093</v>
      </c>
      <c r="K26" s="398" t="n">
        <f aca="false">K25+0.5*(vit_z+H25)*pas</f>
        <v>2.71634531377009</v>
      </c>
      <c r="L26" s="397" t="n">
        <f aca="false">SQRT(pos_x^2+pos_z^2)</f>
        <v>2.75824490051524</v>
      </c>
      <c r="M26" s="396" t="n">
        <f aca="false">IF(AND(L25&gt;L_rampe,G26&gt;0),ATAN2(G26,H26),$M$4)</f>
        <v>1.39626340159546</v>
      </c>
      <c r="N26" s="397" t="n">
        <f aca="false">DEGREES(Beta)</f>
        <v>80</v>
      </c>
      <c r="P26" s="399" t="n">
        <f aca="false">MATCH(t-pas/2-T_ini,CdP_t)</f>
        <v>6</v>
      </c>
      <c r="Q26" s="397" t="n">
        <f aca="false">(INDEX(CdP,2,i_P+1)-INDEX(CdP,2,i_P+0))/(INDEX(CdP,1,i_P+1)-INDEX(CdP,1,i_P+0))*(t-pas/2-T_ini-INDEX(CdP,1,i_P+0))+INDEX(CdP,2,i_P+0)</f>
        <v>1312.89</v>
      </c>
      <c r="R26" s="396" t="n">
        <f aca="false">Poussee/(g*ISP)</f>
        <v>0.64519582679363</v>
      </c>
      <c r="S26" s="398" t="n">
        <f aca="false">S25-Débit*pas</f>
        <v>9.29954457313473</v>
      </c>
      <c r="T26" s="397" t="n">
        <f aca="false">m*g</f>
        <v>91.2285322624517</v>
      </c>
      <c r="U26" s="400" t="n">
        <f aca="false">IF(pos_xz&lt;L_rampe,Poids*COS(Beta),0)</f>
        <v>15.8416683786035</v>
      </c>
      <c r="V26" s="396" t="n">
        <f aca="false">Rho_moyen*(20000-Alt_rampe-pos_z)/(20000+Alt_rampe+pos_z)</f>
        <v>1.22466729288643</v>
      </c>
      <c r="W26" s="397" t="n">
        <f aca="false">1/2*Rho*Sref*Cx*vit_xz^2</f>
        <v>3.2706165970851</v>
      </c>
      <c r="Y26" s="401" t="str">
        <f aca="false">IF(AND(pos_z&lt;=0,K25&gt;0),"Impact balistique","") &amp; IF(AND(H27&lt;0,vit_z&gt;=0),"Apogée","") &amp; IF(AND(Poussee=0,Q25&gt;0),"Fin de propulsion","") &amp; IF(AND(L27&gt;L_rampe,pos_xz&lt;=L_rampe),"Sortie de rampe","")</f>
        <v/>
      </c>
      <c r="Z26" s="402" t="str">
        <f aca="false">IF(ABS(t-T_para)&lt;pas/2,"Para","")</f>
        <v/>
      </c>
      <c r="AA26" s="403" t="str">
        <f aca="false">IF(ABS(t-T_satellite)&lt;pas/2,"Satellite","")</f>
        <v/>
      </c>
      <c r="AC26" s="399" t="e">
        <f aca="false">IF(ABS(t-ROUND(t,0))&lt;0.001,t,NA())</f>
        <v>#N/A</v>
      </c>
      <c r="AD26" s="404" t="e">
        <f aca="false">IF(ABS(t-ROUND(t,0))&lt;0.001,pos_x,NA())</f>
        <v>#N/A</v>
      </c>
      <c r="AE26" s="405" t="n">
        <f aca="false">IF(t&lt;T_para, pos_z, NA())</f>
        <v>2.71634531377009</v>
      </c>
      <c r="AG26" s="396" t="n">
        <f aca="false">IF(AND(L25&lt;L_rampe,Poussee&lt;Poids*SIN(M25)),0,(-W25+Poussee)/m-Poids*SIN(M25)/m)</f>
        <v>131.199000387219</v>
      </c>
      <c r="AH26" s="397" t="n">
        <f aca="false">IF(AND(L25&lt;L_rampe,Poussee&lt;Poids*SIN(M25)), g*SIN(M25), (-W25+Poussee)/m)</f>
        <v>140.859964444268</v>
      </c>
    </row>
    <row r="27" customFormat="false" ht="12.75" hidden="false" customHeight="false" outlineLevel="0" collapsed="false">
      <c r="A27" s="396" t="n">
        <f aca="false">IF(B26+0.01&lt;=T_ini+ROUNDUP(Temps_fin_propu,0), 0.01, IF(K26&gt;0, 0.1, 0.0001))</f>
        <v>0.01</v>
      </c>
      <c r="B27" s="397" t="n">
        <f aca="false">B26+pas</f>
        <v>0.23</v>
      </c>
      <c r="D27" s="396" t="n">
        <f aca="false">IF(AND(L26&lt;L_rampe,Poussee&lt;Poids*SIN(M26)),0,(-W26+Poussee)/m*COS(M26)-U26/m*SIN(M26))</f>
        <v>22.8111125746123</v>
      </c>
      <c r="E27" s="398" t="n">
        <f aca="false">IF(AND(L26&lt;L_rampe,Poussee&lt;Poids*SIN(M26)),0,(-W26+Poussee)/m*SIN(M26)+U26/m*COS(M26)-Poids/m)</f>
        <v>129.375064054863</v>
      </c>
      <c r="F27" s="397" t="n">
        <f aca="false">SQRT(acc_x^2+acc_z^2)</f>
        <v>131.370674262149</v>
      </c>
      <c r="G27" s="396" t="n">
        <f aca="false">G26+acc_x*pas</f>
        <v>4.85394394677005</v>
      </c>
      <c r="H27" s="398" t="n">
        <f aca="false">H26+acc_z*pas</f>
        <v>27.5295400828782</v>
      </c>
      <c r="I27" s="397" t="n">
        <f aca="false">SQRT(vit_x^2+vit_z^2)</f>
        <v>27.9541830324763</v>
      </c>
      <c r="J27" s="396" t="n">
        <f aca="false">J26+0.5*(vit_x+G26)*pas*(K26&gt;=0)</f>
        <v>0.526338407764063</v>
      </c>
      <c r="K27" s="398" t="n">
        <f aca="false">K26+0.5*(vit_z+H26)*pas</f>
        <v>2.98517196139613</v>
      </c>
      <c r="L27" s="397" t="n">
        <f aca="false">SQRT(pos_x^2+pos_z^2)</f>
        <v>3.0312181971269</v>
      </c>
      <c r="M27" s="396" t="n">
        <f aca="false">IF(AND(L26&gt;L_rampe,G27&gt;0),ATAN2(G27,H27),$M$4)</f>
        <v>1.39626340159546</v>
      </c>
      <c r="N27" s="397" t="n">
        <f aca="false">DEGREES(Beta)</f>
        <v>80</v>
      </c>
      <c r="P27" s="399" t="n">
        <f aca="false">MATCH(t-pas/2-T_ini,CdP_t)</f>
        <v>6</v>
      </c>
      <c r="Q27" s="397" t="n">
        <f aca="false">(INDEX(CdP,2,i_P+1)-INDEX(CdP,2,i_P+0))/(INDEX(CdP,1,i_P+1)-INDEX(CdP,1,i_P+0))*(t-pas/2-T_ini-INDEX(CdP,1,i_P+0))+INDEX(CdP,2,i_P+0)</f>
        <v>1313.89</v>
      </c>
      <c r="R27" s="396" t="n">
        <f aca="false">Poussee/(g*ISP)</f>
        <v>0.645687258540991</v>
      </c>
      <c r="S27" s="398" t="n">
        <f aca="false">S26-Débit*pas</f>
        <v>9.29308770054932</v>
      </c>
      <c r="T27" s="397" t="n">
        <f aca="false">m*g</f>
        <v>91.1651903423888</v>
      </c>
      <c r="U27" s="400" t="n">
        <f aca="false">IF(pos_xz&lt;L_rampe,Poids*COS(Beta),0)</f>
        <v>15.8306691696147</v>
      </c>
      <c r="V27" s="396" t="n">
        <f aca="false">Rho_moyen*(20000-Alt_rampe-pos_z)/(20000+Alt_rampe+pos_z)</f>
        <v>1.224634371008</v>
      </c>
      <c r="W27" s="397" t="n">
        <f aca="false">1/2*Rho*Sref*Cx*vit_xz^2</f>
        <v>3.60103713523199</v>
      </c>
      <c r="Y27" s="401" t="str">
        <f aca="false">IF(AND(pos_z&lt;=0,K26&gt;0),"Impact balistique","") &amp; IF(AND(H28&lt;0,vit_z&gt;=0),"Apogée","") &amp; IF(AND(Poussee=0,Q26&gt;0),"Fin de propulsion","") &amp; IF(AND(L28&gt;L_rampe,pos_xz&lt;=L_rampe),"Sortie de rampe","")</f>
        <v/>
      </c>
      <c r="Z27" s="402" t="str">
        <f aca="false">IF(ABS(t-T_para)&lt;pas/2,"Para","")</f>
        <v/>
      </c>
      <c r="AA27" s="403" t="str">
        <f aca="false">IF(ABS(t-T_satellite)&lt;pas/2,"Satellite","")</f>
        <v/>
      </c>
      <c r="AC27" s="399" t="e">
        <f aca="false">IF(ABS(t-ROUND(t,0))&lt;0.001,t,NA())</f>
        <v>#N/A</v>
      </c>
      <c r="AD27" s="404" t="e">
        <f aca="false">IF(ABS(t-ROUND(t,0))&lt;0.001,pos_x,NA())</f>
        <v>#N/A</v>
      </c>
      <c r="AE27" s="405" t="n">
        <f aca="false">IF(t&lt;T_para, pos_z, NA())</f>
        <v>2.98517196139613</v>
      </c>
      <c r="AG27" s="396" t="n">
        <f aca="false">IF(AND(L26&lt;L_rampe,Poussee&lt;Poids*SIN(M26)),0,(-W26+Poussee)/m-Poids*SIN(M26)/m)</f>
        <v>131.370674256817</v>
      </c>
      <c r="AH27" s="397" t="n">
        <f aca="false">IF(AND(L26&lt;L_rampe,Poussee&lt;Poids*SIN(M26)), g*SIN(M26), (-W26+Poussee)/m)</f>
        <v>141.031638313867</v>
      </c>
    </row>
    <row r="28" customFormat="false" ht="12.75" hidden="false" customHeight="false" outlineLevel="0" collapsed="false">
      <c r="A28" s="396" t="n">
        <f aca="false">IF(B27+0.01&lt;=T_ini+ROUNDUP(Temps_fin_propu,0), 0.01, IF(K27&gt;0, 0.1, 0.0001))</f>
        <v>0.01</v>
      </c>
      <c r="B28" s="397" t="n">
        <f aca="false">B27+pas</f>
        <v>0.24</v>
      </c>
      <c r="D28" s="396" t="n">
        <f aca="false">IF(AND(L27&lt;L_rampe,Poussee&lt;Poids*SIN(M27)),0,(-W27+Poussee)/m*COS(M27)-U27/m*SIN(M27))</f>
        <v>22.8406716319783</v>
      </c>
      <c r="E28" s="398" t="n">
        <f aca="false">IF(AND(L27&lt;L_rampe,Poussee&lt;Poids*SIN(M27)),0,(-W27+Poussee)/m*SIN(M27)+U27/m*COS(M27)-Poids/m)</f>
        <v>129.542711733488</v>
      </c>
      <c r="F28" s="397" t="n">
        <f aca="false">SQRT(acc_x^2+acc_z^2)</f>
        <v>131.540907872287</v>
      </c>
      <c r="G28" s="396" t="n">
        <f aca="false">G27+acc_x*pas</f>
        <v>5.08235066308984</v>
      </c>
      <c r="H28" s="398" t="n">
        <f aca="false">H27+acc_z*pas</f>
        <v>28.8249672002131</v>
      </c>
      <c r="I28" s="397" t="n">
        <f aca="false">SQRT(vit_x^2+vit_z^2)</f>
        <v>29.2695921111991</v>
      </c>
      <c r="J28" s="396" t="n">
        <f aca="false">J27+0.5*(vit_x+G27)*pas*(K27&gt;=0)</f>
        <v>0.576019880813362</v>
      </c>
      <c r="K28" s="398" t="n">
        <f aca="false">K27+0.5*(vit_z+H27)*pas</f>
        <v>3.26694449781159</v>
      </c>
      <c r="L28" s="397" t="n">
        <f aca="false">SQRT(pos_x^2+pos_z^2)</f>
        <v>3.31733707284528</v>
      </c>
      <c r="M28" s="396" t="n">
        <f aca="false">IF(AND(L27&gt;L_rampe,G28&gt;0),ATAN2(G28,H28),$M$4)</f>
        <v>1.39626340159546</v>
      </c>
      <c r="N28" s="397" t="n">
        <f aca="false">DEGREES(Beta)</f>
        <v>80</v>
      </c>
      <c r="P28" s="399" t="n">
        <f aca="false">MATCH(t-pas/2-T_ini,CdP_t)</f>
        <v>6</v>
      </c>
      <c r="Q28" s="397" t="n">
        <f aca="false">(INDEX(CdP,2,i_P+1)-INDEX(CdP,2,i_P+0))/(INDEX(CdP,1,i_P+1)-INDEX(CdP,1,i_P+0))*(t-pas/2-T_ini-INDEX(CdP,1,i_P+0))+INDEX(CdP,2,i_P+0)</f>
        <v>1314.89</v>
      </c>
      <c r="R28" s="396" t="n">
        <f aca="false">Poussee/(g*ISP)</f>
        <v>0.646178690288353</v>
      </c>
      <c r="S28" s="398" t="n">
        <f aca="false">S27-Débit*pas</f>
        <v>9.28662591364643</v>
      </c>
      <c r="T28" s="397" t="n">
        <f aca="false">m*g</f>
        <v>91.1018002128715</v>
      </c>
      <c r="U28" s="400" t="n">
        <f aca="false">IF(pos_xz&lt;L_rampe,Poids*COS(Beta),0)</f>
        <v>15.8196615891419</v>
      </c>
      <c r="V28" s="396" t="n">
        <f aca="false">Rho_moyen*(20000-Alt_rampe-pos_z)/(20000+Alt_rampe+pos_z)</f>
        <v>1.22459986466002</v>
      </c>
      <c r="W28" s="397" t="n">
        <f aca="false">1/2*Rho*Sref*Cx*vit_xz^2</f>
        <v>3.94779956259726</v>
      </c>
      <c r="Y28" s="401" t="str">
        <f aca="false">IF(AND(pos_z&lt;=0,K27&gt;0),"Impact balistique","") &amp; IF(AND(H29&lt;0,vit_z&gt;=0),"Apogée","") &amp; IF(AND(Poussee=0,Q27&gt;0),"Fin de propulsion","") &amp; IF(AND(L29&gt;L_rampe,pos_xz&lt;=L_rampe),"Sortie de rampe","")</f>
        <v/>
      </c>
      <c r="Z28" s="402" t="str">
        <f aca="false">IF(ABS(t-T_para)&lt;pas/2,"Para","")</f>
        <v/>
      </c>
      <c r="AA28" s="403" t="str">
        <f aca="false">IF(ABS(t-T_satellite)&lt;pas/2,"Satellite","")</f>
        <v/>
      </c>
      <c r="AC28" s="399" t="e">
        <f aca="false">IF(ABS(t-ROUND(t,0))&lt;0.001,t,NA())</f>
        <v>#N/A</v>
      </c>
      <c r="AD28" s="404" t="e">
        <f aca="false">IF(ABS(t-ROUND(t,0))&lt;0.001,pos_x,NA())</f>
        <v>#N/A</v>
      </c>
      <c r="AE28" s="405" t="n">
        <f aca="false">IF(t&lt;T_para, pos_z, NA())</f>
        <v>3.26694449781159</v>
      </c>
      <c r="AG28" s="396" t="n">
        <f aca="false">IF(AND(L27&lt;L_rampe,Poussee&lt;Poids*SIN(M27)),0,(-W27+Poussee)/m-Poids*SIN(M27)/m)</f>
        <v>131.540907866946</v>
      </c>
      <c r="AH28" s="397" t="n">
        <f aca="false">IF(AND(L27&lt;L_rampe,Poussee&lt;Poids*SIN(M27)), g*SIN(M27), (-W27+Poussee)/m)</f>
        <v>141.201871923996</v>
      </c>
    </row>
    <row r="29" customFormat="false" ht="12.75" hidden="false" customHeight="false" outlineLevel="0" collapsed="false">
      <c r="A29" s="396" t="n">
        <f aca="false">IF(B28+0.01&lt;=T_ini+ROUNDUP(Temps_fin_propu,0), 0.01, IF(K28&gt;0, 0.1, 0.0001))</f>
        <v>0.01</v>
      </c>
      <c r="B29" s="397" t="n">
        <f aca="false">B28+pas</f>
        <v>0.25</v>
      </c>
      <c r="D29" s="396" t="n">
        <f aca="false">IF(AND(L28&lt;L_rampe,Poussee&lt;Poids*SIN(M28)),0,(-W28+Poussee)/m*COS(M28)-U28/m*SIN(M28))</f>
        <v>22.8699790670722</v>
      </c>
      <c r="E29" s="398" t="n">
        <f aca="false">IF(AND(L28&lt;L_rampe,Poussee&lt;Poids*SIN(M28)),0,(-W28+Poussee)/m*SIN(M28)+U28/m*COS(M28)-Poids/m)</f>
        <v>129.70893240875</v>
      </c>
      <c r="F29" s="397" t="n">
        <f aca="false">SQRT(acc_x^2+acc_z^2)</f>
        <v>131.709692464701</v>
      </c>
      <c r="G29" s="396" t="n">
        <f aca="false">G28+acc_x*pas</f>
        <v>5.31105045376056</v>
      </c>
      <c r="H29" s="398" t="n">
        <f aca="false">H28+acc_z*pas</f>
        <v>30.1220565243006</v>
      </c>
      <c r="I29" s="397" t="n">
        <f aca="false">SQRT(vit_x^2+vit_z^2)</f>
        <v>30.5866890358461</v>
      </c>
      <c r="J29" s="396" t="n">
        <f aca="false">J28+0.5*(vit_x+G28)*pas*(K28&gt;=0)</f>
        <v>0.627986886397614</v>
      </c>
      <c r="K29" s="398" t="n">
        <f aca="false">K28+0.5*(vit_z+H28)*pas</f>
        <v>3.56167961643416</v>
      </c>
      <c r="L29" s="397" t="n">
        <f aca="false">SQRT(pos_x^2+pos_z^2)</f>
        <v>3.6166184785805</v>
      </c>
      <c r="M29" s="396" t="n">
        <f aca="false">IF(AND(L28&gt;L_rampe,G29&gt;0),ATAN2(G29,H29),$M$4)</f>
        <v>1.39626340159546</v>
      </c>
      <c r="N29" s="397" t="n">
        <f aca="false">DEGREES(Beta)</f>
        <v>80</v>
      </c>
      <c r="P29" s="399" t="n">
        <f aca="false">MATCH(t-pas/2-T_ini,CdP_t)</f>
        <v>6</v>
      </c>
      <c r="Q29" s="397" t="n">
        <f aca="false">(INDEX(CdP,2,i_P+1)-INDEX(CdP,2,i_P+0))/(INDEX(CdP,1,i_P+1)-INDEX(CdP,1,i_P+0))*(t-pas/2-T_ini-INDEX(CdP,1,i_P+0))+INDEX(CdP,2,i_P+0)</f>
        <v>1315.89</v>
      </c>
      <c r="R29" s="396" t="n">
        <f aca="false">Poussee/(g*ISP)</f>
        <v>0.646670122035715</v>
      </c>
      <c r="S29" s="398" t="n">
        <f aca="false">S28-Débit*pas</f>
        <v>9.28015921242608</v>
      </c>
      <c r="T29" s="397" t="n">
        <f aca="false">m*g</f>
        <v>91.0383618738998</v>
      </c>
      <c r="U29" s="400" t="n">
        <f aca="false">IF(pos_xz&lt;L_rampe,Poids*COS(Beta),0)</f>
        <v>15.8086456371853</v>
      </c>
      <c r="V29" s="396" t="n">
        <f aca="false">Rho_moyen*(20000-Alt_rampe-pos_z)/(20000+Alt_rampe+pos_z)</f>
        <v>1.22456377193222</v>
      </c>
      <c r="W29" s="397" t="n">
        <f aca="false">1/2*Rho*Sref*Cx*vit_xz^2</f>
        <v>4.31095896893933</v>
      </c>
      <c r="Y29" s="401" t="str">
        <f aca="false">IF(AND(pos_z&lt;=0,K28&gt;0),"Impact balistique","") &amp; IF(AND(H30&lt;0,vit_z&gt;=0),"Apogée","") &amp; IF(AND(Poussee=0,Q28&gt;0),"Fin de propulsion","") &amp; IF(AND(L30&gt;L_rampe,pos_xz&lt;=L_rampe),"Sortie de rampe","")</f>
        <v/>
      </c>
      <c r="Z29" s="402" t="str">
        <f aca="false">IF(ABS(t-T_para)&lt;pas/2,"Para","")</f>
        <v/>
      </c>
      <c r="AA29" s="403" t="str">
        <f aca="false">IF(ABS(t-T_satellite)&lt;pas/2,"Satellite","")</f>
        <v/>
      </c>
      <c r="AC29" s="399" t="e">
        <f aca="false">IF(ABS(t-ROUND(t,0))&lt;0.001,t,NA())</f>
        <v>#N/A</v>
      </c>
      <c r="AD29" s="404" t="e">
        <f aca="false">IF(ABS(t-ROUND(t,0))&lt;0.001,pos_x,NA())</f>
        <v>#N/A</v>
      </c>
      <c r="AE29" s="405" t="n">
        <f aca="false">IF(t&lt;T_para, pos_z, NA())</f>
        <v>3.56167961643416</v>
      </c>
      <c r="AG29" s="396" t="n">
        <f aca="false">IF(AND(L28&lt;L_rampe,Poussee&lt;Poids*SIN(M28)),0,(-W28+Poussee)/m-Poids*SIN(M28)/m)</f>
        <v>131.709692459351</v>
      </c>
      <c r="AH29" s="397" t="n">
        <f aca="false">IF(AND(L28&lt;L_rampe,Poussee&lt;Poids*SIN(M28)), g*SIN(M28), (-W28+Poussee)/m)</f>
        <v>141.370656516401</v>
      </c>
    </row>
    <row r="30" customFormat="false" ht="12.75" hidden="false" customHeight="false" outlineLevel="0" collapsed="false">
      <c r="A30" s="396" t="n">
        <f aca="false">IF(B29+0.01&lt;=T_ini+ROUNDUP(Temps_fin_propu,0), 0.01, IF(K29&gt;0, 0.1, 0.0001))</f>
        <v>0.01</v>
      </c>
      <c r="B30" s="397" t="n">
        <f aca="false">B29+pas</f>
        <v>0.26</v>
      </c>
      <c r="D30" s="396" t="n">
        <f aca="false">IF(AND(L29&lt;L_rampe,Poussee&lt;Poids*SIN(M29)),0,(-W29+Poussee)/m*COS(M29)-U29/m*SIN(M29))</f>
        <v>22.8990333685582</v>
      </c>
      <c r="E30" s="398" t="n">
        <f aca="false">IF(AND(L29&lt;L_rampe,Poussee&lt;Poids*SIN(M29)),0,(-W29+Poussee)/m*SIN(M29)+U29/m*COS(M29)-Poids/m)</f>
        <v>129.87371750949</v>
      </c>
      <c r="F30" s="397" t="n">
        <f aca="false">SQRT(acc_x^2+acc_z^2)</f>
        <v>131.877019336005</v>
      </c>
      <c r="G30" s="396" t="n">
        <f aca="false">G29+acc_x*pas</f>
        <v>5.54004078744614</v>
      </c>
      <c r="H30" s="398" t="n">
        <f aca="false">H29+acc_z*pas</f>
        <v>31.4207936993955</v>
      </c>
      <c r="I30" s="397" t="n">
        <f aca="false">SQRT(vit_x^2+vit_z^2)</f>
        <v>31.9054592292062</v>
      </c>
      <c r="J30" s="396" t="n">
        <f aca="false">J29+0.5*(vit_x+G29)*pas*(K29&gt;=0)</f>
        <v>0.682242342603648</v>
      </c>
      <c r="K30" s="398" t="n">
        <f aca="false">K29+0.5*(vit_z+H29)*pas</f>
        <v>3.86939386755264</v>
      </c>
      <c r="L30" s="397" t="n">
        <f aca="false">SQRT(pos_x^2+pos_z^2)</f>
        <v>3.92907921990576</v>
      </c>
      <c r="M30" s="396" t="n">
        <f aca="false">IF(AND(L29&gt;L_rampe,G30&gt;0),ATAN2(G30,H30),$M$4)</f>
        <v>1.39626340159546</v>
      </c>
      <c r="N30" s="397" t="n">
        <f aca="false">DEGREES(Beta)</f>
        <v>80</v>
      </c>
      <c r="P30" s="399" t="n">
        <f aca="false">MATCH(t-pas/2-T_ini,CdP_t)</f>
        <v>6</v>
      </c>
      <c r="Q30" s="397" t="n">
        <f aca="false">(INDEX(CdP,2,i_P+1)-INDEX(CdP,2,i_P+0))/(INDEX(CdP,1,i_P+1)-INDEX(CdP,1,i_P+0))*(t-pas/2-T_ini-INDEX(CdP,1,i_P+0))+INDEX(CdP,2,i_P+0)</f>
        <v>1316.89</v>
      </c>
      <c r="R30" s="396" t="n">
        <f aca="false">Poussee/(g*ISP)</f>
        <v>0.647161553783076</v>
      </c>
      <c r="S30" s="398" t="n">
        <f aca="false">S29-Débit*pas</f>
        <v>9.27368759688825</v>
      </c>
      <c r="T30" s="397" t="n">
        <f aca="false">m*g</f>
        <v>90.9748753254737</v>
      </c>
      <c r="U30" s="400" t="n">
        <f aca="false">IF(pos_xz&lt;L_rampe,Poids*COS(Beta),0)</f>
        <v>15.7976213137447</v>
      </c>
      <c r="V30" s="396" t="n">
        <f aca="false">Rho_moyen*(20000-Alt_rampe-pos_z)/(20000+Alt_rampe+pos_z)</f>
        <v>1.22452609093827</v>
      </c>
      <c r="W30" s="397" t="n">
        <f aca="false">1/2*Rho*Sref*Cx*vit_xz^2</f>
        <v>4.69056965768194</v>
      </c>
      <c r="Y30" s="401" t="str">
        <f aca="false">IF(AND(pos_z&lt;=0,K29&gt;0),"Impact balistique","") &amp; IF(AND(H31&lt;0,vit_z&gt;=0),"Apogée","") &amp; IF(AND(Poussee=0,Q29&gt;0),"Fin de propulsion","") &amp; IF(AND(L31&gt;L_rampe,pos_xz&lt;=L_rampe),"Sortie de rampe","")</f>
        <v>Sortie de rampe</v>
      </c>
      <c r="Z30" s="402" t="str">
        <f aca="false">IF(ABS(t-T_para)&lt;pas/2,"Para","")</f>
        <v/>
      </c>
      <c r="AA30" s="403" t="str">
        <f aca="false">IF(ABS(t-T_satellite)&lt;pas/2,"Satellite","")</f>
        <v/>
      </c>
      <c r="AC30" s="399" t="e">
        <f aca="false">IF(ABS(t-ROUND(t,0))&lt;0.001,t,NA())</f>
        <v>#N/A</v>
      </c>
      <c r="AD30" s="404" t="e">
        <f aca="false">IF(ABS(t-ROUND(t,0))&lt;0.001,pos_x,NA())</f>
        <v>#N/A</v>
      </c>
      <c r="AE30" s="405" t="n">
        <f aca="false">IF(t&lt;T_para, pos_z, NA())</f>
        <v>3.86939386755264</v>
      </c>
      <c r="AG30" s="396" t="n">
        <f aca="false">IF(AND(L29&lt;L_rampe,Poussee&lt;Poids*SIN(M29)),0,(-W29+Poussee)/m-Poids*SIN(M29)/m)</f>
        <v>131.877019330647</v>
      </c>
      <c r="AH30" s="397" t="n">
        <f aca="false">IF(AND(L29&lt;L_rampe,Poussee&lt;Poids*SIN(M29)), g*SIN(M29), (-W29+Poussee)/m)</f>
        <v>141.537983387697</v>
      </c>
    </row>
    <row r="31" customFormat="false" ht="12.75" hidden="false" customHeight="false" outlineLevel="0" collapsed="false">
      <c r="A31" s="396" t="n">
        <f aca="false">IF(B30+0.01&lt;=T_ini+ROUNDUP(Temps_fin_propu,0), 0.01, IF(K30&gt;0, 0.1, 0.0001))</f>
        <v>0.01</v>
      </c>
      <c r="B31" s="397" t="n">
        <f aca="false">B30+pas</f>
        <v>0.27</v>
      </c>
      <c r="D31" s="396" t="n">
        <f aca="false">IF(AND(L30&lt;L_rampe,Poussee&lt;Poids*SIN(M30)),0,(-W30+Poussee)/m*COS(M30)-U30/m*SIN(M30))</f>
        <v>22.9278330348093</v>
      </c>
      <c r="E31" s="398" t="n">
        <f aca="false">IF(AND(L30&lt;L_rampe,Poussee&lt;Poids*SIN(M30)),0,(-W30+Poussee)/m*SIN(M30)+U30/m*COS(M30)-Poids/m)</f>
        <v>130.03705851961</v>
      </c>
      <c r="F31" s="397" t="n">
        <f aca="false">SQRT(acc_x^2+acc_z^2)</f>
        <v>132.042879838727</v>
      </c>
      <c r="G31" s="396" t="n">
        <f aca="false">G30+acc_x*pas</f>
        <v>5.76931911779423</v>
      </c>
      <c r="H31" s="398" t="n">
        <f aca="false">H30+acc_z*pas</f>
        <v>32.7211642845916</v>
      </c>
      <c r="I31" s="397" t="n">
        <f aca="false">SQRT(vit_x^2+vit_z^2)</f>
        <v>33.2258880275935</v>
      </c>
      <c r="J31" s="396" t="n">
        <f aca="false">J30+0.5*(vit_x+G30)*pas*(K30&gt;=0)</f>
        <v>0.738789142129849</v>
      </c>
      <c r="K31" s="398" t="n">
        <f aca="false">K30+0.5*(vit_z+H30)*pas</f>
        <v>4.19010365747257</v>
      </c>
      <c r="L31" s="397" t="n">
        <f aca="false">SQRT(pos_x^2+pos_z^2)</f>
        <v>4.25473595618976</v>
      </c>
      <c r="M31" s="396" t="n">
        <f aca="false">IF(AND(L30&gt;L_rampe,G31&gt;0),ATAN2(G31,H31),$M$4)</f>
        <v>1.39626340159546</v>
      </c>
      <c r="N31" s="397" t="n">
        <f aca="false">DEGREES(Beta)</f>
        <v>80</v>
      </c>
      <c r="P31" s="399" t="n">
        <f aca="false">MATCH(t-pas/2-T_ini,CdP_t)</f>
        <v>6</v>
      </c>
      <c r="Q31" s="397" t="n">
        <f aca="false">(INDEX(CdP,2,i_P+1)-INDEX(CdP,2,i_P+0))/(INDEX(CdP,1,i_P+1)-INDEX(CdP,1,i_P+0))*(t-pas/2-T_ini-INDEX(CdP,1,i_P+0))+INDEX(CdP,2,i_P+0)</f>
        <v>1317.89</v>
      </c>
      <c r="R31" s="396" t="n">
        <f aca="false">Poussee/(g*ISP)</f>
        <v>0.647652985530438</v>
      </c>
      <c r="S31" s="398" t="n">
        <f aca="false">S30-Débit*pas</f>
        <v>9.26721106703294</v>
      </c>
      <c r="T31" s="397" t="n">
        <f aca="false">m*g</f>
        <v>90.9113405675932</v>
      </c>
      <c r="U31" s="400" t="n">
        <f aca="false">IF(pos_xz&lt;L_rampe,Poids*COS(Beta),0)</f>
        <v>0</v>
      </c>
      <c r="V31" s="396" t="n">
        <f aca="false">Rho_moyen*(20000-Alt_rampe-pos_z)/(20000+Alt_rampe+pos_z)</f>
        <v>1.22448681981587</v>
      </c>
      <c r="W31" s="397" t="n">
        <f aca="false">1/2*Rho*Sref*Cx*vit_xz^2</f>
        <v>5.0866851376832</v>
      </c>
      <c r="Y31" s="401" t="str">
        <f aca="false">IF(AND(pos_z&lt;=0,K30&gt;0),"Impact balistique","") &amp; IF(AND(H32&lt;0,vit_z&gt;=0),"Apogée","") &amp; IF(AND(Poussee=0,Q30&gt;0),"Fin de propulsion","") &amp; IF(AND(L32&gt;L_rampe,pos_xz&lt;=L_rampe),"Sortie de rampe","")</f>
        <v/>
      </c>
      <c r="Z31" s="402" t="str">
        <f aca="false">IF(ABS(t-T_para)&lt;pas/2,"Para","")</f>
        <v/>
      </c>
      <c r="AA31" s="403" t="str">
        <f aca="false">IF(ABS(t-T_satellite)&lt;pas/2,"Satellite","")</f>
        <v/>
      </c>
      <c r="AC31" s="399" t="e">
        <f aca="false">IF(ABS(t-ROUND(t,0))&lt;0.001,t,NA())</f>
        <v>#N/A</v>
      </c>
      <c r="AD31" s="404" t="e">
        <f aca="false">IF(ABS(t-ROUND(t,0))&lt;0.001,pos_x,NA())</f>
        <v>#N/A</v>
      </c>
      <c r="AE31" s="405" t="n">
        <f aca="false">IF(t&lt;T_para, pos_z, NA())</f>
        <v>4.19010365747257</v>
      </c>
      <c r="AG31" s="396" t="n">
        <f aca="false">IF(AND(L30&lt;L_rampe,Poussee&lt;Poids*SIN(M30)),0,(-W30+Poussee)/m-Poids*SIN(M30)/m)</f>
        <v>132.04287983336</v>
      </c>
      <c r="AH31" s="397" t="n">
        <f aca="false">IF(AND(L30&lt;L_rampe,Poussee&lt;Poids*SIN(M30)), g*SIN(M30), (-W30+Poussee)/m)</f>
        <v>141.70384389041</v>
      </c>
    </row>
    <row r="32" customFormat="false" ht="12.75" hidden="false" customHeight="false" outlineLevel="0" collapsed="false">
      <c r="A32" s="396" t="n">
        <f aca="false">IF(B31+0.01&lt;=T_ini+ROUNDUP(Temps_fin_propu,0), 0.01, IF(K31&gt;0, 0.1, 0.0001))</f>
        <v>0.01</v>
      </c>
      <c r="B32" s="397" t="n">
        <f aca="false">B31+pas</f>
        <v>0.28</v>
      </c>
      <c r="D32" s="396" t="n">
        <f aca="false">IF(AND(L31&lt;L_rampe,Poussee&lt;Poids*SIN(M31)),0,(-W31+Poussee)/m*COS(M31)-U31/m*SIN(M31))</f>
        <v>24.6351595100509</v>
      </c>
      <c r="E32" s="398" t="n">
        <f aca="false">IF(AND(L31&lt;L_rampe,Poussee&lt;Poids*SIN(M31)),0,(-W31+Poussee)/m*SIN(M31)+U31/m*COS(M31)-Poids/m)</f>
        <v>129.902932252734</v>
      </c>
      <c r="F32" s="397" t="n">
        <f aca="false">SQRT(acc_x^2+acc_z^2)</f>
        <v>132.218239634114</v>
      </c>
      <c r="G32" s="396" t="n">
        <f aca="false">G31+acc_x*pas</f>
        <v>6.01567071289474</v>
      </c>
      <c r="H32" s="398" t="n">
        <f aca="false">H31+acc_z*pas</f>
        <v>34.0201936071189</v>
      </c>
      <c r="I32" s="397" t="n">
        <f aca="false">SQRT(vit_x^2+vit_z^2)</f>
        <v>34.5479647329888</v>
      </c>
      <c r="J32" s="396" t="n">
        <f aca="false">J31+0.5*(vit_x+G31)*pas*(K31&gt;=0)</f>
        <v>0.797714091283294</v>
      </c>
      <c r="K32" s="398" t="n">
        <f aca="false">K31+0.5*(vit_z+H31)*pas</f>
        <v>4.52381044693113</v>
      </c>
      <c r="L32" s="397" t="n">
        <f aca="false">SQRT(pos_x^2+pos_z^2)</f>
        <v>4.59360519975271</v>
      </c>
      <c r="M32" s="396" t="n">
        <f aca="false">IF(AND(L31&gt;L_rampe,G32&gt;0),ATAN2(G32,H32),$M$4)</f>
        <v>1.39577901605615</v>
      </c>
      <c r="N32" s="397" t="n">
        <f aca="false">DEGREES(Beta)</f>
        <v>79.9722467529403</v>
      </c>
      <c r="P32" s="399" t="n">
        <f aca="false">MATCH(t-pas/2-T_ini,CdP_t)</f>
        <v>6</v>
      </c>
      <c r="Q32" s="397" t="n">
        <f aca="false">(INDEX(CdP,2,i_P+1)-INDEX(CdP,2,i_P+0))/(INDEX(CdP,1,i_P+1)-INDEX(CdP,1,i_P+0))*(t-pas/2-T_ini-INDEX(CdP,1,i_P+0))+INDEX(CdP,2,i_P+0)</f>
        <v>1318.89</v>
      </c>
      <c r="R32" s="396" t="n">
        <f aca="false">Poussee/(g*ISP)</f>
        <v>0.6481444172778</v>
      </c>
      <c r="S32" s="398" t="n">
        <f aca="false">S31-Débit*pas</f>
        <v>9.26072962286017</v>
      </c>
      <c r="T32" s="397" t="n">
        <f aca="false">m*g</f>
        <v>90.8477576002582</v>
      </c>
      <c r="U32" s="400" t="n">
        <f aca="false">IF(pos_xz&lt;L_rampe,Poids*COS(Beta),0)</f>
        <v>0</v>
      </c>
      <c r="V32" s="396" t="n">
        <f aca="false">Rho_moyen*(20000-Alt_rampe-pos_z)/(20000+Alt_rampe+pos_z)</f>
        <v>1.22444595853918</v>
      </c>
      <c r="W32" s="397" t="n">
        <f aca="false">1/2*Rho*Sref*Cx*vit_xz^2</f>
        <v>5.49935941306706</v>
      </c>
      <c r="Y32" s="401" t="str">
        <f aca="false">IF(AND(pos_z&lt;=0,K31&gt;0),"Impact balistique","") &amp; IF(AND(H33&lt;0,vit_z&gt;=0),"Apogée","") &amp; IF(AND(Poussee=0,Q31&gt;0),"Fin de propulsion","") &amp; IF(AND(L33&gt;L_rampe,pos_xz&lt;=L_rampe),"Sortie de rampe","")</f>
        <v/>
      </c>
      <c r="Z32" s="402" t="str">
        <f aca="false">IF(ABS(t-T_para)&lt;pas/2,"Para","")</f>
        <v/>
      </c>
      <c r="AA32" s="403" t="str">
        <f aca="false">IF(ABS(t-T_satellite)&lt;pas/2,"Satellite","")</f>
        <v/>
      </c>
      <c r="AC32" s="399" t="e">
        <f aca="false">IF(ABS(t-ROUND(t,0))&lt;0.001,t,NA())</f>
        <v>#N/A</v>
      </c>
      <c r="AD32" s="404" t="e">
        <f aca="false">IF(ABS(t-ROUND(t,0))&lt;0.001,pos_x,NA())</f>
        <v>#N/A</v>
      </c>
      <c r="AE32" s="405" t="n">
        <f aca="false">IF(t&lt;T_para, pos_z, NA())</f>
        <v>4.52381044693113</v>
      </c>
      <c r="AG32" s="396" t="n">
        <f aca="false">IF(AND(L31&lt;L_rampe,Poussee&lt;Poids*SIN(M31)),0,(-W31+Poussee)/m-Poids*SIN(M31)/m)</f>
        <v>132.207265376967</v>
      </c>
      <c r="AH32" s="397" t="n">
        <f aca="false">IF(AND(L31&lt;L_rampe,Poussee&lt;Poids*SIN(M31)), g*SIN(M31), (-W31+Poussee)/m)</f>
        <v>141.868229434016</v>
      </c>
    </row>
    <row r="33" customFormat="false" ht="12.75" hidden="false" customHeight="false" outlineLevel="0" collapsed="false">
      <c r="A33" s="396" t="n">
        <f aca="false">IF(B32+0.01&lt;=T_ini+ROUNDUP(Temps_fin_propu,0), 0.01, IF(K32&gt;0, 0.1, 0.0001))</f>
        <v>0.01</v>
      </c>
      <c r="B33" s="397" t="n">
        <f aca="false">B32+pas</f>
        <v>0.29</v>
      </c>
      <c r="D33" s="396" t="n">
        <f aca="false">IF(AND(L32&lt;L_rampe,Poussee&lt;Poids*SIN(M32)),0,(-W32+Poussee)/m*COS(M32)-U32/m*SIN(M32))</f>
        <v>24.731196866711</v>
      </c>
      <c r="E33" s="398" t="n">
        <f aca="false">IF(AND(L32&lt;L_rampe,Poussee&lt;Poids*SIN(M32)),0,(-W32+Poussee)/m*SIN(M32)+U32/m*COS(M32)-Poids/m)</f>
        <v>130.051396292487</v>
      </c>
      <c r="F33" s="397" t="n">
        <f aca="false">SQRT(acc_x^2+acc_z^2)</f>
        <v>132.382014549128</v>
      </c>
      <c r="G33" s="396" t="n">
        <f aca="false">G32+acc_x*pas</f>
        <v>6.26298268156185</v>
      </c>
      <c r="H33" s="398" t="n">
        <f aca="false">H32+acc_z*pas</f>
        <v>35.3207075700438</v>
      </c>
      <c r="I33" s="397" t="n">
        <f aca="false">SQRT(vit_x^2+vit_z^2)</f>
        <v>35.8716787357114</v>
      </c>
      <c r="J33" s="396" t="n">
        <f aca="false">J32+0.5*(vit_x+G32)*pas*(K32&gt;=0)</f>
        <v>0.859107358255577</v>
      </c>
      <c r="K33" s="398" t="n">
        <f aca="false">K32+0.5*(vit_z+H32)*pas</f>
        <v>4.87051495281694</v>
      </c>
      <c r="L33" s="397" t="n">
        <f aca="false">SQRT(pos_x^2+pos_z^2)</f>
        <v>4.94570332294834</v>
      </c>
      <c r="M33" s="396" t="n">
        <f aca="false">IF(AND(L32&gt;L_rampe,G33&gt;0),ATAN2(G33,H33),$M$4)</f>
        <v>1.39530282754786</v>
      </c>
      <c r="N33" s="397" t="n">
        <f aca="false">DEGREES(Beta)</f>
        <v>79.9449631611623</v>
      </c>
      <c r="P33" s="399" t="n">
        <f aca="false">MATCH(t-pas/2-T_ini,CdP_t)</f>
        <v>6</v>
      </c>
      <c r="Q33" s="397" t="n">
        <f aca="false">(INDEX(CdP,2,i_P+1)-INDEX(CdP,2,i_P+0))/(INDEX(CdP,1,i_P+1)-INDEX(CdP,1,i_P+0))*(t-pas/2-T_ini-INDEX(CdP,1,i_P+0))+INDEX(CdP,2,i_P+0)</f>
        <v>1319.89</v>
      </c>
      <c r="R33" s="396" t="n">
        <f aca="false">Poussee/(g*ISP)</f>
        <v>0.648635849025161</v>
      </c>
      <c r="S33" s="398" t="n">
        <f aca="false">S32-Débit*pas</f>
        <v>9.25424326436991</v>
      </c>
      <c r="T33" s="397" t="n">
        <f aca="false">m*g</f>
        <v>90.7841264234689</v>
      </c>
      <c r="U33" s="400" t="n">
        <f aca="false">IF(pos_xz&lt;L_rampe,Poids*COS(Beta),0)</f>
        <v>0</v>
      </c>
      <c r="V33" s="396" t="n">
        <f aca="false">Rho_moyen*(20000-Alt_rampe-pos_z)/(20000+Alt_rampe+pos_z)</f>
        <v>1.22440350717964</v>
      </c>
      <c r="W33" s="397" t="n">
        <f aca="false">1/2*Rho*Sref*Cx*vit_xz^2</f>
        <v>5.92864593491454</v>
      </c>
      <c r="Y33" s="401" t="str">
        <f aca="false">IF(AND(pos_z&lt;=0,K32&gt;0),"Impact balistique","") &amp; IF(AND(H34&lt;0,vit_z&gt;=0),"Apogée","") &amp; IF(AND(Poussee=0,Q32&gt;0),"Fin de propulsion","") &amp; IF(AND(L34&gt;L_rampe,pos_xz&lt;=L_rampe),"Sortie de rampe","")</f>
        <v/>
      </c>
      <c r="Z33" s="402" t="str">
        <f aca="false">IF(ABS(t-T_para)&lt;pas/2,"Para","")</f>
        <v/>
      </c>
      <c r="AA33" s="403" t="str">
        <f aca="false">IF(ABS(t-T_satellite)&lt;pas/2,"Satellite","")</f>
        <v/>
      </c>
      <c r="AC33" s="399" t="e">
        <f aca="false">IF(ABS(t-ROUND(t,0))&lt;0.001,t,NA())</f>
        <v>#N/A</v>
      </c>
      <c r="AD33" s="404" t="e">
        <f aca="false">IF(ABS(t-ROUND(t,0))&lt;0.001,pos_x,NA())</f>
        <v>#N/A</v>
      </c>
      <c r="AE33" s="405" t="n">
        <f aca="false">IF(t&lt;T_para, pos_z, NA())</f>
        <v>4.87051495281694</v>
      </c>
      <c r="AG33" s="396" t="n">
        <f aca="false">IF(AND(L32&lt;L_rampe,Poussee&lt;Poids*SIN(M32)),0,(-W32+Poussee)/m-Poids*SIN(M32)/m)</f>
        <v>132.370993567262</v>
      </c>
      <c r="AH33" s="397" t="n">
        <f aca="false">IF(AND(L32&lt;L_rampe,Poussee&lt;Poids*SIN(M32)), g*SIN(M32), (-W32+Poussee)/m)</f>
        <v>142.031131345716</v>
      </c>
    </row>
    <row r="34" customFormat="false" ht="12.75" hidden="false" customHeight="false" outlineLevel="0" collapsed="false">
      <c r="A34" s="396" t="n">
        <f aca="false">IF(B33+0.01&lt;=T_ini+ROUNDUP(Temps_fin_propu,0), 0.01, IF(K33&gt;0, 0.1, 0.0001))</f>
        <v>0.01</v>
      </c>
      <c r="B34" s="397" t="n">
        <f aca="false">B33+pas</f>
        <v>0.3</v>
      </c>
      <c r="D34" s="396" t="n">
        <f aca="false">IF(AND(L33&lt;L_rampe,Poussee&lt;Poids*SIN(M33)),0,(-W33+Poussee)/m*COS(M33)-U33/m*SIN(M33))</f>
        <v>24.8259756168065</v>
      </c>
      <c r="E34" s="398" t="n">
        <f aca="false">IF(AND(L33&lt;L_rampe,Poussee&lt;Poids*SIN(M33)),0,(-W33+Poussee)/m*SIN(M33)+U33/m*COS(M33)-Poids/m)</f>
        <v>130.198534189909</v>
      </c>
      <c r="F34" s="397" t="n">
        <f aca="false">SQRT(acc_x^2+acc_z^2)</f>
        <v>132.544284563791</v>
      </c>
      <c r="G34" s="396" t="n">
        <f aca="false">G33+acc_x*pas</f>
        <v>6.51124243772992</v>
      </c>
      <c r="H34" s="398" t="n">
        <f aca="false">H33+acc_z*pas</f>
        <v>36.6226929119429</v>
      </c>
      <c r="I34" s="397" t="n">
        <f aca="false">SQRT(vit_x^2+vit_z^2)</f>
        <v>37.1970148561059</v>
      </c>
      <c r="J34" s="396" t="n">
        <f aca="false">J33+0.5*(vit_x+G33)*pas*(K33&gt;=0)</f>
        <v>0.922978483852036</v>
      </c>
      <c r="K34" s="398" t="n">
        <f aca="false">K33+0.5*(vit_z+H33)*pas</f>
        <v>5.23023195522687</v>
      </c>
      <c r="L34" s="397" t="n">
        <f aca="false">SQRT(pos_x^2+pos_z^2)</f>
        <v>5.31104656231991</v>
      </c>
      <c r="M34" s="396" t="n">
        <f aca="false">IF(AND(L33&gt;L_rampe,G34&gt;0),ATAN2(G34,H34),$M$4)</f>
        <v>1.39484236910137</v>
      </c>
      <c r="N34" s="397" t="n">
        <f aca="false">DEGREES(Beta)</f>
        <v>79.9185808355376</v>
      </c>
      <c r="P34" s="399" t="n">
        <f aca="false">MATCH(t-pas/2-T_ini,CdP_t)</f>
        <v>6</v>
      </c>
      <c r="Q34" s="397" t="n">
        <f aca="false">(INDEX(CdP,2,i_P+1)-INDEX(CdP,2,i_P+0))/(INDEX(CdP,1,i_P+1)-INDEX(CdP,1,i_P+0))*(t-pas/2-T_ini-INDEX(CdP,1,i_P+0))+INDEX(CdP,2,i_P+0)</f>
        <v>1320.89</v>
      </c>
      <c r="R34" s="396" t="n">
        <f aca="false">Poussee/(g*ISP)</f>
        <v>0.649127280772523</v>
      </c>
      <c r="S34" s="398" t="n">
        <f aca="false">S33-Débit*pas</f>
        <v>9.24775199156219</v>
      </c>
      <c r="T34" s="397" t="n">
        <f aca="false">m*g</f>
        <v>90.7204470372251</v>
      </c>
      <c r="U34" s="400" t="n">
        <f aca="false">IF(pos_xz&lt;L_rampe,Poids*COS(Beta),0)</f>
        <v>0</v>
      </c>
      <c r="V34" s="396" t="n">
        <f aca="false">Rho_moyen*(20000-Alt_rampe-pos_z)/(20000+Alt_rampe+pos_z)</f>
        <v>1.22435946409305</v>
      </c>
      <c r="W34" s="397" t="n">
        <f aca="false">1/2*Rho*Sref*Cx*vit_xz^2</f>
        <v>6.37459599847983</v>
      </c>
      <c r="Y34" s="401" t="str">
        <f aca="false">IF(AND(pos_z&lt;=0,K33&gt;0),"Impact balistique","") &amp; IF(AND(H35&lt;0,vit_z&gt;=0),"Apogée","") &amp; IF(AND(Poussee=0,Q33&gt;0),"Fin de propulsion","") &amp; IF(AND(L35&gt;L_rampe,pos_xz&lt;=L_rampe),"Sortie de rampe","")</f>
        <v/>
      </c>
      <c r="Z34" s="402" t="str">
        <f aca="false">IF(ABS(t-T_para)&lt;pas/2,"Para","")</f>
        <v/>
      </c>
      <c r="AA34" s="403" t="str">
        <f aca="false">IF(ABS(t-T_satellite)&lt;pas/2,"Satellite","")</f>
        <v/>
      </c>
      <c r="AC34" s="399" t="e">
        <f aca="false">IF(ABS(t-ROUND(t,0))&lt;0.001,t,NA())</f>
        <v>#N/A</v>
      </c>
      <c r="AD34" s="404" t="e">
        <f aca="false">IF(ABS(t-ROUND(t,0))&lt;0.001,pos_x,NA())</f>
        <v>#N/A</v>
      </c>
      <c r="AE34" s="405" t="n">
        <f aca="false">IF(t&lt;T_para, pos_z, NA())</f>
        <v>5.23023195522687</v>
      </c>
      <c r="AG34" s="396" t="n">
        <f aca="false">IF(AND(L33&lt;L_rampe,Poussee&lt;Poids*SIN(M33)),0,(-W33+Poussee)/m-Poids*SIN(M33)/m)</f>
        <v>132.533217710218</v>
      </c>
      <c r="AH34" s="397" t="n">
        <f aca="false">IF(AND(L33&lt;L_rampe,Poussee&lt;Poids*SIN(M33)), g*SIN(M33), (-W33+Poussee)/m)</f>
        <v>142.192540983461</v>
      </c>
    </row>
    <row r="35" customFormat="false" ht="12.75" hidden="false" customHeight="false" outlineLevel="0" collapsed="false">
      <c r="A35" s="396" t="n">
        <f aca="false">IF(B34+0.01&lt;=T_ini+ROUNDUP(Temps_fin_propu,0), 0.01, IF(K34&gt;0, 0.1, 0.0001))</f>
        <v>0.01</v>
      </c>
      <c r="B35" s="397" t="n">
        <f aca="false">B34+pas</f>
        <v>0.31</v>
      </c>
      <c r="D35" s="396" t="n">
        <f aca="false">IF(AND(L34&lt;L_rampe,Poussee&lt;Poids*SIN(M34)),0,(-W34+Poussee)/m*COS(M34)-U34/m*SIN(M34))</f>
        <v>24.9184327438866</v>
      </c>
      <c r="E35" s="398" t="n">
        <f aca="false">IF(AND(L34&lt;L_rampe,Poussee&lt;Poids*SIN(M34)),0,(-W34+Poussee)/m*SIN(M34)+U34/m*COS(M34)-Poids/m)</f>
        <v>130.344527949726</v>
      </c>
      <c r="F35" s="397" t="n">
        <f aca="false">SQRT(acc_x^2+acc_z^2)</f>
        <v>132.705027247835</v>
      </c>
      <c r="G35" s="396" t="n">
        <f aca="false">G34+acc_x*pas</f>
        <v>6.76042676516878</v>
      </c>
      <c r="H35" s="398" t="n">
        <f aca="false">H34+acc_z*pas</f>
        <v>37.9261381914401</v>
      </c>
      <c r="I35" s="397" t="n">
        <f aca="false">SQRT(vit_x^2+vit_z^2)</f>
        <v>38.5239578465586</v>
      </c>
      <c r="J35" s="396" t="n">
        <f aca="false">J34+0.5*(vit_x+G34)*pas*(K34&gt;=0)</f>
        <v>0.98933682986653</v>
      </c>
      <c r="K35" s="398" t="n">
        <f aca="false">K34+0.5*(vit_z+H34)*pas</f>
        <v>5.60297611074379</v>
      </c>
      <c r="L35" s="397" t="n">
        <f aca="false">SQRT(pos_x^2+pos_z^2)</f>
        <v>5.68965101394593</v>
      </c>
      <c r="M35" s="396" t="n">
        <f aca="false">IF(AND(L34&gt;L_rampe,G35&gt;0),ATAN2(G35,H35),$M$4)</f>
        <v>1.39439661648533</v>
      </c>
      <c r="N35" s="397" t="n">
        <f aca="false">DEGREES(Beta)</f>
        <v>79.8930410919313</v>
      </c>
      <c r="P35" s="399" t="n">
        <f aca="false">MATCH(t-pas/2-T_ini,CdP_t)</f>
        <v>6</v>
      </c>
      <c r="Q35" s="397" t="n">
        <f aca="false">(INDEX(CdP,2,i_P+1)-INDEX(CdP,2,i_P+0))/(INDEX(CdP,1,i_P+1)-INDEX(CdP,1,i_P+0))*(t-pas/2-T_ini-INDEX(CdP,1,i_P+0))+INDEX(CdP,2,i_P+0)</f>
        <v>1321.89</v>
      </c>
      <c r="R35" s="396" t="n">
        <f aca="false">Poussee/(g*ISP)</f>
        <v>0.649618712519885</v>
      </c>
      <c r="S35" s="398" t="n">
        <f aca="false">S34-Débit*pas</f>
        <v>9.24125580443699</v>
      </c>
      <c r="T35" s="397" t="n">
        <f aca="false">m*g</f>
        <v>90.6567194415269</v>
      </c>
      <c r="U35" s="400" t="n">
        <f aca="false">IF(pos_xz&lt;L_rampe,Poids*COS(Beta),0)</f>
        <v>0</v>
      </c>
      <c r="V35" s="396" t="n">
        <f aca="false">Rho_moyen*(20000-Alt_rampe-pos_z)/(20000+Alt_rampe+pos_z)</f>
        <v>1.2243138276568</v>
      </c>
      <c r="W35" s="397" t="n">
        <f aca="false">1/2*Rho*Sref*Cx*vit_xz^2</f>
        <v>6.8372600663679</v>
      </c>
      <c r="Y35" s="401" t="str">
        <f aca="false">IF(AND(pos_z&lt;=0,K34&gt;0),"Impact balistique","") &amp; IF(AND(H36&lt;0,vit_z&gt;=0),"Apogée","") &amp; IF(AND(Poussee=0,Q34&gt;0),"Fin de propulsion","") &amp; IF(AND(L36&gt;L_rampe,pos_xz&lt;=L_rampe),"Sortie de rampe","")</f>
        <v/>
      </c>
      <c r="Z35" s="402" t="str">
        <f aca="false">IF(ABS(t-T_para)&lt;pas/2,"Para","")</f>
        <v/>
      </c>
      <c r="AA35" s="403" t="str">
        <f aca="false">IF(ABS(t-T_satellite)&lt;pas/2,"Satellite","")</f>
        <v/>
      </c>
      <c r="AC35" s="399" t="e">
        <f aca="false">IF(ABS(t-ROUND(t,0))&lt;0.001,t,NA())</f>
        <v>#N/A</v>
      </c>
      <c r="AD35" s="404" t="e">
        <f aca="false">IF(ABS(t-ROUND(t,0))&lt;0.001,pos_x,NA())</f>
        <v>#N/A</v>
      </c>
      <c r="AE35" s="405" t="n">
        <f aca="false">IF(t&lt;T_para, pos_z, NA())</f>
        <v>5.60297611074379</v>
      </c>
      <c r="AG35" s="396" t="n">
        <f aca="false">IF(AND(L34&lt;L_rampe,Poussee&lt;Poids*SIN(M34)),0,(-W34+Poussee)/m-Poids*SIN(M34)/m)</f>
        <v>132.693916318623</v>
      </c>
      <c r="AH35" s="397" t="n">
        <f aca="false">IF(AND(L34&lt;L_rampe,Poussee&lt;Poids*SIN(M34)), g*SIN(M34), (-W34+Poussee)/m)</f>
        <v>142.352449909449</v>
      </c>
    </row>
    <row r="36" customFormat="false" ht="12.75" hidden="false" customHeight="false" outlineLevel="0" collapsed="false">
      <c r="A36" s="396" t="n">
        <f aca="false">IF(B35+0.01&lt;=T_ini+ROUNDUP(Temps_fin_propu,0), 0.01, IF(K35&gt;0, 0.1, 0.0001))</f>
        <v>0.01</v>
      </c>
      <c r="B36" s="397" t="n">
        <f aca="false">B35+pas</f>
        <v>0.32</v>
      </c>
      <c r="D36" s="396" t="n">
        <f aca="false">IF(AND(L35&lt;L_rampe,Poussee&lt;Poids*SIN(M35)),0,(-W35+Poussee)/m*COS(M35)-U35/m*SIN(M35))</f>
        <v>25.0087015149756</v>
      </c>
      <c r="E36" s="398" t="n">
        <f aca="false">IF(AND(L35&lt;L_rampe,Poussee&lt;Poids*SIN(M35)),0,(-W35+Poussee)/m*SIN(M35)+U35/m*COS(M35)-Poids/m)</f>
        <v>130.489348338812</v>
      </c>
      <c r="F36" s="397" t="n">
        <f aca="false">SQRT(acc_x^2+acc_z^2)</f>
        <v>132.864235900234</v>
      </c>
      <c r="G36" s="396" t="n">
        <f aca="false">G35+acc_x*pas</f>
        <v>7.01051378031854</v>
      </c>
      <c r="H36" s="398" t="n">
        <f aca="false">H35+acc_z*pas</f>
        <v>39.2310316748283</v>
      </c>
      <c r="I36" s="397" t="n">
        <f aca="false">SQRT(vit_x^2+vit_z^2)</f>
        <v>39.852492390507</v>
      </c>
      <c r="J36" s="396" t="n">
        <f aca="false">J35+0.5*(vit_x+G35)*pas*(K35&gt;=0)</f>
        <v>1.05819153259397</v>
      </c>
      <c r="K36" s="398" t="n">
        <f aca="false">K35+0.5*(vit_z+H35)*pas</f>
        <v>5.98876196007513</v>
      </c>
      <c r="L36" s="397" t="n">
        <f aca="false">SQRT(pos_x^2+pos_z^2)</f>
        <v>6.08153263035696</v>
      </c>
      <c r="M36" s="396" t="n">
        <f aca="false">IF(AND(L35&gt;L_rampe,G36&gt;0),ATAN2(G36,H36),$M$4)</f>
        <v>1.39396464334178</v>
      </c>
      <c r="N36" s="397" t="n">
        <f aca="false">DEGREES(Beta)</f>
        <v>79.8682908539432</v>
      </c>
      <c r="P36" s="399" t="n">
        <f aca="false">MATCH(t-pas/2-T_ini,CdP_t)</f>
        <v>6</v>
      </c>
      <c r="Q36" s="397" t="n">
        <f aca="false">(INDEX(CdP,2,i_P+1)-INDEX(CdP,2,i_P+0))/(INDEX(CdP,1,i_P+1)-INDEX(CdP,1,i_P+0))*(t-pas/2-T_ini-INDEX(CdP,1,i_P+0))+INDEX(CdP,2,i_P+0)</f>
        <v>1322.89</v>
      </c>
      <c r="R36" s="396" t="n">
        <f aca="false">Poussee/(g*ISP)</f>
        <v>0.650110144267246</v>
      </c>
      <c r="S36" s="398" t="n">
        <f aca="false">S35-Débit*pas</f>
        <v>9.23475470299432</v>
      </c>
      <c r="T36" s="397" t="n">
        <f aca="false">m*g</f>
        <v>90.5929436363742</v>
      </c>
      <c r="U36" s="400" t="n">
        <f aca="false">IF(pos_xz&lt;L_rampe,Poids*COS(Beta),0)</f>
        <v>0</v>
      </c>
      <c r="V36" s="396" t="n">
        <f aca="false">Rho_moyen*(20000-Alt_rampe-pos_z)/(20000+Alt_rampe+pos_z)</f>
        <v>1.22426659626891</v>
      </c>
      <c r="W36" s="397" t="n">
        <f aca="false">1/2*Rho*Sref*Cx*vit_xz^2</f>
        <v>7.31668776098749</v>
      </c>
      <c r="Y36" s="401" t="str">
        <f aca="false">IF(AND(pos_z&lt;=0,K35&gt;0),"Impact balistique","") &amp; IF(AND(H37&lt;0,vit_z&gt;=0),"Apogée","") &amp; IF(AND(Poussee=0,Q35&gt;0),"Fin de propulsion","") &amp; IF(AND(L37&gt;L_rampe,pos_xz&lt;=L_rampe),"Sortie de rampe","")</f>
        <v/>
      </c>
      <c r="Z36" s="402" t="str">
        <f aca="false">IF(ABS(t-T_para)&lt;pas/2,"Para","")</f>
        <v/>
      </c>
      <c r="AA36" s="403" t="str">
        <f aca="false">IF(ABS(t-T_satellite)&lt;pas/2,"Satellite","")</f>
        <v/>
      </c>
      <c r="AC36" s="399" t="e">
        <f aca="false">IF(ABS(t-ROUND(t,0))&lt;0.001,t,NA())</f>
        <v>#N/A</v>
      </c>
      <c r="AD36" s="404" t="e">
        <f aca="false">IF(ABS(t-ROUND(t,0))&lt;0.001,pos_x,NA())</f>
        <v>#N/A</v>
      </c>
      <c r="AE36" s="405" t="n">
        <f aca="false">IF(t&lt;T_para, pos_z, NA())</f>
        <v>5.98876196007513</v>
      </c>
      <c r="AG36" s="396" t="n">
        <f aca="false">IF(AND(L35&lt;L_rampe,Poussee&lt;Poids*SIN(M35)),0,(-W35+Poussee)/m-Poids*SIN(M35)/m)</f>
        <v>132.853082569498</v>
      </c>
      <c r="AH36" s="397" t="n">
        <f aca="false">IF(AND(L35&lt;L_rampe,Poussee&lt;Poids*SIN(M35)), g*SIN(M35), (-W35+Poussee)/m)</f>
        <v>142.510849747521</v>
      </c>
    </row>
    <row r="37" customFormat="false" ht="12.75" hidden="false" customHeight="false" outlineLevel="0" collapsed="false">
      <c r="A37" s="396" t="n">
        <f aca="false">IF(B36+0.01&lt;=T_ini+ROUNDUP(Temps_fin_propu,0), 0.01, IF(K36&gt;0, 0.1, 0.0001))</f>
        <v>0.01</v>
      </c>
      <c r="B37" s="397" t="n">
        <f aca="false">B36+pas</f>
        <v>0.33</v>
      </c>
      <c r="D37" s="396" t="n">
        <f aca="false">IF(AND(L36&lt;L_rampe,Poussee&lt;Poids*SIN(M36)),0,(-W36+Poussee)/m*COS(M36)-U36/m*SIN(M36))</f>
        <v>25.0969021631879</v>
      </c>
      <c r="E37" s="398" t="n">
        <f aca="false">IF(AND(L36&lt;L_rampe,Poussee&lt;Poids*SIN(M36)),0,(-W36+Poussee)/m*SIN(M36)+U36/m*COS(M36)-Poids/m)</f>
        <v>130.632968169924</v>
      </c>
      <c r="F37" s="397" t="n">
        <f aca="false">SQRT(acc_x^2+acc_z^2)</f>
        <v>133.021903726691</v>
      </c>
      <c r="G37" s="396" t="n">
        <f aca="false">G36+acc_x*pas</f>
        <v>7.26148280195042</v>
      </c>
      <c r="H37" s="398" t="n">
        <f aca="false">H36+acc_z*pas</f>
        <v>40.5373613565275</v>
      </c>
      <c r="I37" s="397" t="n">
        <f aca="false">SQRT(vit_x^2+vit_z^2)</f>
        <v>41.1826031017068</v>
      </c>
      <c r="J37" s="396" t="n">
        <f aca="false">J36+0.5*(vit_x+G36)*pas*(K36&gt;=0)</f>
        <v>1.12955151550531</v>
      </c>
      <c r="K37" s="398" t="n">
        <f aca="false">K36+0.5*(vit_z+H36)*pas</f>
        <v>6.38760392523191</v>
      </c>
      <c r="L37" s="397" t="n">
        <f aca="false">SQRT(pos_x^2+pos_z^2)</f>
        <v>6.4867072179819</v>
      </c>
      <c r="M37" s="396" t="n">
        <f aca="false">IF(AND(L36&gt;L_rampe,G37&gt;0),ATAN2(G37,H37),$M$4)</f>
        <v>1.39354560903023</v>
      </c>
      <c r="N37" s="397" t="n">
        <f aca="false">DEGREES(Beta)</f>
        <v>79.8442819564202</v>
      </c>
      <c r="P37" s="399" t="n">
        <f aca="false">MATCH(t-pas/2-T_ini,CdP_t)</f>
        <v>6</v>
      </c>
      <c r="Q37" s="397" t="n">
        <f aca="false">(INDEX(CdP,2,i_P+1)-INDEX(CdP,2,i_P+0))/(INDEX(CdP,1,i_P+1)-INDEX(CdP,1,i_P+0))*(t-pas/2-T_ini-INDEX(CdP,1,i_P+0))+INDEX(CdP,2,i_P+0)</f>
        <v>1323.89</v>
      </c>
      <c r="R37" s="396" t="n">
        <f aca="false">Poussee/(g*ISP)</f>
        <v>0.650601576014608</v>
      </c>
      <c r="S37" s="398" t="n">
        <f aca="false">S36-Débit*pas</f>
        <v>9.22824868723417</v>
      </c>
      <c r="T37" s="397" t="n">
        <f aca="false">m*g</f>
        <v>90.5291196217672</v>
      </c>
      <c r="U37" s="400" t="n">
        <f aca="false">IF(pos_xz&lt;L_rampe,Poids*COS(Beta),0)</f>
        <v>0</v>
      </c>
      <c r="V37" s="396" t="n">
        <f aca="false">Rho_moyen*(20000-Alt_rampe-pos_z)/(20000+Alt_rampe+pos_z)</f>
        <v>1.22421776834846</v>
      </c>
      <c r="W37" s="397" t="n">
        <f aca="false">1/2*Rho*Sref*Cx*vit_xz^2</f>
        <v>7.81292785705957</v>
      </c>
      <c r="Y37" s="401" t="str">
        <f aca="false">IF(AND(pos_z&lt;=0,K36&gt;0),"Impact balistique","") &amp; IF(AND(H38&lt;0,vit_z&gt;=0),"Apogée","") &amp; IF(AND(Poussee=0,Q36&gt;0),"Fin de propulsion","") &amp; IF(AND(L38&gt;L_rampe,pos_xz&lt;=L_rampe),"Sortie de rampe","")</f>
        <v/>
      </c>
      <c r="Z37" s="402" t="str">
        <f aca="false">IF(ABS(t-T_para)&lt;pas/2,"Para","")</f>
        <v/>
      </c>
      <c r="AA37" s="403" t="str">
        <f aca="false">IF(ABS(t-T_satellite)&lt;pas/2,"Satellite","")</f>
        <v/>
      </c>
      <c r="AC37" s="399" t="e">
        <f aca="false">IF(ABS(t-ROUND(t,0))&lt;0.001,t,NA())</f>
        <v>#N/A</v>
      </c>
      <c r="AD37" s="404" t="e">
        <f aca="false">IF(ABS(t-ROUND(t,0))&lt;0.001,pos_x,NA())</f>
        <v>#N/A</v>
      </c>
      <c r="AE37" s="405" t="n">
        <f aca="false">IF(t&lt;T_para, pos_z, NA())</f>
        <v>6.38760392523191</v>
      </c>
      <c r="AG37" s="396" t="n">
        <f aca="false">IF(AND(L36&lt;L_rampe,Poussee&lt;Poids*SIN(M36)),0,(-W36+Poussee)/m-Poids*SIN(M36)/m)</f>
        <v>133.010709557833</v>
      </c>
      <c r="AH37" s="397" t="n">
        <f aca="false">IF(AND(L36&lt;L_rampe,Poussee&lt;Poids*SIN(M36)), g*SIN(M36), (-W36+Poussee)/m)</f>
        <v>142.667732184145</v>
      </c>
    </row>
    <row r="38" customFormat="false" ht="12.75" hidden="false" customHeight="false" outlineLevel="0" collapsed="false">
      <c r="A38" s="396" t="n">
        <f aca="false">IF(B37+0.01&lt;=T_ini+ROUNDUP(Temps_fin_propu,0), 0.01, IF(K37&gt;0, 0.1, 0.0001))</f>
        <v>0.01</v>
      </c>
      <c r="B38" s="397" t="n">
        <f aca="false">B37+pas</f>
        <v>0.34</v>
      </c>
      <c r="D38" s="396" t="n">
        <f aca="false">IF(AND(L37&lt;L_rampe,Poussee&lt;Poids*SIN(M37)),0,(-W37+Poussee)/m*COS(M37)-U37/m*SIN(M37))</f>
        <v>25.1831435160014</v>
      </c>
      <c r="E38" s="398" t="n">
        <f aca="false">IF(AND(L37&lt;L_rampe,Poussee&lt;Poids*SIN(M37)),0,(-W37+Poussee)/m*SIN(M37)+U37/m*COS(M37)-Poids/m)</f>
        <v>130.775362059556</v>
      </c>
      <c r="F38" s="397" t="n">
        <f aca="false">SQRT(acc_x^2+acc_z^2)</f>
        <v>133.178023859628</v>
      </c>
      <c r="G38" s="396" t="n">
        <f aca="false">G37+acc_x*pas</f>
        <v>7.51331423711043</v>
      </c>
      <c r="H38" s="398" t="n">
        <f aca="false">H37+acc_z*pas</f>
        <v>41.8451149771231</v>
      </c>
      <c r="I38" s="397" t="n">
        <f aca="false">SQRT(vit_x^2+vit_z^2)</f>
        <v>42.5142745236728</v>
      </c>
      <c r="J38" s="396" t="n">
        <f aca="false">J37+0.5*(vit_x+G37)*pas*(K37&gt;=0)</f>
        <v>1.20342550070062</v>
      </c>
      <c r="K38" s="398" t="n">
        <f aca="false">K37+0.5*(vit_z+H37)*pas</f>
        <v>6.79951630690016</v>
      </c>
      <c r="L38" s="397" t="n">
        <f aca="false">SQRT(pos_x^2+pos_z^2)</f>
        <v>6.90519043499437</v>
      </c>
      <c r="M38" s="396" t="n">
        <f aca="false">IF(AND(L37&gt;L_rampe,G38&gt;0),ATAN2(G38,H38),$M$4)</f>
        <v>1.39313874830812</v>
      </c>
      <c r="N38" s="397" t="n">
        <f aca="false">DEGREES(Beta)</f>
        <v>79.8209705541935</v>
      </c>
      <c r="P38" s="399" t="n">
        <f aca="false">MATCH(t-pas/2-T_ini,CdP_t)</f>
        <v>6</v>
      </c>
      <c r="Q38" s="397" t="n">
        <f aca="false">(INDEX(CdP,2,i_P+1)-INDEX(CdP,2,i_P+0))/(INDEX(CdP,1,i_P+1)-INDEX(CdP,1,i_P+0))*(t-pas/2-T_ini-INDEX(CdP,1,i_P+0))+INDEX(CdP,2,i_P+0)</f>
        <v>1324.89</v>
      </c>
      <c r="R38" s="396" t="n">
        <f aca="false">Poussee/(g*ISP)</f>
        <v>0.651093007761969</v>
      </c>
      <c r="S38" s="398" t="n">
        <f aca="false">S37-Débit*pas</f>
        <v>9.22173775715655</v>
      </c>
      <c r="T38" s="397" t="n">
        <f aca="false">m*g</f>
        <v>90.4652473977058</v>
      </c>
      <c r="U38" s="400" t="n">
        <f aca="false">IF(pos_xz&lt;L_rampe,Poids*COS(Beta),0)</f>
        <v>0</v>
      </c>
      <c r="V38" s="396" t="n">
        <f aca="false">Rho_moyen*(20000-Alt_rampe-pos_z)/(20000+Alt_rampe+pos_z)</f>
        <v>1.22416734233587</v>
      </c>
      <c r="W38" s="397" t="n">
        <f aca="false">1/2*Rho*Sref*Cx*vit_xz^2</f>
        <v>8.32602827416521</v>
      </c>
      <c r="Y38" s="401" t="str">
        <f aca="false">IF(AND(pos_z&lt;=0,K37&gt;0),"Impact balistique","") &amp; IF(AND(H39&lt;0,vit_z&gt;=0),"Apogée","") &amp; IF(AND(Poussee=0,Q37&gt;0),"Fin de propulsion","") &amp; IF(AND(L39&gt;L_rampe,pos_xz&lt;=L_rampe),"Sortie de rampe","")</f>
        <v/>
      </c>
      <c r="Z38" s="402" t="str">
        <f aca="false">IF(ABS(t-T_para)&lt;pas/2,"Para","")</f>
        <v/>
      </c>
      <c r="AA38" s="403" t="str">
        <f aca="false">IF(ABS(t-T_satellite)&lt;pas/2,"Satellite","")</f>
        <v/>
      </c>
      <c r="AC38" s="399" t="e">
        <f aca="false">IF(ABS(t-ROUND(t,0))&lt;0.001,t,NA())</f>
        <v>#N/A</v>
      </c>
      <c r="AD38" s="404" t="e">
        <f aca="false">IF(ABS(t-ROUND(t,0))&lt;0.001,pos_x,NA())</f>
        <v>#N/A</v>
      </c>
      <c r="AE38" s="405" t="n">
        <f aca="false">IF(t&lt;T_para, pos_z, NA())</f>
        <v>6.79951630690016</v>
      </c>
      <c r="AG38" s="396" t="n">
        <f aca="false">IF(AND(L37&lt;L_rampe,Poussee&lt;Poids*SIN(M37)),0,(-W37+Poussee)/m-Poids*SIN(M37)/m)</f>
        <v>133.166790315209</v>
      </c>
      <c r="AH38" s="397" t="n">
        <f aca="false">IF(AND(L37&lt;L_rampe,Poussee&lt;Poids*SIN(M37)), g*SIN(M37), (-W37+Poussee)/m)</f>
        <v>142.82308896941</v>
      </c>
    </row>
    <row r="39" customFormat="false" ht="12.75" hidden="false" customHeight="false" outlineLevel="0" collapsed="false">
      <c r="A39" s="396" t="n">
        <f aca="false">IF(B38+0.01&lt;=T_ini+ROUNDUP(Temps_fin_propu,0), 0.01, IF(K38&gt;0, 0.1, 0.0001))</f>
        <v>0.01</v>
      </c>
      <c r="B39" s="397" t="n">
        <f aca="false">B38+pas</f>
        <v>0.35</v>
      </c>
      <c r="D39" s="396" t="n">
        <f aca="false">IF(AND(L38&lt;L_rampe,Poussee&lt;Poids*SIN(M38)),0,(-W38+Poussee)/m*COS(M38)-U38/m*SIN(M38))</f>
        <v>25.2675243768663</v>
      </c>
      <c r="E39" s="398" t="n">
        <f aca="false">IF(AND(L38&lt;L_rampe,Poussee&lt;Poids*SIN(M38)),0,(-W38+Poussee)/m*SIN(M38)+U38/m*COS(M38)-Poids/m)</f>
        <v>130.916506222089</v>
      </c>
      <c r="F39" s="397" t="n">
        <f aca="false">SQRT(acc_x^2+acc_z^2)</f>
        <v>133.332589375343</v>
      </c>
      <c r="G39" s="396" t="n">
        <f aca="false">G38+acc_x*pas</f>
        <v>7.76598948087909</v>
      </c>
      <c r="H39" s="398" t="n">
        <f aca="false">H38+acc_z*pas</f>
        <v>43.154280039344</v>
      </c>
      <c r="I39" s="397" t="n">
        <f aca="false">SQRT(vit_x^2+vit_z^2)</f>
        <v>43.8474911292681</v>
      </c>
      <c r="J39" s="396" t="n">
        <f aca="false">J38+0.5*(vit_x+G38)*pas*(K38&gt;=0)</f>
        <v>1.27982201929056</v>
      </c>
      <c r="K39" s="398" t="n">
        <f aca="false">K38+0.5*(vit_z+H38)*pas</f>
        <v>7.2245132819825</v>
      </c>
      <c r="L39" s="397" t="n">
        <f aca="false">SQRT(pos_x^2+pos_z^2)</f>
        <v>7.3369977894642</v>
      </c>
      <c r="M39" s="396" t="n">
        <f aca="false">IF(AND(L38&gt;L_rampe,G39&gt;0),ATAN2(G39,H39),$M$4)</f>
        <v>1.39274336252402</v>
      </c>
      <c r="N39" s="397" t="n">
        <f aca="false">DEGREES(Beta)</f>
        <v>79.798316617485</v>
      </c>
      <c r="P39" s="399" t="n">
        <f aca="false">MATCH(t-pas/2-T_ini,CdP_t)</f>
        <v>6</v>
      </c>
      <c r="Q39" s="397" t="n">
        <f aca="false">(INDEX(CdP,2,i_P+1)-INDEX(CdP,2,i_P+0))/(INDEX(CdP,1,i_P+1)-INDEX(CdP,1,i_P+0))*(t-pas/2-T_ini-INDEX(CdP,1,i_P+0))+INDEX(CdP,2,i_P+0)</f>
        <v>1325.89</v>
      </c>
      <c r="R39" s="396" t="n">
        <f aca="false">Poussee/(g*ISP)</f>
        <v>0.651584439509331</v>
      </c>
      <c r="S39" s="398" t="n">
        <f aca="false">S38-Débit*pas</f>
        <v>9.21522191276146</v>
      </c>
      <c r="T39" s="397" t="n">
        <f aca="false">m*g</f>
        <v>90.4013269641899</v>
      </c>
      <c r="U39" s="400" t="n">
        <f aca="false">IF(pos_xz&lt;L_rampe,Poids*COS(Beta),0)</f>
        <v>0</v>
      </c>
      <c r="V39" s="396" t="n">
        <f aca="false">Rho_moyen*(20000-Alt_rampe-pos_z)/(20000+Alt_rampe+pos_z)</f>
        <v>1.22411531669327</v>
      </c>
      <c r="W39" s="397" t="n">
        <f aca="false">1/2*Rho*Sref*Cx*vit_xz^2</f>
        <v>8.85603606933859</v>
      </c>
      <c r="Y39" s="401" t="str">
        <f aca="false">IF(AND(pos_z&lt;=0,K38&gt;0),"Impact balistique","") &amp; IF(AND(H40&lt;0,vit_z&gt;=0),"Apogée","") &amp; IF(AND(Poussee=0,Q38&gt;0),"Fin de propulsion","") &amp; IF(AND(L40&gt;L_rampe,pos_xz&lt;=L_rampe),"Sortie de rampe","")</f>
        <v/>
      </c>
      <c r="Z39" s="402" t="str">
        <f aca="false">IF(ABS(t-T_para)&lt;pas/2,"Para","")</f>
        <v/>
      </c>
      <c r="AA39" s="403" t="str">
        <f aca="false">IF(ABS(t-T_satellite)&lt;pas/2,"Satellite","")</f>
        <v/>
      </c>
      <c r="AC39" s="399" t="e">
        <f aca="false">IF(ABS(t-ROUND(t,0))&lt;0.001,t,NA())</f>
        <v>#N/A</v>
      </c>
      <c r="AD39" s="404" t="e">
        <f aca="false">IF(ABS(t-ROUND(t,0))&lt;0.001,pos_x,NA())</f>
        <v>#N/A</v>
      </c>
      <c r="AE39" s="405" t="n">
        <f aca="false">IF(t&lt;T_para, pos_z, NA())</f>
        <v>7.2245132819825</v>
      </c>
      <c r="AG39" s="396" t="n">
        <f aca="false">IF(AND(L38&lt;L_rampe,Poussee&lt;Poids*SIN(M38)),0,(-W38+Poussee)/m-Poids*SIN(M38)/m)</f>
        <v>133.321317825798</v>
      </c>
      <c r="AH39" s="397" t="n">
        <f aca="false">IF(AND(L38&lt;L_rampe,Poussee&lt;Poids*SIN(M38)), g*SIN(M38), (-W38+Poussee)/m)</f>
        <v>142.976911918013</v>
      </c>
    </row>
    <row r="40" customFormat="false" ht="12.75" hidden="false" customHeight="false" outlineLevel="0" collapsed="false">
      <c r="A40" s="396" t="n">
        <f aca="false">IF(B39+0.01&lt;=T_ini+ROUNDUP(Temps_fin_propu,0), 0.01, IF(K39&gt;0, 0.1, 0.0001))</f>
        <v>0.01</v>
      </c>
      <c r="B40" s="397" t="n">
        <f aca="false">B39+pas</f>
        <v>0.36</v>
      </c>
      <c r="D40" s="396" t="n">
        <f aca="false">IF(AND(L39&lt;L_rampe,Poussee&lt;Poids*SIN(M39)),0,(-W39+Poussee)/m*COS(M39)-U39/m*SIN(M39))</f>
        <v>25.3501347037329</v>
      </c>
      <c r="E40" s="398" t="n">
        <f aca="false">IF(AND(L39&lt;L_rampe,Poussee&lt;Poids*SIN(M39)),0,(-W39+Poussee)/m*SIN(M39)+U39/m*COS(M39)-Poids/m)</f>
        <v>131.056378293902</v>
      </c>
      <c r="F40" s="397" t="n">
        <f aca="false">SQRT(acc_x^2+acc_z^2)</f>
        <v>133.485593308836</v>
      </c>
      <c r="G40" s="396" t="n">
        <f aca="false">G39+acc_x*pas</f>
        <v>8.01949082791642</v>
      </c>
      <c r="H40" s="398" t="n">
        <f aca="false">H39+acc_z*pas</f>
        <v>44.464843822283</v>
      </c>
      <c r="I40" s="397" t="n">
        <f aca="false">SQRT(vit_x^2+vit_z^2)</f>
        <v>45.1822373204233</v>
      </c>
      <c r="J40" s="396" t="n">
        <f aca="false">J39+0.5*(vit_x+G39)*pas*(K39&gt;=0)</f>
        <v>1.35874942083454</v>
      </c>
      <c r="K40" s="398" t="n">
        <f aca="false">K39+0.5*(vit_z+H39)*pas</f>
        <v>7.66260890129063</v>
      </c>
      <c r="L40" s="397" t="n">
        <f aca="false">SQRT(pos_x^2+pos_z^2)</f>
        <v>7.78214463774329</v>
      </c>
      <c r="M40" s="396" t="n">
        <f aca="false">IF(AND(L39&gt;L_rampe,G40&gt;0),ATAN2(G40,H40),$M$4)</f>
        <v>1.39235881206441</v>
      </c>
      <c r="N40" s="397" t="n">
        <f aca="false">DEGREES(Beta)</f>
        <v>79.7762834991395</v>
      </c>
      <c r="P40" s="399" t="n">
        <f aca="false">MATCH(t-pas/2-T_ini,CdP_t)</f>
        <v>6</v>
      </c>
      <c r="Q40" s="397" t="n">
        <f aca="false">(INDEX(CdP,2,i_P+1)-INDEX(CdP,2,i_P+0))/(INDEX(CdP,1,i_P+1)-INDEX(CdP,1,i_P+0))*(t-pas/2-T_ini-INDEX(CdP,1,i_P+0))+INDEX(CdP,2,i_P+0)</f>
        <v>1326.89</v>
      </c>
      <c r="R40" s="396" t="n">
        <f aca="false">Poussee/(g*ISP)</f>
        <v>0.652075871256693</v>
      </c>
      <c r="S40" s="398" t="n">
        <f aca="false">S39-Débit*pas</f>
        <v>9.20870115404889</v>
      </c>
      <c r="T40" s="397" t="n">
        <f aca="false">m*g</f>
        <v>90.3373583212196</v>
      </c>
      <c r="U40" s="400" t="n">
        <f aca="false">IF(pos_xz&lt;L_rampe,Poids*COS(Beta),0)</f>
        <v>0</v>
      </c>
      <c r="V40" s="396" t="n">
        <f aca="false">Rho_moyen*(20000-Alt_rampe-pos_z)/(20000+Alt_rampe+pos_z)</f>
        <v>1.22406168990476</v>
      </c>
      <c r="W40" s="397" t="n">
        <f aca="false">1/2*Rho*Sref*Cx*vit_xz^2</f>
        <v>9.40299742970999</v>
      </c>
      <c r="Y40" s="401" t="str">
        <f aca="false">IF(AND(pos_z&lt;=0,K39&gt;0),"Impact balistique","") &amp; IF(AND(H41&lt;0,vit_z&gt;=0),"Apogée","") &amp; IF(AND(Poussee=0,Q39&gt;0),"Fin de propulsion","") &amp; IF(AND(L41&gt;L_rampe,pos_xz&lt;=L_rampe),"Sortie de rampe","")</f>
        <v/>
      </c>
      <c r="Z40" s="402" t="str">
        <f aca="false">IF(ABS(t-T_para)&lt;pas/2,"Para","")</f>
        <v/>
      </c>
      <c r="AA40" s="403" t="str">
        <f aca="false">IF(ABS(t-T_satellite)&lt;pas/2,"Satellite","")</f>
        <v/>
      </c>
      <c r="AC40" s="399" t="e">
        <f aca="false">IF(ABS(t-ROUND(t,0))&lt;0.001,t,NA())</f>
        <v>#N/A</v>
      </c>
      <c r="AD40" s="404" t="e">
        <f aca="false">IF(ABS(t-ROUND(t,0))&lt;0.001,pos_x,NA())</f>
        <v>#N/A</v>
      </c>
      <c r="AE40" s="405" t="n">
        <f aca="false">IF(t&lt;T_para, pos_z, NA())</f>
        <v>7.66260890129063</v>
      </c>
      <c r="AG40" s="396" t="n">
        <f aca="false">IF(AND(L39&lt;L_rampe,Poussee&lt;Poids*SIN(M39)),0,(-W39+Poussee)/m-Poids*SIN(M39)/m)</f>
        <v>133.474285040194</v>
      </c>
      <c r="AH40" s="397" t="n">
        <f aca="false">IF(AND(L39&lt;L_rampe,Poussee&lt;Poids*SIN(M39)), g*SIN(M39), (-W39+Poussee)/m)</f>
        <v>143.129192910245</v>
      </c>
    </row>
    <row r="41" customFormat="false" ht="12.75" hidden="false" customHeight="false" outlineLevel="0" collapsed="false">
      <c r="A41" s="396" t="n">
        <f aca="false">IF(B40+0.01&lt;=T_ini+ROUNDUP(Temps_fin_propu,0), 0.01, IF(K40&gt;0, 0.1, 0.0001))</f>
        <v>0.01</v>
      </c>
      <c r="B41" s="397" t="n">
        <f aca="false">B40+pas</f>
        <v>0.37</v>
      </c>
      <c r="D41" s="396" t="n">
        <f aca="false">IF(AND(L40&lt;L_rampe,Poussee&lt;Poids*SIN(M40)),0,(-W40+Poussee)/m*COS(M40)-U40/m*SIN(M40))</f>
        <v>25.4310566193451</v>
      </c>
      <c r="E41" s="398" t="n">
        <f aca="false">IF(AND(L40&lt;L_rampe,Poussee&lt;Poids*SIN(M40)),0,(-W40+Poussee)/m*SIN(M40)+U40/m*COS(M40)-Poids/m)</f>
        <v>131.194957182376</v>
      </c>
      <c r="F41" s="397" t="n">
        <f aca="false">SQRT(acc_x^2+acc_z^2)</f>
        <v>133.637028666691</v>
      </c>
      <c r="G41" s="396" t="n">
        <f aca="false">G40+acc_x*pas</f>
        <v>8.27380139410987</v>
      </c>
      <c r="H41" s="398" t="n">
        <f aca="false">H40+acc_z*pas</f>
        <v>45.7767933941067</v>
      </c>
      <c r="I41" s="397" t="n">
        <f aca="false">SQRT(vit_x^2+vit_z^2)</f>
        <v>46.5184974279685</v>
      </c>
      <c r="J41" s="396" t="n">
        <f aca="false">J40+0.5*(vit_x+G40)*pas*(K40&gt;=0)</f>
        <v>1.44021588194467</v>
      </c>
      <c r="K41" s="398" t="n">
        <f aca="false">K40+0.5*(vit_z+H40)*pas</f>
        <v>8.11381708737258</v>
      </c>
      <c r="L41" s="397" t="n">
        <f aca="false">SQRT(pos_x^2+pos_z^2)</f>
        <v>8.24064618303352</v>
      </c>
      <c r="M41" s="396" t="n">
        <f aca="false">IF(AND(L40&gt;L_rampe,G41&gt;0),ATAN2(G41,H41),$M$4)</f>
        <v>1.39198450984538</v>
      </c>
      <c r="N41" s="397" t="n">
        <f aca="false">DEGREES(Beta)</f>
        <v>79.7548375617269</v>
      </c>
      <c r="P41" s="399" t="n">
        <f aca="false">MATCH(t-pas/2-T_ini,CdP_t)</f>
        <v>6</v>
      </c>
      <c r="Q41" s="397" t="n">
        <f aca="false">(INDEX(CdP,2,i_P+1)-INDEX(CdP,2,i_P+0))/(INDEX(CdP,1,i_P+1)-INDEX(CdP,1,i_P+0))*(t-pas/2-T_ini-INDEX(CdP,1,i_P+0))+INDEX(CdP,2,i_P+0)</f>
        <v>1327.89</v>
      </c>
      <c r="R41" s="396" t="n">
        <f aca="false">Poussee/(g*ISP)</f>
        <v>0.652567303004054</v>
      </c>
      <c r="S41" s="398" t="n">
        <f aca="false">S40-Débit*pas</f>
        <v>9.20217548101885</v>
      </c>
      <c r="T41" s="397" t="n">
        <f aca="false">m*g</f>
        <v>90.2733414687949</v>
      </c>
      <c r="U41" s="400" t="n">
        <f aca="false">IF(pos_xz&lt;L_rampe,Poids*COS(Beta),0)</f>
        <v>0</v>
      </c>
      <c r="V41" s="396" t="n">
        <f aca="false">Rho_moyen*(20000-Alt_rampe-pos_z)/(20000+Alt_rampe+pos_z)</f>
        <v>1.2240064604767</v>
      </c>
      <c r="W41" s="397" t="n">
        <f aca="false">1/2*Rho*Sref*Cx*vit_xz^2</f>
        <v>9.96695766520351</v>
      </c>
      <c r="Y41" s="401" t="str">
        <f aca="false">IF(AND(pos_z&lt;=0,K40&gt;0),"Impact balistique","") &amp; IF(AND(H42&lt;0,vit_z&gt;=0),"Apogée","") &amp; IF(AND(Poussee=0,Q40&gt;0),"Fin de propulsion","") &amp; IF(AND(L42&gt;L_rampe,pos_xz&lt;=L_rampe),"Sortie de rampe","")</f>
        <v/>
      </c>
      <c r="Z41" s="402" t="str">
        <f aca="false">IF(ABS(t-T_para)&lt;pas/2,"Para","")</f>
        <v/>
      </c>
      <c r="AA41" s="403" t="str">
        <f aca="false">IF(ABS(t-T_satellite)&lt;pas/2,"Satellite","")</f>
        <v/>
      </c>
      <c r="AC41" s="399" t="e">
        <f aca="false">IF(ABS(t-ROUND(t,0))&lt;0.001,t,NA())</f>
        <v>#N/A</v>
      </c>
      <c r="AD41" s="404" t="e">
        <f aca="false">IF(ABS(t-ROUND(t,0))&lt;0.001,pos_x,NA())</f>
        <v>#N/A</v>
      </c>
      <c r="AE41" s="405" t="n">
        <f aca="false">IF(t&lt;T_para, pos_z, NA())</f>
        <v>8.11381708737258</v>
      </c>
      <c r="AG41" s="396" t="n">
        <f aca="false">IF(AND(L40&lt;L_rampe,Poussee&lt;Poids*SIN(M40)),0,(-W40+Poussee)/m-Poids*SIN(M40)/m)</f>
        <v>133.625684887442</v>
      </c>
      <c r="AH41" s="397" t="n">
        <f aca="false">IF(AND(L40&lt;L_rampe,Poussee&lt;Poids*SIN(M40)), g*SIN(M40), (-W40+Poussee)/m)</f>
        <v>143.279923892987</v>
      </c>
    </row>
    <row r="42" customFormat="false" ht="12.75" hidden="false" customHeight="false" outlineLevel="0" collapsed="false">
      <c r="A42" s="396" t="n">
        <f aca="false">IF(B41+0.01&lt;=T_ini+ROUNDUP(Temps_fin_propu,0), 0.01, IF(K41&gt;0, 0.1, 0.0001))</f>
        <v>0.01</v>
      </c>
      <c r="B42" s="397" t="n">
        <f aca="false">B41+pas</f>
        <v>0.38</v>
      </c>
      <c r="D42" s="396" t="n">
        <f aca="false">IF(AND(L41&lt;L_rampe,Poussee&lt;Poids*SIN(M41)),0,(-W41+Poussee)/m*COS(M41)-U41/m*SIN(M41))</f>
        <v>25.5103652813575</v>
      </c>
      <c r="E42" s="398" t="n">
        <f aca="false">IF(AND(L41&lt;L_rampe,Poussee&lt;Poids*SIN(M41)),0,(-W41+Poussee)/m*SIN(M41)+U41/m*COS(M41)-Poids/m)</f>
        <v>131.332222935668</v>
      </c>
      <c r="F42" s="397" t="n">
        <f aca="false">SQRT(acc_x^2+acc_z^2)</f>
        <v>133.786888438338</v>
      </c>
      <c r="G42" s="396" t="n">
        <f aca="false">G41+acc_x*pas</f>
        <v>8.52890504692345</v>
      </c>
      <c r="H42" s="398" t="n">
        <f aca="false">H41+acc_z*pas</f>
        <v>47.0901156234634</v>
      </c>
      <c r="I42" s="397" t="n">
        <f aca="false">SQRT(vit_x^2+vit_z^2)</f>
        <v>47.8562557115639</v>
      </c>
      <c r="J42" s="396" t="n">
        <f aca="false">J41+0.5*(vit_x+G41)*pas*(K41&gt;=0)</f>
        <v>1.52422941414984</v>
      </c>
      <c r="K42" s="398" t="n">
        <f aca="false">K41+0.5*(vit_z+H41)*pas</f>
        <v>8.57815163246043</v>
      </c>
      <c r="L42" s="397" t="n">
        <f aca="false">SQRT(pos_x^2+pos_z^2)</f>
        <v>8.71251747409686</v>
      </c>
      <c r="M42" s="396" t="n">
        <f aca="false">IF(AND(L41&gt;L_rampe,G42&gt;0),ATAN2(G42,H42),$M$4)</f>
        <v>1.39161991568013</v>
      </c>
      <c r="N42" s="397" t="n">
        <f aca="false">DEGREES(Beta)</f>
        <v>79.7339478548227</v>
      </c>
      <c r="P42" s="399" t="n">
        <f aca="false">MATCH(t-pas/2-T_ini,CdP_t)</f>
        <v>6</v>
      </c>
      <c r="Q42" s="397" t="n">
        <f aca="false">(INDEX(CdP,2,i_P+1)-INDEX(CdP,2,i_P+0))/(INDEX(CdP,1,i_P+1)-INDEX(CdP,1,i_P+0))*(t-pas/2-T_ini-INDEX(CdP,1,i_P+0))+INDEX(CdP,2,i_P+0)</f>
        <v>1328.89</v>
      </c>
      <c r="R42" s="396" t="n">
        <f aca="false">Poussee/(g*ISP)</f>
        <v>0.653058734751416</v>
      </c>
      <c r="S42" s="398" t="n">
        <f aca="false">S41-Débit*pas</f>
        <v>9.19564489367134</v>
      </c>
      <c r="T42" s="397" t="n">
        <f aca="false">m*g</f>
        <v>90.2092764069158</v>
      </c>
      <c r="U42" s="400" t="n">
        <f aca="false">IF(pos_xz&lt;L_rampe,Poids*COS(Beta),0)</f>
        <v>0</v>
      </c>
      <c r="V42" s="396" t="n">
        <f aca="false">Rho_moyen*(20000-Alt_rampe-pos_z)/(20000+Alt_rampe+pos_z)</f>
        <v>1.22394962693799</v>
      </c>
      <c r="W42" s="397" t="n">
        <f aca="false">1/2*Rho*Sref*Cx*vit_xz^2</f>
        <v>10.5479612012936</v>
      </c>
      <c r="Y42" s="401" t="str">
        <f aca="false">IF(AND(pos_z&lt;=0,K41&gt;0),"Impact balistique","") &amp; IF(AND(H43&lt;0,vit_z&gt;=0),"Apogée","") &amp; IF(AND(Poussee=0,Q41&gt;0),"Fin de propulsion","") &amp; IF(AND(L43&gt;L_rampe,pos_xz&lt;=L_rampe),"Sortie de rampe","")</f>
        <v/>
      </c>
      <c r="Z42" s="402" t="str">
        <f aca="false">IF(ABS(t-T_para)&lt;pas/2,"Para","")</f>
        <v/>
      </c>
      <c r="AA42" s="403" t="str">
        <f aca="false">IF(ABS(t-T_satellite)&lt;pas/2,"Satellite","")</f>
        <v/>
      </c>
      <c r="AC42" s="399" t="e">
        <f aca="false">IF(ABS(t-ROUND(t,0))&lt;0.001,t,NA())</f>
        <v>#N/A</v>
      </c>
      <c r="AD42" s="404" t="e">
        <f aca="false">IF(ABS(t-ROUND(t,0))&lt;0.001,pos_x,NA())</f>
        <v>#N/A</v>
      </c>
      <c r="AE42" s="405" t="n">
        <f aca="false">IF(t&lt;T_para, pos_z, NA())</f>
        <v>8.57815163246043</v>
      </c>
      <c r="AG42" s="396" t="n">
        <f aca="false">IF(AND(L41&lt;L_rampe,Poussee&lt;Poids*SIN(M41)),0,(-W41+Poussee)/m-Poids*SIN(M41)/m)</f>
        <v>133.77551028556</v>
      </c>
      <c r="AH42" s="397" t="n">
        <f aca="false">IF(AND(L41&lt;L_rampe,Poussee&lt;Poids*SIN(M41)), g*SIN(M41), (-W41+Poussee)/m)</f>
        <v>143.429096880689</v>
      </c>
    </row>
    <row r="43" customFormat="false" ht="12.75" hidden="false" customHeight="false" outlineLevel="0" collapsed="false">
      <c r="A43" s="396" t="n">
        <f aca="false">IF(B42+0.01&lt;=T_ini+ROUNDUP(Temps_fin_propu,0), 0.01, IF(K42&gt;0, 0.1, 0.0001))</f>
        <v>0.01</v>
      </c>
      <c r="B43" s="397" t="n">
        <f aca="false">B42+pas</f>
        <v>0.39</v>
      </c>
      <c r="D43" s="396" t="n">
        <f aca="false">IF(AND(L42&lt;L_rampe,Poussee&lt;Poids*SIN(M42)),0,(-W42+Poussee)/m*COS(M42)-U42/m*SIN(M42))</f>
        <v>25.5881296350174</v>
      </c>
      <c r="E43" s="398" t="n">
        <f aca="false">IF(AND(L42&lt;L_rampe,Poussee&lt;Poids*SIN(M42)),0,(-W42+Poussee)/m*SIN(M42)+U42/m*COS(M42)-Poids/m)</f>
        <v>131.46815662994</v>
      </c>
      <c r="F43" s="397" t="n">
        <f aca="false">SQRT(acc_x^2+acc_z^2)</f>
        <v>133.935165605949</v>
      </c>
      <c r="G43" s="396" t="n">
        <f aca="false">G42+acc_x*pas</f>
        <v>8.78478634327362</v>
      </c>
      <c r="H43" s="398" t="n">
        <f aca="false">H42+acc_z*pas</f>
        <v>48.4047971897628</v>
      </c>
      <c r="I43" s="397" t="n">
        <f aca="false">SQRT(vit_x^2+vit_z^2)</f>
        <v>49.1954963597181</v>
      </c>
      <c r="J43" s="396" t="n">
        <f aca="false">J42+0.5*(vit_x+G42)*pas*(K42&gt;=0)</f>
        <v>1.61079787110082</v>
      </c>
      <c r="K43" s="398" t="n">
        <f aca="false">K42+0.5*(vit_z+H42)*pas</f>
        <v>9.05562619652656</v>
      </c>
      <c r="L43" s="397" t="n">
        <f aca="false">SQRT(pos_x^2+pos_z^2)</f>
        <v>9.19777340407781</v>
      </c>
      <c r="M43" s="396" t="n">
        <f aca="false">IF(AND(L42&gt;L_rampe,G43&gt;0),ATAN2(G43,H43),$M$4)</f>
        <v>1.39126453138417</v>
      </c>
      <c r="N43" s="397" t="n">
        <f aca="false">DEGREES(Beta)</f>
        <v>79.7135858345594</v>
      </c>
      <c r="P43" s="399" t="n">
        <f aca="false">MATCH(t-pas/2-T_ini,CdP_t)</f>
        <v>6</v>
      </c>
      <c r="Q43" s="397" t="n">
        <f aca="false">(INDEX(CdP,2,i_P+1)-INDEX(CdP,2,i_P+0))/(INDEX(CdP,1,i_P+1)-INDEX(CdP,1,i_P+0))*(t-pas/2-T_ini-INDEX(CdP,1,i_P+0))+INDEX(CdP,2,i_P+0)</f>
        <v>1329.89</v>
      </c>
      <c r="R43" s="396" t="n">
        <f aca="false">Poussee/(g*ISP)</f>
        <v>0.653550166498778</v>
      </c>
      <c r="S43" s="398" t="n">
        <f aca="false">S42-Débit*pas</f>
        <v>9.18910939200635</v>
      </c>
      <c r="T43" s="397" t="n">
        <f aca="false">m*g</f>
        <v>90.1451631355823</v>
      </c>
      <c r="U43" s="400" t="n">
        <f aca="false">IF(pos_xz&lt;L_rampe,Poids*COS(Beta),0)</f>
        <v>0</v>
      </c>
      <c r="V43" s="396" t="n">
        <f aca="false">Rho_moyen*(20000-Alt_rampe-pos_z)/(20000+Alt_rampe+pos_z)</f>
        <v>1.22389118784035</v>
      </c>
      <c r="W43" s="397" t="n">
        <f aca="false">1/2*Rho*Sref*Cx*vit_xz^2</f>
        <v>11.1460515718241</v>
      </c>
      <c r="Y43" s="401" t="str">
        <f aca="false">IF(AND(pos_z&lt;=0,K42&gt;0),"Impact balistique","") &amp; IF(AND(H44&lt;0,vit_z&gt;=0),"Apogée","") &amp; IF(AND(Poussee=0,Q42&gt;0),"Fin de propulsion","") &amp; IF(AND(L44&gt;L_rampe,pos_xz&lt;=L_rampe),"Sortie de rampe","")</f>
        <v/>
      </c>
      <c r="Z43" s="402" t="str">
        <f aca="false">IF(ABS(t-T_para)&lt;pas/2,"Para","")</f>
        <v/>
      </c>
      <c r="AA43" s="403" t="str">
        <f aca="false">IF(ABS(t-T_satellite)&lt;pas/2,"Satellite","")</f>
        <v/>
      </c>
      <c r="AC43" s="399" t="e">
        <f aca="false">IF(ABS(t-ROUND(t,0))&lt;0.001,t,NA())</f>
        <v>#N/A</v>
      </c>
      <c r="AD43" s="404" t="e">
        <f aca="false">IF(ABS(t-ROUND(t,0))&lt;0.001,pos_x,NA())</f>
        <v>#N/A</v>
      </c>
      <c r="AE43" s="405" t="n">
        <f aca="false">IF(t&lt;T_para, pos_z, NA())</f>
        <v>9.05562619652656</v>
      </c>
      <c r="AG43" s="396" t="n">
        <f aca="false">IF(AND(L42&lt;L_rampe,Poussee&lt;Poids*SIN(M42)),0,(-W42+Poussee)/m-Poids*SIN(M42)/m)</f>
        <v>133.923754150792</v>
      </c>
      <c r="AH43" s="397" t="n">
        <f aca="false">IF(AND(L42&lt;L_rampe,Poussee&lt;Poids*SIN(M42)), g*SIN(M42), (-W42+Poussee)/m)</f>
        <v>143.57670395636</v>
      </c>
    </row>
    <row r="44" customFormat="false" ht="12.75" hidden="false" customHeight="false" outlineLevel="0" collapsed="false">
      <c r="A44" s="396" t="n">
        <f aca="false">IF(B43+0.01&lt;=T_ini+ROUNDUP(Temps_fin_propu,0), 0.01, IF(K43&gt;0, 0.1, 0.0001))</f>
        <v>0.01</v>
      </c>
      <c r="B44" s="397" t="n">
        <f aca="false">B43+pas</f>
        <v>0.4</v>
      </c>
      <c r="D44" s="396" t="n">
        <f aca="false">IF(AND(L43&lt;L_rampe,Poussee&lt;Poids*SIN(M43)),0,(-W43+Poussee)/m*COS(M43)-U43/m*SIN(M43))</f>
        <v>25.6644130669578</v>
      </c>
      <c r="E44" s="398" t="n">
        <f aca="false">IF(AND(L43&lt;L_rampe,Poussee&lt;Poids*SIN(M43)),0,(-W43+Poussee)/m*SIN(M43)+U43/m*COS(M43)-Poids/m)</f>
        <v>131.60274027132</v>
      </c>
      <c r="F44" s="397" t="n">
        <f aca="false">SQRT(acc_x^2+acc_z^2)</f>
        <v>134.081853153184</v>
      </c>
      <c r="G44" s="396" t="n">
        <f aca="false">G43+acc_x*pas</f>
        <v>9.0414304739432</v>
      </c>
      <c r="H44" s="398" t="n">
        <f aca="false">H43+acc_z*pas</f>
        <v>49.720824592476</v>
      </c>
      <c r="I44" s="397" t="n">
        <f aca="false">SQRT(vit_x^2+vit_z^2)</f>
        <v>50.5362034898835</v>
      </c>
      <c r="J44" s="396" t="n">
        <f aca="false">J43+0.5*(vit_x+G43)*pas*(K43&gt;=0)</f>
        <v>1.69992895518691</v>
      </c>
      <c r="K44" s="398" t="n">
        <f aca="false">K43+0.5*(vit_z+H43)*pas</f>
        <v>9.54625430543776</v>
      </c>
      <c r="L44" s="397" t="n">
        <f aca="false">SQRT(pos_x^2+pos_z^2)</f>
        <v>9.69642870941522</v>
      </c>
      <c r="M44" s="396" t="n">
        <f aca="false">IF(AND(L43&gt;L_rampe,G44&gt;0),ATAN2(G44,H44),$M$4)</f>
        <v>1.39091789650514</v>
      </c>
      <c r="N44" s="397" t="n">
        <f aca="false">DEGREES(Beta)</f>
        <v>79.6937251189587</v>
      </c>
      <c r="P44" s="399" t="n">
        <f aca="false">MATCH(t-pas/2-T_ini,CdP_t)</f>
        <v>6</v>
      </c>
      <c r="Q44" s="397" t="n">
        <f aca="false">(INDEX(CdP,2,i_P+1)-INDEX(CdP,2,i_P+0))/(INDEX(CdP,1,i_P+1)-INDEX(CdP,1,i_P+0))*(t-pas/2-T_ini-INDEX(CdP,1,i_P+0))+INDEX(CdP,2,i_P+0)</f>
        <v>1330.89</v>
      </c>
      <c r="R44" s="396" t="n">
        <f aca="false">Poussee/(g*ISP)</f>
        <v>0.654041598246139</v>
      </c>
      <c r="S44" s="398" t="n">
        <f aca="false">S43-Débit*pas</f>
        <v>9.18256897602389</v>
      </c>
      <c r="T44" s="397" t="n">
        <f aca="false">m*g</f>
        <v>90.0810016547943</v>
      </c>
      <c r="U44" s="400" t="n">
        <f aca="false">IF(pos_xz&lt;L_rampe,Poids*COS(Beta),0)</f>
        <v>0</v>
      </c>
      <c r="V44" s="396" t="n">
        <f aca="false">Rho_moyen*(20000-Alt_rampe-pos_z)/(20000+Alt_rampe+pos_z)</f>
        <v>1.22383114175849</v>
      </c>
      <c r="W44" s="397" t="n">
        <f aca="false">1/2*Rho*Sref*Cx*vit_xz^2</f>
        <v>11.7612714118939</v>
      </c>
      <c r="Y44" s="401" t="str">
        <f aca="false">IF(AND(pos_z&lt;=0,K43&gt;0),"Impact balistique","") &amp; IF(AND(H45&lt;0,vit_z&gt;=0),"Apogée","") &amp; IF(AND(Poussee=0,Q43&gt;0),"Fin de propulsion","") &amp; IF(AND(L45&gt;L_rampe,pos_xz&lt;=L_rampe),"Sortie de rampe","")</f>
        <v/>
      </c>
      <c r="Z44" s="402" t="str">
        <f aca="false">IF(ABS(t-T_para)&lt;pas/2,"Para","")</f>
        <v/>
      </c>
      <c r="AA44" s="403" t="str">
        <f aca="false">IF(ABS(t-T_satellite)&lt;pas/2,"Satellite","")</f>
        <v/>
      </c>
      <c r="AC44" s="399" t="e">
        <f aca="false">IF(ABS(t-ROUND(t,0))&lt;0.001,t,NA())</f>
        <v>#N/A</v>
      </c>
      <c r="AD44" s="404" t="e">
        <f aca="false">IF(ABS(t-ROUND(t,0))&lt;0.001,pos_x,NA())</f>
        <v>#N/A</v>
      </c>
      <c r="AE44" s="405" t="n">
        <f aca="false">IF(t&lt;T_para, pos_z, NA())</f>
        <v>9.54625430543776</v>
      </c>
      <c r="AG44" s="396" t="n">
        <f aca="false">IF(AND(L43&lt;L_rampe,Poussee&lt;Poids*SIN(M43)),0,(-W43+Poussee)/m-Poids*SIN(M43)/m)</f>
        <v>134.070409405802</v>
      </c>
      <c r="AH44" s="397" t="n">
        <f aca="false">IF(AND(L43&lt;L_rampe,Poussee&lt;Poids*SIN(M43)), g*SIN(M43), (-W43+Poussee)/m)</f>
        <v>143.722737272553</v>
      </c>
    </row>
    <row r="45" customFormat="false" ht="12.75" hidden="false" customHeight="false" outlineLevel="0" collapsed="false">
      <c r="A45" s="396" t="n">
        <f aca="false">IF(B44+0.01&lt;=T_ini+ROUNDUP(Temps_fin_propu,0), 0.01, IF(K44&gt;0, 0.1, 0.0001))</f>
        <v>0.01</v>
      </c>
      <c r="B45" s="397" t="n">
        <f aca="false">B44+pas</f>
        <v>0.41</v>
      </c>
      <c r="D45" s="396" t="n">
        <f aca="false">IF(AND(L44&lt;L_rampe,Poussee&lt;Poids*SIN(M44)),0,(-W44+Poussee)/m*COS(M44)-U44/m*SIN(M44))</f>
        <v>25.722857634496</v>
      </c>
      <c r="E45" s="398" t="n">
        <f aca="false">IF(AND(L44&lt;L_rampe,Poussee&lt;Poids*SIN(M44)),0,(-W44+Poussee)/m*SIN(M44)+U44/m*COS(M44)-Poids/m)</f>
        <v>131.645679623693</v>
      </c>
      <c r="F45" s="397" t="n">
        <f aca="false">SQRT(acc_x^2+acc_z^2)</f>
        <v>134.135194369221</v>
      </c>
      <c r="G45" s="396" t="n">
        <f aca="false">G44+acc_x*pas</f>
        <v>9.29865905028816</v>
      </c>
      <c r="H45" s="398" t="n">
        <f aca="false">H44+acc_z*pas</f>
        <v>51.037281388713</v>
      </c>
      <c r="I45" s="397" t="n">
        <f aca="false">SQRT(vit_x^2+vit_z^2)</f>
        <v>51.8774435731385</v>
      </c>
      <c r="J45" s="396" t="n">
        <f aca="false">J44+0.5*(vit_x+G44)*pas*(K44&gt;=0)</f>
        <v>1.79162940280806</v>
      </c>
      <c r="K45" s="398" t="n">
        <f aca="false">K44+0.5*(vit_z+H44)*pas</f>
        <v>10.0500448353437</v>
      </c>
      <c r="L45" s="397" t="n">
        <f aca="false">SQRT(pos_x^2+pos_z^2)</f>
        <v>10.2084933809757</v>
      </c>
      <c r="M45" s="396" t="n">
        <f aca="false">IF(AND(L44&gt;L_rampe,G45&gt;0),ATAN2(G45,H45),$M$4)</f>
        <v>1.39057957859969</v>
      </c>
      <c r="N45" s="397" t="n">
        <f aca="false">DEGREES(Beta)</f>
        <v>79.674340930843</v>
      </c>
      <c r="P45" s="399" t="n">
        <f aca="false">MATCH(t-pas/2-T_ini,CdP_t)</f>
        <v>7</v>
      </c>
      <c r="Q45" s="397" t="n">
        <f aca="false">(INDEX(CdP,2,i_P+1)-INDEX(CdP,2,i_P+0))/(INDEX(CdP,1,i_P+1)-INDEX(CdP,1,i_P+0))*(t-pas/2-T_ini-INDEX(CdP,1,i_P+0))+INDEX(CdP,2,i_P+0)</f>
        <v>1331.048625</v>
      </c>
      <c r="R45" s="396" t="n">
        <f aca="false">Poussee/(g*ISP)</f>
        <v>0.654119551607065</v>
      </c>
      <c r="S45" s="398" t="n">
        <f aca="false">S44-Débit*pas</f>
        <v>9.17602778050781</v>
      </c>
      <c r="T45" s="397" t="n">
        <f aca="false">m*g</f>
        <v>90.0168325267817</v>
      </c>
      <c r="U45" s="400" t="n">
        <f aca="false">IF(pos_xz&lt;L_rampe,Poids*COS(Beta),0)</f>
        <v>0</v>
      </c>
      <c r="V45" s="396" t="n">
        <f aca="false">Rho_moyen*(20000-Alt_rampe-pos_z)/(20000+Alt_rampe+pos_z)</f>
        <v>1.22376948784279</v>
      </c>
      <c r="W45" s="397" t="n">
        <f aca="false">1/2*Rho*Sref*Cx*vit_xz^2</f>
        <v>12.3932240454777</v>
      </c>
      <c r="Y45" s="401" t="str">
        <f aca="false">IF(AND(pos_z&lt;=0,K44&gt;0),"Impact balistique","") &amp; IF(AND(H46&lt;0,vit_z&gt;=0),"Apogée","") &amp; IF(AND(Poussee=0,Q44&gt;0),"Fin de propulsion","") &amp; IF(AND(L46&gt;L_rampe,pos_xz&lt;=L_rampe),"Sortie de rampe","")</f>
        <v/>
      </c>
      <c r="Z45" s="402" t="str">
        <f aca="false">IF(ABS(t-T_para)&lt;pas/2,"Para","")</f>
        <v/>
      </c>
      <c r="AA45" s="403" t="str">
        <f aca="false">IF(ABS(t-T_satellite)&lt;pas/2,"Satellite","")</f>
        <v/>
      </c>
      <c r="AC45" s="399" t="e">
        <f aca="false">IF(ABS(t-ROUND(t,0))&lt;0.001,t,NA())</f>
        <v>#N/A</v>
      </c>
      <c r="AD45" s="404" t="e">
        <f aca="false">IF(ABS(t-ROUND(t,0))&lt;0.001,pos_x,NA())</f>
        <v>#N/A</v>
      </c>
      <c r="AE45" s="405" t="n">
        <f aca="false">IF(t&lt;T_para, pos_z, NA())</f>
        <v>10.0500448353437</v>
      </c>
      <c r="AG45" s="396" t="n">
        <f aca="false">IF(AND(L44&lt;L_rampe,Poussee&lt;Poids*SIN(M44)),0,(-W44+Poussee)/m-Poids*SIN(M44)/m)</f>
        <v>134.123711433473</v>
      </c>
      <c r="AH45" s="397" t="n">
        <f aca="false">IF(AND(L44&lt;L_rampe,Poussee&lt;Poids*SIN(M44)), g*SIN(M44), (-W44+Poussee)/m)</f>
        <v>143.775431498867</v>
      </c>
    </row>
    <row r="46" customFormat="false" ht="12.75" hidden="false" customHeight="false" outlineLevel="0" collapsed="false">
      <c r="A46" s="396" t="n">
        <f aca="false">IF(B45+0.01&lt;=T_ini+ROUNDUP(Temps_fin_propu,0), 0.01, IF(K45&gt;0, 0.1, 0.0001))</f>
        <v>0.01</v>
      </c>
      <c r="B46" s="397" t="n">
        <f aca="false">B45+pas</f>
        <v>0.42</v>
      </c>
      <c r="D46" s="396" t="n">
        <f aca="false">IF(AND(L45&lt;L_rampe,Poussee&lt;Poids*SIN(M45)),0,(-W45+Poussee)/m*COS(M45)-U45/m*SIN(M45))</f>
        <v>25.7633881854284</v>
      </c>
      <c r="E46" s="398" t="n">
        <f aca="false">IF(AND(L45&lt;L_rampe,Poussee&lt;Poids*SIN(M45)),0,(-W45+Poussee)/m*SIN(M45)+U45/m*COS(M45)-Poids/m)</f>
        <v>131.596764699648</v>
      </c>
      <c r="F46" s="397" t="n">
        <f aca="false">SQRT(acc_x^2+acc_z^2)</f>
        <v>134.09496877291</v>
      </c>
      <c r="G46" s="396" t="n">
        <f aca="false">G45+acc_x*pas</f>
        <v>9.55629293214244</v>
      </c>
      <c r="H46" s="398" t="n">
        <f aca="false">H45+acc_z*pas</f>
        <v>52.3532490357094</v>
      </c>
      <c r="I46" s="397" t="n">
        <f aca="false">SQRT(vit_x^2+vit_z^2)</f>
        <v>53.2182808741501</v>
      </c>
      <c r="J46" s="396" t="n">
        <f aca="false">J45+0.5*(vit_x+G45)*pas*(K45&gt;=0)</f>
        <v>1.88590416272022</v>
      </c>
      <c r="K46" s="398" t="n">
        <f aca="false">K45+0.5*(vit_z+H45)*pas</f>
        <v>10.5669974874658</v>
      </c>
      <c r="L46" s="397" t="n">
        <f aca="false">SQRT(pos_x^2+pos_z^2)</f>
        <v>10.7339680645637</v>
      </c>
      <c r="M46" s="396" t="n">
        <f aca="false">IF(AND(L45&gt;L_rampe,G46&gt;0),ATAN2(G46,H46),$M$4)</f>
        <v>1.3902491710736</v>
      </c>
      <c r="N46" s="397" t="n">
        <f aca="false">DEGREES(Beta)</f>
        <v>79.6554099740783</v>
      </c>
      <c r="P46" s="399" t="n">
        <f aca="false">MATCH(t-pas/2-T_ini,CdP_t)</f>
        <v>7</v>
      </c>
      <c r="Q46" s="397" t="n">
        <f aca="false">(INDEX(CdP,2,i_P+1)-INDEX(CdP,2,i_P+0))/(INDEX(CdP,1,i_P+1)-INDEX(CdP,1,i_P+0))*(t-pas/2-T_ini-INDEX(CdP,1,i_P+0))+INDEX(CdP,2,i_P+0)</f>
        <v>1330.365875</v>
      </c>
      <c r="R46" s="396" t="n">
        <f aca="false">Poussee/(g*ISP)</f>
        <v>0.653784026581553</v>
      </c>
      <c r="S46" s="398" t="n">
        <f aca="false">S45-Débit*pas</f>
        <v>9.169489940242</v>
      </c>
      <c r="T46" s="397" t="n">
        <f aca="false">m*g</f>
        <v>89.952696313774</v>
      </c>
      <c r="U46" s="400" t="n">
        <f aca="false">IF(pos_xz&lt;L_rampe,Poids*COS(Beta),0)</f>
        <v>0</v>
      </c>
      <c r="V46" s="396" t="n">
        <f aca="false">Rho_moyen*(20000-Alt_rampe-pos_z)/(20000+Alt_rampe+pos_z)</f>
        <v>1.22370622637292</v>
      </c>
      <c r="W46" s="397" t="n">
        <f aca="false">1/2*Rho*Sref*Cx*vit_xz^2</f>
        <v>13.0414655716831</v>
      </c>
      <c r="Y46" s="401" t="str">
        <f aca="false">IF(AND(pos_z&lt;=0,K45&gt;0),"Impact balistique","") &amp; IF(AND(H47&lt;0,vit_z&gt;=0),"Apogée","") &amp; IF(AND(Poussee=0,Q45&gt;0),"Fin de propulsion","") &amp; IF(AND(L47&gt;L_rampe,pos_xz&lt;=L_rampe),"Sortie de rampe","")</f>
        <v/>
      </c>
      <c r="Z46" s="402" t="str">
        <f aca="false">IF(ABS(t-T_para)&lt;pas/2,"Para","")</f>
        <v/>
      </c>
      <c r="AA46" s="403" t="str">
        <f aca="false">IF(ABS(t-T_satellite)&lt;pas/2,"Satellite","")</f>
        <v/>
      </c>
      <c r="AC46" s="399" t="e">
        <f aca="false">IF(ABS(t-ROUND(t,0))&lt;0.001,t,NA())</f>
        <v>#N/A</v>
      </c>
      <c r="AD46" s="404" t="e">
        <f aca="false">IF(ABS(t-ROUND(t,0))&lt;0.001,pos_x,NA())</f>
        <v>#N/A</v>
      </c>
      <c r="AE46" s="405" t="n">
        <f aca="false">IF(t&lt;T_para, pos_z, NA())</f>
        <v>10.5669974874658</v>
      </c>
      <c r="AG46" s="396" t="n">
        <f aca="false">IF(AND(L45&lt;L_rampe,Poussee&lt;Poids*SIN(M45)),0,(-W45+Poussee)/m-Poids*SIN(M45)/m)</f>
        <v>134.083439611477</v>
      </c>
      <c r="AH46" s="397" t="n">
        <f aca="false">IF(AND(L45&lt;L_rampe,Poussee&lt;Poids*SIN(M45)), g*SIN(M45), (-W45+Poussee)/m)</f>
        <v>143.734565340473</v>
      </c>
    </row>
    <row r="47" customFormat="false" ht="12.75" hidden="false" customHeight="false" outlineLevel="0" collapsed="false">
      <c r="A47" s="396" t="n">
        <f aca="false">IF(B46+0.01&lt;=T_ini+ROUNDUP(Temps_fin_propu,0), 0.01, IF(K46&gt;0, 0.1, 0.0001))</f>
        <v>0.01</v>
      </c>
      <c r="B47" s="397" t="n">
        <f aca="false">B46+pas</f>
        <v>0.43</v>
      </c>
      <c r="D47" s="396" t="n">
        <f aca="false">IF(AND(L46&lt;L_rampe,Poussee&lt;Poids*SIN(M46)),0,(-W46+Poussee)/m*COS(M46)-U46/m*SIN(M46))</f>
        <v>25.8024312527893</v>
      </c>
      <c r="E47" s="398" t="n">
        <f aca="false">IF(AND(L46&lt;L_rampe,Poussee&lt;Poids*SIN(M46)),0,(-W46+Poussee)/m*SIN(M46)+U46/m*COS(M46)-Poids/m)</f>
        <v>131.546184735664</v>
      </c>
      <c r="F47" s="397" t="n">
        <f aca="false">SQRT(acc_x^2+acc_z^2)</f>
        <v>134.052840988412</v>
      </c>
      <c r="G47" s="396" t="n">
        <f aca="false">G46+acc_x*pas</f>
        <v>9.81431724467034</v>
      </c>
      <c r="H47" s="398" t="n">
        <f aca="false">H46+acc_z*pas</f>
        <v>53.6687108830661</v>
      </c>
      <c r="I47" s="397" t="n">
        <f aca="false">SQRT(vit_x^2+vit_z^2)</f>
        <v>54.558696381321</v>
      </c>
      <c r="J47" s="396" t="n">
        <f aca="false">J46+0.5*(vit_x+G46)*pas*(K46&gt;=0)</f>
        <v>1.98275721360428</v>
      </c>
      <c r="K47" s="398" t="n">
        <f aca="false">K46+0.5*(vit_z+H46)*pas</f>
        <v>11.0971072870597</v>
      </c>
      <c r="L47" s="397" t="n">
        <f aca="false">SQRT(pos_x^2+pos_z^2)</f>
        <v>11.2728486332698</v>
      </c>
      <c r="M47" s="396" t="n">
        <f aca="false">IF(AND(L46&gt;L_rampe,G47&gt;0),ATAN2(G47,H47),$M$4)</f>
        <v>1.38992629665088</v>
      </c>
      <c r="N47" s="397" t="n">
        <f aca="false">DEGREES(Beta)</f>
        <v>79.636910632344</v>
      </c>
      <c r="P47" s="399" t="n">
        <f aca="false">MATCH(t-pas/2-T_ini,CdP_t)</f>
        <v>7</v>
      </c>
      <c r="Q47" s="397" t="n">
        <f aca="false">(INDEX(CdP,2,i_P+1)-INDEX(CdP,2,i_P+0))/(INDEX(CdP,1,i_P+1)-INDEX(CdP,1,i_P+0))*(t-pas/2-T_ini-INDEX(CdP,1,i_P+0))+INDEX(CdP,2,i_P+0)</f>
        <v>1329.683125</v>
      </c>
      <c r="R47" s="396" t="n">
        <f aca="false">Poussee/(g*ISP)</f>
        <v>0.653448501556042</v>
      </c>
      <c r="S47" s="398" t="n">
        <f aca="false">S46-Débit*pas</f>
        <v>9.16295545522644</v>
      </c>
      <c r="T47" s="397" t="n">
        <f aca="false">m*g</f>
        <v>89.8885930157714</v>
      </c>
      <c r="U47" s="400" t="n">
        <f aca="false">IF(pos_xz&lt;L_rampe,Poids*COS(Beta),0)</f>
        <v>0</v>
      </c>
      <c r="V47" s="396" t="n">
        <f aca="false">Rho_moyen*(20000-Alt_rampe-pos_z)/(20000+Alt_rampe+pos_z)</f>
        <v>1.22364135820702</v>
      </c>
      <c r="W47" s="397" t="n">
        <f aca="false">1/2*Rho*Sref*Cx*vit_xz^2</f>
        <v>13.7059664317155</v>
      </c>
      <c r="Y47" s="401" t="str">
        <f aca="false">IF(AND(pos_z&lt;=0,K46&gt;0),"Impact balistique","") &amp; IF(AND(H48&lt;0,vit_z&gt;=0),"Apogée","") &amp; IF(AND(Poussee=0,Q46&gt;0),"Fin de propulsion","") &amp; IF(AND(L48&gt;L_rampe,pos_xz&lt;=L_rampe),"Sortie de rampe","")</f>
        <v/>
      </c>
      <c r="Z47" s="402" t="str">
        <f aca="false">IF(ABS(t-T_para)&lt;pas/2,"Para","")</f>
        <v/>
      </c>
      <c r="AA47" s="403" t="str">
        <f aca="false">IF(ABS(t-T_satellite)&lt;pas/2,"Satellite","")</f>
        <v/>
      </c>
      <c r="AC47" s="399" t="e">
        <f aca="false">IF(ABS(t-ROUND(t,0))&lt;0.001,t,NA())</f>
        <v>#N/A</v>
      </c>
      <c r="AD47" s="404" t="e">
        <f aca="false">IF(ABS(t-ROUND(t,0))&lt;0.001,pos_x,NA())</f>
        <v>#N/A</v>
      </c>
      <c r="AE47" s="405" t="n">
        <f aca="false">IF(t&lt;T_para, pos_z, NA())</f>
        <v>11.0971072870597</v>
      </c>
      <c r="AG47" s="396" t="n">
        <f aca="false">IF(AND(L46&lt;L_rampe,Poussee&lt;Poids*SIN(M46)),0,(-W46+Poussee)/m-Poids*SIN(M46)/m)</f>
        <v>134.041266335639</v>
      </c>
      <c r="AH47" s="397" t="n">
        <f aca="false">IF(AND(L46&lt;L_rampe,Poussee&lt;Poids*SIN(M46)), g*SIN(M46), (-W46+Poussee)/m)</f>
        <v>143.691810558494</v>
      </c>
    </row>
    <row r="48" customFormat="false" ht="12.75" hidden="false" customHeight="false" outlineLevel="0" collapsed="false">
      <c r="A48" s="396" t="n">
        <f aca="false">IF(B47+0.01&lt;=T_ini+ROUNDUP(Temps_fin_propu,0), 0.01, IF(K47&gt;0, 0.1, 0.0001))</f>
        <v>0.01</v>
      </c>
      <c r="B48" s="397" t="n">
        <f aca="false">B47+pas</f>
        <v>0.44</v>
      </c>
      <c r="D48" s="396" t="n">
        <f aca="false">IF(AND(L47&lt;L_rampe,Poussee&lt;Poids*SIN(M47)),0,(-W47+Poussee)/m*COS(M47)-U47/m*SIN(M47))</f>
        <v>25.840039365015</v>
      </c>
      <c r="E48" s="398" t="n">
        <f aca="false">IF(AND(L47&lt;L_rampe,Poussee&lt;Poids*SIN(M47)),0,(-W47+Poussee)/m*SIN(M47)+U47/m*COS(M47)-Poids/m)</f>
        <v>131.493930504298</v>
      </c>
      <c r="F48" s="397" t="n">
        <f aca="false">SQRT(acc_x^2+acc_z^2)</f>
        <v>134.00881088143</v>
      </c>
      <c r="G48" s="396" t="n">
        <f aca="false">G47+acc_x*pas</f>
        <v>10.0727176383205</v>
      </c>
      <c r="H48" s="398" t="n">
        <f aca="false">H47+acc_z*pas</f>
        <v>54.9836501881091</v>
      </c>
      <c r="I48" s="397" t="n">
        <f aca="false">SQRT(vit_x^2+vit_z^2)</f>
        <v>55.8986710810702</v>
      </c>
      <c r="J48" s="396" t="n">
        <f aca="false">J47+0.5*(vit_x+G47)*pas*(K47&gt;=0)</f>
        <v>2.08219238801924</v>
      </c>
      <c r="K48" s="398" t="n">
        <f aca="false">K47+0.5*(vit_z+H47)*pas</f>
        <v>11.6403690924156</v>
      </c>
      <c r="L48" s="397" t="n">
        <f aca="false">SQRT(pos_x^2+pos_z^2)</f>
        <v>11.825130770879</v>
      </c>
      <c r="M48" s="396" t="n">
        <f aca="false">IF(AND(L47&gt;L_rampe,G48&gt;0),ATAN2(G48,H48),$M$4)</f>
        <v>1.38961060460554</v>
      </c>
      <c r="N48" s="397" t="n">
        <f aca="false">DEGREES(Beta)</f>
        <v>79.6188228105201</v>
      </c>
      <c r="P48" s="399" t="n">
        <f aca="false">MATCH(t-pas/2-T_ini,CdP_t)</f>
        <v>7</v>
      </c>
      <c r="Q48" s="397" t="n">
        <f aca="false">(INDEX(CdP,2,i_P+1)-INDEX(CdP,2,i_P+0))/(INDEX(CdP,1,i_P+1)-INDEX(CdP,1,i_P+0))*(t-pas/2-T_ini-INDEX(CdP,1,i_P+0))+INDEX(CdP,2,i_P+0)</f>
        <v>1329.000375</v>
      </c>
      <c r="R48" s="396" t="n">
        <f aca="false">Poussee/(g*ISP)</f>
        <v>0.653112976530531</v>
      </c>
      <c r="S48" s="398" t="n">
        <f aca="false">S47-Débit*pas</f>
        <v>9.15642432546113</v>
      </c>
      <c r="T48" s="397" t="n">
        <f aca="false">m*g</f>
        <v>89.8245226327737</v>
      </c>
      <c r="U48" s="400" t="n">
        <f aca="false">IF(pos_xz&lt;L_rampe,Poids*COS(Beta),0)</f>
        <v>0</v>
      </c>
      <c r="V48" s="396" t="n">
        <f aca="false">Rho_moyen*(20000-Alt_rampe-pos_z)/(20000+Alt_rampe+pos_z)</f>
        <v>1.22357488422986</v>
      </c>
      <c r="W48" s="397" t="n">
        <f aca="false">1/2*Rho*Sref*Cx*vit_xz^2</f>
        <v>14.3866960103899</v>
      </c>
      <c r="Y48" s="401" t="str">
        <f aca="false">IF(AND(pos_z&lt;=0,K47&gt;0),"Impact balistique","") &amp; IF(AND(H49&lt;0,vit_z&gt;=0),"Apogée","") &amp; IF(AND(Poussee=0,Q47&gt;0),"Fin de propulsion","") &amp; IF(AND(L49&gt;L_rampe,pos_xz&lt;=L_rampe),"Sortie de rampe","")</f>
        <v/>
      </c>
      <c r="Z48" s="402" t="str">
        <f aca="false">IF(ABS(t-T_para)&lt;pas/2,"Para","")</f>
        <v/>
      </c>
      <c r="AA48" s="403" t="str">
        <f aca="false">IF(ABS(t-T_satellite)&lt;pas/2,"Satellite","")</f>
        <v/>
      </c>
      <c r="AC48" s="399" t="e">
        <f aca="false">IF(ABS(t-ROUND(t,0))&lt;0.001,t,NA())</f>
        <v>#N/A</v>
      </c>
      <c r="AD48" s="404" t="e">
        <f aca="false">IF(ABS(t-ROUND(t,0))&lt;0.001,pos_x,NA())</f>
        <v>#N/A</v>
      </c>
      <c r="AE48" s="405" t="n">
        <f aca="false">IF(t&lt;T_para, pos_z, NA())</f>
        <v>11.6403690924156</v>
      </c>
      <c r="AG48" s="396" t="n">
        <f aca="false">IF(AND(L47&lt;L_rampe,Poussee&lt;Poids*SIN(M47)),0,(-W47+Poussee)/m-Poids*SIN(M47)/m)</f>
        <v>133.997191427747</v>
      </c>
      <c r="AH48" s="397" t="n">
        <f aca="false">IF(AND(L47&lt;L_rampe,Poussee&lt;Poids*SIN(M47)), g*SIN(M47), (-W47+Poussee)/m)</f>
        <v>143.647166384684</v>
      </c>
    </row>
    <row r="49" customFormat="false" ht="12.75" hidden="false" customHeight="false" outlineLevel="0" collapsed="false">
      <c r="A49" s="396" t="n">
        <f aca="false">IF(B48+0.01&lt;=T_ini+ROUNDUP(Temps_fin_propu,0), 0.01, IF(K48&gt;0, 0.1, 0.0001))</f>
        <v>0.01</v>
      </c>
      <c r="B49" s="397" t="n">
        <f aca="false">B48+pas</f>
        <v>0.45</v>
      </c>
      <c r="D49" s="396" t="n">
        <f aca="false">IF(AND(L48&lt;L_rampe,Poussee&lt;Poids*SIN(M48)),0,(-W48+Poussee)/m*COS(M48)-U48/m*SIN(M48))</f>
        <v>25.8762613232243</v>
      </c>
      <c r="E49" s="398" t="n">
        <f aca="false">IF(AND(L48&lt;L_rampe,Poussee&lt;Poids*SIN(M48)),0,(-W48+Poussee)/m*SIN(M48)+U48/m*COS(M48)-Poids/m)</f>
        <v>131.439993483337</v>
      </c>
      <c r="F49" s="397" t="n">
        <f aca="false">SQRT(acc_x^2+acc_z^2)</f>
        <v>133.962878391618</v>
      </c>
      <c r="G49" s="396" t="n">
        <f aca="false">G48+acc_x*pas</f>
        <v>10.3314802515527</v>
      </c>
      <c r="H49" s="398" t="n">
        <f aca="false">H48+acc_z*pas</f>
        <v>56.2980501229424</v>
      </c>
      <c r="I49" s="397" t="n">
        <f aca="false">SQRT(vit_x^2+vit_z^2)</f>
        <v>57.23818595862</v>
      </c>
      <c r="J49" s="396" t="n">
        <f aca="false">J48+0.5*(vit_x+G48)*pas*(K48&gt;=0)</f>
        <v>2.1842133774686</v>
      </c>
      <c r="K49" s="398" t="n">
        <f aca="false">K48+0.5*(vit_z+H48)*pas</f>
        <v>12.1967775939708</v>
      </c>
      <c r="L49" s="397" t="n">
        <f aca="false">SQRT(pos_x^2+pos_z^2)</f>
        <v>12.390809971713</v>
      </c>
      <c r="M49" s="396" t="n">
        <f aca="false">IF(AND(L48&gt;L_rampe,G49&gt;0),ATAN2(G49,H49),$M$4)</f>
        <v>1.38930176831346</v>
      </c>
      <c r="N49" s="397" t="n">
        <f aca="false">DEGREES(Beta)</f>
        <v>79.6011277944234</v>
      </c>
      <c r="P49" s="399" t="n">
        <f aca="false">MATCH(t-pas/2-T_ini,CdP_t)</f>
        <v>7</v>
      </c>
      <c r="Q49" s="397" t="n">
        <f aca="false">(INDEX(CdP,2,i_P+1)-INDEX(CdP,2,i_P+0))/(INDEX(CdP,1,i_P+1)-INDEX(CdP,1,i_P+0))*(t-pas/2-T_ini-INDEX(CdP,1,i_P+0))+INDEX(CdP,2,i_P+0)</f>
        <v>1328.317625</v>
      </c>
      <c r="R49" s="396" t="n">
        <f aca="false">Poussee/(g*ISP)</f>
        <v>0.65277745150502</v>
      </c>
      <c r="S49" s="398" t="n">
        <f aca="false">S48-Débit*pas</f>
        <v>9.14989655094608</v>
      </c>
      <c r="T49" s="397" t="n">
        <f aca="false">m*g</f>
        <v>89.7604851647811</v>
      </c>
      <c r="U49" s="400" t="n">
        <f aca="false">IF(pos_xz&lt;L_rampe,Poids*COS(Beta),0)</f>
        <v>0</v>
      </c>
      <c r="V49" s="396" t="n">
        <f aca="false">Rho_moyen*(20000-Alt_rampe-pos_z)/(20000+Alt_rampe+pos_z)</f>
        <v>1.22350680535289</v>
      </c>
      <c r="W49" s="397" t="n">
        <f aca="false">1/2*Rho*Sref*Cx*vit_xz^2</f>
        <v>15.0836226379513</v>
      </c>
      <c r="Y49" s="401" t="str">
        <f aca="false">IF(AND(pos_z&lt;=0,K48&gt;0),"Impact balistique","") &amp; IF(AND(H50&lt;0,vit_z&gt;=0),"Apogée","") &amp; IF(AND(Poussee=0,Q48&gt;0),"Fin de propulsion","") &amp; IF(AND(L50&gt;L_rampe,pos_xz&lt;=L_rampe),"Sortie de rampe","")</f>
        <v/>
      </c>
      <c r="Z49" s="402" t="str">
        <f aca="false">IF(ABS(t-T_para)&lt;pas/2,"Para","")</f>
        <v/>
      </c>
      <c r="AA49" s="403" t="str">
        <f aca="false">IF(ABS(t-T_satellite)&lt;pas/2,"Satellite","")</f>
        <v/>
      </c>
      <c r="AC49" s="399" t="e">
        <f aca="false">IF(ABS(t-ROUND(t,0))&lt;0.001,t,NA())</f>
        <v>#N/A</v>
      </c>
      <c r="AD49" s="404" t="e">
        <f aca="false">IF(ABS(t-ROUND(t,0))&lt;0.001,pos_x,NA())</f>
        <v>#N/A</v>
      </c>
      <c r="AE49" s="405" t="n">
        <f aca="false">IF(t&lt;T_para, pos_z, NA())</f>
        <v>12.1967775939708</v>
      </c>
      <c r="AG49" s="396" t="n">
        <f aca="false">IF(AND(L48&lt;L_rampe,Poussee&lt;Poids*SIN(M48)),0,(-W48+Poussee)/m-Poids*SIN(M48)/m)</f>
        <v>133.951214786482</v>
      </c>
      <c r="AH49" s="397" t="n">
        <f aca="false">IF(AND(L48&lt;L_rampe,Poussee&lt;Poids*SIN(M48)), g*SIN(M48), (-W48+Poussee)/m)</f>
        <v>143.600632168213</v>
      </c>
    </row>
    <row r="50" customFormat="false" ht="12.75" hidden="false" customHeight="false" outlineLevel="0" collapsed="false">
      <c r="A50" s="396" t="n">
        <f aca="false">IF(B49+0.01&lt;=T_ini+ROUNDUP(Temps_fin_propu,0), 0.01, IF(K49&gt;0, 0.1, 0.0001))</f>
        <v>0.01</v>
      </c>
      <c r="B50" s="397" t="n">
        <f aca="false">B49+pas</f>
        <v>0.46</v>
      </c>
      <c r="D50" s="396" t="n">
        <f aca="false">IF(AND(L49&lt;L_rampe,Poussee&lt;Poids*SIN(M49)),0,(-W49+Poussee)/m*COS(M49)-U49/m*SIN(M49))</f>
        <v>25.9111425481411</v>
      </c>
      <c r="E50" s="398" t="n">
        <f aca="false">IF(AND(L49&lt;L_rampe,Poussee&lt;Poids*SIN(M49)),0,(-W49+Poussee)/m*SIN(M49)+U49/m*COS(M49)-Poids/m)</f>
        <v>131.384365802395</v>
      </c>
      <c r="F50" s="397" t="n">
        <f aca="false">SQRT(acc_x^2+acc_z^2)</f>
        <v>133.915043536743</v>
      </c>
      <c r="G50" s="396" t="n">
        <f aca="false">G49+acc_x*pas</f>
        <v>10.5905916770341</v>
      </c>
      <c r="H50" s="398" t="n">
        <f aca="false">H49+acc_z*pas</f>
        <v>57.6118937809664</v>
      </c>
      <c r="I50" s="397" t="n">
        <f aca="false">SQRT(vit_x^2+vit_z^2)</f>
        <v>58.5772219988198</v>
      </c>
      <c r="J50" s="396" t="n">
        <f aca="false">J49+0.5*(vit_x+G49)*pas*(K49&gt;=0)</f>
        <v>2.28882373711154</v>
      </c>
      <c r="K50" s="398" t="n">
        <f aca="false">K49+0.5*(vit_z+H49)*pas</f>
        <v>12.7663273134904</v>
      </c>
      <c r="L50" s="397" t="n">
        <f aca="false">SQRT(pos_x^2+pos_z^2)</f>
        <v>12.9698815405051</v>
      </c>
      <c r="M50" s="396" t="n">
        <f aca="false">IF(AND(L49&gt;L_rampe,G50&gt;0),ATAN2(G50,H50),$M$4)</f>
        <v>1.38899948308107</v>
      </c>
      <c r="N50" s="397" t="n">
        <f aca="false">DEGREES(Beta)</f>
        <v>79.5838081263982</v>
      </c>
      <c r="P50" s="399" t="n">
        <f aca="false">MATCH(t-pas/2-T_ini,CdP_t)</f>
        <v>7</v>
      </c>
      <c r="Q50" s="397" t="n">
        <f aca="false">(INDEX(CdP,2,i_P+1)-INDEX(CdP,2,i_P+0))/(INDEX(CdP,1,i_P+1)-INDEX(CdP,1,i_P+0))*(t-pas/2-T_ini-INDEX(CdP,1,i_P+0))+INDEX(CdP,2,i_P+0)</f>
        <v>1327.634875</v>
      </c>
      <c r="R50" s="396" t="n">
        <f aca="false">Poussee/(g*ISP)</f>
        <v>0.652441926479509</v>
      </c>
      <c r="S50" s="398" t="n">
        <f aca="false">S49-Débit*pas</f>
        <v>9.14337213168129</v>
      </c>
      <c r="T50" s="397" t="n">
        <f aca="false">m*g</f>
        <v>89.6964806117934</v>
      </c>
      <c r="U50" s="400" t="n">
        <f aca="false">IF(pos_xz&lt;L_rampe,Poids*COS(Beta),0)</f>
        <v>0</v>
      </c>
      <c r="V50" s="396" t="n">
        <f aca="false">Rho_moyen*(20000-Alt_rampe-pos_z)/(20000+Alt_rampe+pos_z)</f>
        <v>1.22343712251437</v>
      </c>
      <c r="W50" s="397" t="n">
        <f aca="false">1/2*Rho*Sref*Cx*vit_xz^2</f>
        <v>15.7967135920298</v>
      </c>
      <c r="Y50" s="401" t="str">
        <f aca="false">IF(AND(pos_z&lt;=0,K49&gt;0),"Impact balistique","") &amp; IF(AND(H51&lt;0,vit_z&gt;=0),"Apogée","") &amp; IF(AND(Poussee=0,Q49&gt;0),"Fin de propulsion","") &amp; IF(AND(L51&gt;L_rampe,pos_xz&lt;=L_rampe),"Sortie de rampe","")</f>
        <v/>
      </c>
      <c r="Z50" s="402" t="str">
        <f aca="false">IF(ABS(t-T_para)&lt;pas/2,"Para","")</f>
        <v/>
      </c>
      <c r="AA50" s="403" t="str">
        <f aca="false">IF(ABS(t-T_satellite)&lt;pas/2,"Satellite","")</f>
        <v/>
      </c>
      <c r="AC50" s="399" t="e">
        <f aca="false">IF(ABS(t-ROUND(t,0))&lt;0.001,t,NA())</f>
        <v>#N/A</v>
      </c>
      <c r="AD50" s="404" t="e">
        <f aca="false">IF(ABS(t-ROUND(t,0))&lt;0.001,pos_x,NA())</f>
        <v>#N/A</v>
      </c>
      <c r="AE50" s="405" t="n">
        <f aca="false">IF(t&lt;T_para, pos_z, NA())</f>
        <v>12.7663273134904</v>
      </c>
      <c r="AG50" s="396" t="n">
        <f aca="false">IF(AND(L49&lt;L_rampe,Poussee&lt;Poids*SIN(M49)),0,(-W49+Poussee)/m-Poids*SIN(M49)/m)</f>
        <v>133.903336391311</v>
      </c>
      <c r="AH50" s="397" t="n">
        <f aca="false">IF(AND(L49&lt;L_rampe,Poussee&lt;Poids*SIN(M49)), g*SIN(M49), (-W49+Poussee)/m)</f>
        <v>143.55220737589</v>
      </c>
    </row>
    <row r="51" customFormat="false" ht="12.75" hidden="false" customHeight="false" outlineLevel="0" collapsed="false">
      <c r="A51" s="396" t="n">
        <f aca="false">IF(B50+0.01&lt;=T_ini+ROUNDUP(Temps_fin_propu,0), 0.01, IF(K50&gt;0, 0.1, 0.0001))</f>
        <v>0.01</v>
      </c>
      <c r="B51" s="397" t="n">
        <f aca="false">B50+pas</f>
        <v>0.47</v>
      </c>
      <c r="D51" s="396" t="n">
        <f aca="false">IF(AND(L50&lt;L_rampe,Poussee&lt;Poids*SIN(M50)),0,(-W50+Poussee)/m*COS(M50)-U50/m*SIN(M50))</f>
        <v>25.9447253877533</v>
      </c>
      <c r="E51" s="398" t="n">
        <f aca="false">IF(AND(L50&lt;L_rampe,Poussee&lt;Poids*SIN(M50)),0,(-W50+Poussee)/m*SIN(M50)+U50/m*COS(M50)-Poids/m)</f>
        <v>131.32704019549</v>
      </c>
      <c r="F51" s="397" t="n">
        <f aca="false">SQRT(acc_x^2+acc_z^2)</f>
        <v>133.865306416389</v>
      </c>
      <c r="G51" s="396" t="n">
        <f aca="false">G50+acc_x*pas</f>
        <v>10.8500389309117</v>
      </c>
      <c r="H51" s="398" t="n">
        <f aca="false">H50+acc_z*pas</f>
        <v>58.9251641829213</v>
      </c>
      <c r="I51" s="397" t="n">
        <f aca="false">SQRT(vit_x^2+vit_z^2)</f>
        <v>59.9157601870036</v>
      </c>
      <c r="J51" s="396" t="n">
        <f aca="false">J50+0.5*(vit_x+G50)*pas*(K50&gt;=0)</f>
        <v>2.39602689015126</v>
      </c>
      <c r="K51" s="398" t="n">
        <f aca="false">K50+0.5*(vit_z+H50)*pas</f>
        <v>13.3490126033098</v>
      </c>
      <c r="L51" s="397" t="n">
        <f aca="false">SQRT(pos_x^2+pos_z^2)</f>
        <v>13.5623405923038</v>
      </c>
      <c r="M51" s="396" t="n">
        <f aca="false">IF(AND(L50&gt;L_rampe,G51&gt;0),ATAN2(G51,H51),$M$4)</f>
        <v>1.38870346421389</v>
      </c>
      <c r="N51" s="397" t="n">
        <f aca="false">DEGREES(Beta)</f>
        <v>79.5668474946524</v>
      </c>
      <c r="P51" s="399" t="n">
        <f aca="false">MATCH(t-pas/2-T_ini,CdP_t)</f>
        <v>7</v>
      </c>
      <c r="Q51" s="397" t="n">
        <f aca="false">(INDEX(CdP,2,i_P+1)-INDEX(CdP,2,i_P+0))/(INDEX(CdP,1,i_P+1)-INDEX(CdP,1,i_P+0))*(t-pas/2-T_ini-INDEX(CdP,1,i_P+0))+INDEX(CdP,2,i_P+0)</f>
        <v>1326.952125</v>
      </c>
      <c r="R51" s="396" t="n">
        <f aca="false">Poussee/(g*ISP)</f>
        <v>0.652106401453998</v>
      </c>
      <c r="S51" s="398" t="n">
        <f aca="false">S50-Débit*pas</f>
        <v>9.13685106766675</v>
      </c>
      <c r="T51" s="397" t="n">
        <f aca="false">m*g</f>
        <v>89.6325089738108</v>
      </c>
      <c r="U51" s="400" t="n">
        <f aca="false">IF(pos_xz&lt;L_rampe,Poids*COS(Beta),0)</f>
        <v>0</v>
      </c>
      <c r="V51" s="396" t="n">
        <f aca="false">Rho_moyen*(20000-Alt_rampe-pos_z)/(20000+Alt_rampe+pos_z)</f>
        <v>1.22336583667943</v>
      </c>
      <c r="W51" s="397" t="n">
        <f aca="false">1/2*Rho*Sref*Cx*vit_xz^2</f>
        <v>16.5259350997312</v>
      </c>
      <c r="Y51" s="401" t="str">
        <f aca="false">IF(AND(pos_z&lt;=0,K50&gt;0),"Impact balistique","") &amp; IF(AND(H52&lt;0,vit_z&gt;=0),"Apogée","") &amp; IF(AND(Poussee=0,Q50&gt;0),"Fin de propulsion","") &amp; IF(AND(L52&gt;L_rampe,pos_xz&lt;=L_rampe),"Sortie de rampe","")</f>
        <v/>
      </c>
      <c r="Z51" s="402" t="str">
        <f aca="false">IF(ABS(t-T_para)&lt;pas/2,"Para","")</f>
        <v/>
      </c>
      <c r="AA51" s="403" t="str">
        <f aca="false">IF(ABS(t-T_satellite)&lt;pas/2,"Satellite","")</f>
        <v/>
      </c>
      <c r="AC51" s="399" t="e">
        <f aca="false">IF(ABS(t-ROUND(t,0))&lt;0.001,t,NA())</f>
        <v>#N/A</v>
      </c>
      <c r="AD51" s="404" t="e">
        <f aca="false">IF(ABS(t-ROUND(t,0))&lt;0.001,pos_x,NA())</f>
        <v>#N/A</v>
      </c>
      <c r="AE51" s="405" t="n">
        <f aca="false">IF(t&lt;T_para, pos_z, NA())</f>
        <v>13.3490126033098</v>
      </c>
      <c r="AG51" s="396" t="n">
        <f aca="false">IF(AND(L50&lt;L_rampe,Poussee&lt;Poids*SIN(M50)),0,(-W50+Poussee)/m-Poids*SIN(M50)/m)</f>
        <v>133.85355630596</v>
      </c>
      <c r="AH51" s="397" t="n">
        <f aca="false">IF(AND(L50&lt;L_rampe,Poussee&lt;Poids*SIN(M50)), g*SIN(M50), (-W50+Poussee)/m)</f>
        <v>143.501891592373</v>
      </c>
    </row>
    <row r="52" customFormat="false" ht="12.75" hidden="false" customHeight="false" outlineLevel="0" collapsed="false">
      <c r="A52" s="396" t="n">
        <f aca="false">IF(B51+0.01&lt;=T_ini+ROUNDUP(Temps_fin_propu,0), 0.01, IF(K51&gt;0, 0.1, 0.0001))</f>
        <v>0.01</v>
      </c>
      <c r="B52" s="397" t="n">
        <f aca="false">B51+pas</f>
        <v>0.48</v>
      </c>
      <c r="D52" s="396" t="n">
        <f aca="false">IF(AND(L51&lt;L_rampe,Poussee&lt;Poids*SIN(M51)),0,(-W51+Poussee)/m*COS(M51)-U51/m*SIN(M51))</f>
        <v>25.9770493909297</v>
      </c>
      <c r="E52" s="398" t="n">
        <f aca="false">IF(AND(L51&lt;L_rampe,Poussee&lt;Poids*SIN(M51)),0,(-W51+Poussee)/m*SIN(M51)+U51/m*COS(M51)-Poids/m)</f>
        <v>131.268009958788</v>
      </c>
      <c r="F52" s="397" t="n">
        <f aca="false">SQRT(acc_x^2+acc_z^2)</f>
        <v>133.81366721527</v>
      </c>
      <c r="G52" s="396" t="n">
        <f aca="false">G51+acc_x*pas</f>
        <v>11.109809424821</v>
      </c>
      <c r="H52" s="398" t="n">
        <f aca="false">H51+acc_z*pas</f>
        <v>60.2378442825091</v>
      </c>
      <c r="I52" s="397" t="n">
        <f aca="false">SQRT(vit_x^2+vit_z^2)</f>
        <v>61.2537815098763</v>
      </c>
      <c r="J52" s="396" t="n">
        <f aca="false">J51+0.5*(vit_x+G51)*pas*(K51&gt;=0)</f>
        <v>2.50582613192993</v>
      </c>
      <c r="K52" s="398" t="n">
        <f aca="false">K51+0.5*(vit_z+H51)*pas</f>
        <v>13.944827645637</v>
      </c>
      <c r="L52" s="397" t="n">
        <f aca="false">SQRT(pos_x^2+pos_z^2)</f>
        <v>14.1681820524012</v>
      </c>
      <c r="M52" s="396" t="n">
        <f aca="false">IF(AND(L51&gt;L_rampe,G52&gt;0),ATAN2(G52,H52),$M$4)</f>
        <v>1.38841344529384</v>
      </c>
      <c r="N52" s="397" t="n">
        <f aca="false">DEGREES(Beta)</f>
        <v>79.5502306345549</v>
      </c>
      <c r="P52" s="399" t="n">
        <f aca="false">MATCH(t-pas/2-T_ini,CdP_t)</f>
        <v>7</v>
      </c>
      <c r="Q52" s="397" t="n">
        <f aca="false">(INDEX(CdP,2,i_P+1)-INDEX(CdP,2,i_P+0))/(INDEX(CdP,1,i_P+1)-INDEX(CdP,1,i_P+0))*(t-pas/2-T_ini-INDEX(CdP,1,i_P+0))+INDEX(CdP,2,i_P+0)</f>
        <v>1326.269375</v>
      </c>
      <c r="R52" s="396" t="n">
        <f aca="false">Poussee/(g*ISP)</f>
        <v>0.651770876428486</v>
      </c>
      <c r="S52" s="398" t="n">
        <f aca="false">S51-Débit*pas</f>
        <v>9.13033335890246</v>
      </c>
      <c r="T52" s="397" t="n">
        <f aca="false">m*g</f>
        <v>89.5685702508332</v>
      </c>
      <c r="U52" s="400" t="n">
        <f aca="false">IF(pos_xz&lt;L_rampe,Poids*COS(Beta),0)</f>
        <v>0</v>
      </c>
      <c r="V52" s="396" t="n">
        <f aca="false">Rho_moyen*(20000-Alt_rampe-pos_z)/(20000+Alt_rampe+pos_z)</f>
        <v>1.22329294884012</v>
      </c>
      <c r="W52" s="397" t="n">
        <f aca="false">1/2*Rho*Sref*Cx*vit_xz^2</f>
        <v>17.2712523398646</v>
      </c>
      <c r="Y52" s="401" t="str">
        <f aca="false">IF(AND(pos_z&lt;=0,K51&gt;0),"Impact balistique","") &amp; IF(AND(H53&lt;0,vit_z&gt;=0),"Apogée","") &amp; IF(AND(Poussee=0,Q51&gt;0),"Fin de propulsion","") &amp; IF(AND(L53&gt;L_rampe,pos_xz&lt;=L_rampe),"Sortie de rampe","")</f>
        <v/>
      </c>
      <c r="Z52" s="402" t="str">
        <f aca="false">IF(ABS(t-T_para)&lt;pas/2,"Para","")</f>
        <v/>
      </c>
      <c r="AA52" s="403" t="str">
        <f aca="false">IF(ABS(t-T_satellite)&lt;pas/2,"Satellite","")</f>
        <v/>
      </c>
      <c r="AC52" s="399" t="e">
        <f aca="false">IF(ABS(t-ROUND(t,0))&lt;0.001,t,NA())</f>
        <v>#N/A</v>
      </c>
      <c r="AD52" s="404" t="e">
        <f aca="false">IF(ABS(t-ROUND(t,0))&lt;0.001,pos_x,NA())</f>
        <v>#N/A</v>
      </c>
      <c r="AE52" s="405" t="n">
        <f aca="false">IF(t&lt;T_para, pos_z, NA())</f>
        <v>13.944827645637</v>
      </c>
      <c r="AG52" s="396" t="n">
        <f aca="false">IF(AND(L51&lt;L_rampe,Poussee&lt;Poids*SIN(M51)),0,(-W51+Poussee)/m-Poids*SIN(M51)/m)</f>
        <v>133.801874681507</v>
      </c>
      <c r="AH52" s="397" t="n">
        <f aca="false">IF(AND(L51&lt;L_rampe,Poussee&lt;Poids*SIN(M51)), g*SIN(M51), (-W51+Poussee)/m)</f>
        <v>143.449684520359</v>
      </c>
    </row>
    <row r="53" customFormat="false" ht="12.75" hidden="false" customHeight="false" outlineLevel="0" collapsed="false">
      <c r="A53" s="396" t="n">
        <f aca="false">IF(B52+0.01&lt;=T_ini+ROUNDUP(Temps_fin_propu,0), 0.01, IF(K52&gt;0, 0.1, 0.0001))</f>
        <v>0.01</v>
      </c>
      <c r="B53" s="397" t="n">
        <f aca="false">B52+pas</f>
        <v>0.49</v>
      </c>
      <c r="D53" s="396" t="n">
        <f aca="false">IF(AND(L52&lt;L_rampe,Poussee&lt;Poids*SIN(M52)),0,(-W52+Poussee)/m*COS(M52)-U52/m*SIN(M52))</f>
        <v>26.0081515514269</v>
      </c>
      <c r="E53" s="398" t="n">
        <f aca="false">IF(AND(L52&lt;L_rampe,Poussee&lt;Poids*SIN(M52)),0,(-W52+Poussee)/m*SIN(M52)+U52/m*COS(M52)-Poids/m)</f>
        <v>131.207268912873</v>
      </c>
      <c r="F53" s="397" t="n">
        <f aca="false">SQRT(acc_x^2+acc_z^2)</f>
        <v>133.760126206194</v>
      </c>
      <c r="G53" s="396" t="n">
        <f aca="false">G52+acc_x*pas</f>
        <v>11.3698909403352</v>
      </c>
      <c r="H53" s="398" t="n">
        <f aca="false">H52+acc_z*pas</f>
        <v>61.5499169716379</v>
      </c>
      <c r="I53" s="397" t="n">
        <f aca="false">SQRT(vit_x^2+vit_z^2)</f>
        <v>62.5912669564264</v>
      </c>
      <c r="J53" s="396" t="n">
        <f aca="false">J52+0.5*(vit_x+G52)*pas*(K52&gt;=0)</f>
        <v>2.61822463375571</v>
      </c>
      <c r="K53" s="398" t="n">
        <f aca="false">K52+0.5*(vit_z+H52)*pas</f>
        <v>14.5537664519077</v>
      </c>
      <c r="L53" s="397" t="n">
        <f aca="false">SQRT(pos_x^2+pos_z^2)</f>
        <v>14.7874006562844</v>
      </c>
      <c r="M53" s="396" t="n">
        <f aca="false">IF(AND(L52&gt;L_rampe,G53&gt;0),ATAN2(G53,H53),$M$4)</f>
        <v>1.38812917663873</v>
      </c>
      <c r="N53" s="397" t="n">
        <f aca="false">DEGREES(Beta)</f>
        <v>79.5339432403694</v>
      </c>
      <c r="P53" s="399" t="n">
        <f aca="false">MATCH(t-pas/2-T_ini,CdP_t)</f>
        <v>7</v>
      </c>
      <c r="Q53" s="397" t="n">
        <f aca="false">(INDEX(CdP,2,i_P+1)-INDEX(CdP,2,i_P+0))/(INDEX(CdP,1,i_P+1)-INDEX(CdP,1,i_P+0))*(t-pas/2-T_ini-INDEX(CdP,1,i_P+0))+INDEX(CdP,2,i_P+0)</f>
        <v>1325.586625</v>
      </c>
      <c r="R53" s="396" t="n">
        <f aca="false">Poussee/(g*ISP)</f>
        <v>0.651435351402975</v>
      </c>
      <c r="S53" s="398" t="n">
        <f aca="false">S52-Débit*pas</f>
        <v>9.12381900538843</v>
      </c>
      <c r="T53" s="397" t="n">
        <f aca="false">m*g</f>
        <v>89.5046644428605</v>
      </c>
      <c r="U53" s="400" t="n">
        <f aca="false">IF(pos_xz&lt;L_rampe,Poids*COS(Beta),0)</f>
        <v>0</v>
      </c>
      <c r="V53" s="396" t="n">
        <f aca="false">Rho_moyen*(20000-Alt_rampe-pos_z)/(20000+Alt_rampe+pos_z)</f>
        <v>1.22321846001548</v>
      </c>
      <c r="W53" s="397" t="n">
        <f aca="false">1/2*Rho*Sref*Cx*vit_xz^2</f>
        <v>18.0326294453054</v>
      </c>
      <c r="Y53" s="401" t="str">
        <f aca="false">IF(AND(pos_z&lt;=0,K52&gt;0),"Impact balistique","") &amp; IF(AND(H54&lt;0,vit_z&gt;=0),"Apogée","") &amp; IF(AND(Poussee=0,Q52&gt;0),"Fin de propulsion","") &amp; IF(AND(L54&gt;L_rampe,pos_xz&lt;=L_rampe),"Sortie de rampe","")</f>
        <v/>
      </c>
      <c r="Z53" s="402" t="str">
        <f aca="false">IF(ABS(t-T_para)&lt;pas/2,"Para","")</f>
        <v/>
      </c>
      <c r="AA53" s="403" t="str">
        <f aca="false">IF(ABS(t-T_satellite)&lt;pas/2,"Satellite","")</f>
        <v/>
      </c>
      <c r="AC53" s="399" t="e">
        <f aca="false">IF(ABS(t-ROUND(t,0))&lt;0.001,t,NA())</f>
        <v>#N/A</v>
      </c>
      <c r="AD53" s="404" t="e">
        <f aca="false">IF(ABS(t-ROUND(t,0))&lt;0.001,pos_x,NA())</f>
        <v>#N/A</v>
      </c>
      <c r="AE53" s="405" t="n">
        <f aca="false">IF(t&lt;T_para, pos_z, NA())</f>
        <v>14.5537664519077</v>
      </c>
      <c r="AG53" s="396" t="n">
        <f aca="false">IF(AND(L52&lt;L_rampe,Poussee&lt;Poids*SIN(M52)),0,(-W52+Poussee)/m-Poids*SIN(M52)/m)</f>
        <v>133.748291759167</v>
      </c>
      <c r="AH53" s="397" t="n">
        <f aca="false">IF(AND(L52&lt;L_rampe,Poussee&lt;Poids*SIN(M52)), g*SIN(M52), (-W52+Poussee)/m)</f>
        <v>143.395585980767</v>
      </c>
    </row>
    <row r="54" customFormat="false" ht="12.75" hidden="false" customHeight="false" outlineLevel="0" collapsed="false">
      <c r="A54" s="396" t="n">
        <f aca="false">IF(B53+0.01&lt;=T_ini+ROUNDUP(Temps_fin_propu,0), 0.01, IF(K53&gt;0, 0.1, 0.0001))</f>
        <v>0.01</v>
      </c>
      <c r="B54" s="397" t="n">
        <f aca="false">B53+pas</f>
        <v>0.5</v>
      </c>
      <c r="D54" s="396" t="n">
        <f aca="false">IF(AND(L53&lt;L_rampe,Poussee&lt;Poids*SIN(M53)),0,(-W53+Poussee)/m*COS(M53)-U53/m*SIN(M53))</f>
        <v>26.0380665260533</v>
      </c>
      <c r="E54" s="398" t="n">
        <f aca="false">IF(AND(L53&lt;L_rampe,Poussee&lt;Poids*SIN(M53)),0,(-W53+Poussee)/m*SIN(M53)+U53/m*COS(M53)-Poids/m)</f>
        <v>131.144811368957</v>
      </c>
      <c r="F54" s="397" t="n">
        <f aca="false">SQRT(acc_x^2+acc_z^2)</f>
        <v>133.704683752719</v>
      </c>
      <c r="G54" s="396" t="n">
        <f aca="false">G53+acc_x*pas</f>
        <v>11.6302716055958</v>
      </c>
      <c r="H54" s="398" t="n">
        <f aca="false">H53+acc_z*pas</f>
        <v>62.8613650853275</v>
      </c>
      <c r="I54" s="397" t="n">
        <f aca="false">SQRT(vit_x^2+vit_z^2)</f>
        <v>63.9281975188629</v>
      </c>
      <c r="J54" s="396" t="n">
        <f aca="false">J53+0.5*(vit_x+G53)*pas*(K53&gt;=0)</f>
        <v>2.73322544648536</v>
      </c>
      <c r="K54" s="398" t="n">
        <f aca="false">K53+0.5*(vit_z+H53)*pas</f>
        <v>15.1758228621925</v>
      </c>
      <c r="L54" s="397" t="n">
        <f aca="false">SQRT(pos_x^2+pos_z^2)</f>
        <v>15.419990949607</v>
      </c>
      <c r="M54" s="396" t="n">
        <f aca="false">IF(AND(L53&gt;L_rampe,G54&gt;0),ATAN2(G54,H54),$M$4)</f>
        <v>1.38785042392121</v>
      </c>
      <c r="N54" s="397" t="n">
        <f aca="false">DEGREES(Beta)</f>
        <v>79.5179718861277</v>
      </c>
      <c r="P54" s="399" t="n">
        <f aca="false">MATCH(t-pas/2-T_ini,CdP_t)</f>
        <v>7</v>
      </c>
      <c r="Q54" s="397" t="n">
        <f aca="false">(INDEX(CdP,2,i_P+1)-INDEX(CdP,2,i_P+0))/(INDEX(CdP,1,i_P+1)-INDEX(CdP,1,i_P+0))*(t-pas/2-T_ini-INDEX(CdP,1,i_P+0))+INDEX(CdP,2,i_P+0)</f>
        <v>1324.903875</v>
      </c>
      <c r="R54" s="396" t="n">
        <f aca="false">Poussee/(g*ISP)</f>
        <v>0.651099826377464</v>
      </c>
      <c r="S54" s="398" t="n">
        <f aca="false">S53-Débit*pas</f>
        <v>9.11730800712466</v>
      </c>
      <c r="T54" s="397" t="n">
        <f aca="false">m*g</f>
        <v>89.4407915498929</v>
      </c>
      <c r="U54" s="400" t="n">
        <f aca="false">IF(pos_xz&lt;L_rampe,Poids*COS(Beta),0)</f>
        <v>0</v>
      </c>
      <c r="V54" s="396" t="n">
        <f aca="false">Rho_moyen*(20000-Alt_rampe-pos_z)/(20000+Alt_rampe+pos_z)</f>
        <v>1.22314237125162</v>
      </c>
      <c r="W54" s="397" t="n">
        <f aca="false">1/2*Rho*Sref*Cx*vit_xz^2</f>
        <v>18.8100295054969</v>
      </c>
      <c r="Y54" s="401" t="str">
        <f aca="false">IF(AND(pos_z&lt;=0,K53&gt;0),"Impact balistique","") &amp; IF(AND(H55&lt;0,vit_z&gt;=0),"Apogée","") &amp; IF(AND(Poussee=0,Q53&gt;0),"Fin de propulsion","") &amp; IF(AND(L55&gt;L_rampe,pos_xz&lt;=L_rampe),"Sortie de rampe","")</f>
        <v/>
      </c>
      <c r="Z54" s="402" t="str">
        <f aca="false">IF(ABS(t-T_para)&lt;pas/2,"Para","")</f>
        <v/>
      </c>
      <c r="AA54" s="403" t="str">
        <f aca="false">IF(ABS(t-T_satellite)&lt;pas/2,"Satellite","")</f>
        <v/>
      </c>
      <c r="AC54" s="399" t="e">
        <f aca="false">IF(ABS(t-ROUND(t,0))&lt;0.001,t,NA())</f>
        <v>#N/A</v>
      </c>
      <c r="AD54" s="404" t="e">
        <f aca="false">IF(ABS(t-ROUND(t,0))&lt;0.001,pos_x,NA())</f>
        <v>#N/A</v>
      </c>
      <c r="AE54" s="405" t="n">
        <f aca="false">IF(t&lt;T_para, pos_z, NA())</f>
        <v>15.1758228621925</v>
      </c>
      <c r="AG54" s="396" t="n">
        <f aca="false">IF(AND(L53&lt;L_rampe,Poussee&lt;Poids*SIN(M53)),0,(-W53+Poussee)/m-Poids*SIN(M53)/m)</f>
        <v>133.692807872771</v>
      </c>
      <c r="AH54" s="397" t="n">
        <f aca="false">IF(AND(L53&lt;L_rampe,Poussee&lt;Poids*SIN(M53)), g*SIN(M53), (-W53+Poussee)/m)</f>
        <v>143.3395959129</v>
      </c>
    </row>
    <row r="55" customFormat="false" ht="12.75" hidden="false" customHeight="false" outlineLevel="0" collapsed="false">
      <c r="A55" s="396" t="n">
        <f aca="false">IF(B54+0.01&lt;=T_ini+ROUNDUP(Temps_fin_propu,0), 0.01, IF(K54&gt;0, 0.1, 0.0001))</f>
        <v>0.01</v>
      </c>
      <c r="B55" s="397" t="n">
        <f aca="false">B54+pas</f>
        <v>0.51</v>
      </c>
      <c r="D55" s="396" t="n">
        <f aca="false">IF(AND(L54&lt;L_rampe,Poussee&lt;Poids*SIN(M54)),0,(-W54+Poussee)/m*COS(M54)-U54/m*SIN(M54))</f>
        <v>26.0668268302138</v>
      </c>
      <c r="E55" s="398" t="n">
        <f aca="false">IF(AND(L54&lt;L_rampe,Poussee&lt;Poids*SIN(M54)),0,(-W54+Poussee)/m*SIN(M54)+U54/m*COS(M54)-Poids/m)</f>
        <v>131.080632098539</v>
      </c>
      <c r="F55" s="397" t="n">
        <f aca="false">SQRT(acc_x^2+acc_z^2)</f>
        <v>133.647340311541</v>
      </c>
      <c r="G55" s="396" t="n">
        <f aca="false">G54+acc_x*pas</f>
        <v>11.8909398738979</v>
      </c>
      <c r="H55" s="398" t="n">
        <f aca="false">H54+acc_z*pas</f>
        <v>64.1721714063128</v>
      </c>
      <c r="I55" s="397" t="n">
        <f aca="false">SQRT(vit_x^2+vit_z^2)</f>
        <v>65.2645541935732</v>
      </c>
      <c r="J55" s="396" t="n">
        <f aca="false">J54+0.5*(vit_x+G54)*pas*(K54&gt;=0)</f>
        <v>2.85083150388283</v>
      </c>
      <c r="K55" s="398" t="n">
        <f aca="false">K54+0.5*(vit_z+H54)*pas</f>
        <v>15.8109905446507</v>
      </c>
      <c r="L55" s="397" t="n">
        <f aca="false">SQRT(pos_x^2+pos_z^2)</f>
        <v>16.0659472881796</v>
      </c>
      <c r="M55" s="396" t="n">
        <f aca="false">IF(AND(L54&gt;L_rampe,G55&gt;0),ATAN2(G55,H55),$M$4)</f>
        <v>1.38757696692778</v>
      </c>
      <c r="N55" s="397" t="n">
        <f aca="false">DEGREES(Beta)</f>
        <v>79.5023039545258</v>
      </c>
      <c r="P55" s="399" t="n">
        <f aca="false">MATCH(t-pas/2-T_ini,CdP_t)</f>
        <v>7</v>
      </c>
      <c r="Q55" s="397" t="n">
        <f aca="false">(INDEX(CdP,2,i_P+1)-INDEX(CdP,2,i_P+0))/(INDEX(CdP,1,i_P+1)-INDEX(CdP,1,i_P+0))*(t-pas/2-T_ini-INDEX(CdP,1,i_P+0))+INDEX(CdP,2,i_P+0)</f>
        <v>1324.221125</v>
      </c>
      <c r="R55" s="396" t="n">
        <f aca="false">Poussee/(g*ISP)</f>
        <v>0.650764301351953</v>
      </c>
      <c r="S55" s="398" t="n">
        <f aca="false">S54-Débit*pas</f>
        <v>9.11080036411114</v>
      </c>
      <c r="T55" s="397" t="n">
        <f aca="false">m*g</f>
        <v>89.3769515719303</v>
      </c>
      <c r="U55" s="400" t="n">
        <f aca="false">IF(pos_xz&lt;L_rampe,Poids*COS(Beta),0)</f>
        <v>0</v>
      </c>
      <c r="V55" s="396" t="n">
        <f aca="false">Rho_moyen*(20000-Alt_rampe-pos_z)/(20000+Alt_rampe+pos_z)</f>
        <v>1.22306468362173</v>
      </c>
      <c r="W55" s="397" t="n">
        <f aca="false">1/2*Rho*Sref*Cx*vit_xz^2</f>
        <v>19.6034145690888</v>
      </c>
      <c r="Y55" s="401" t="str">
        <f aca="false">IF(AND(pos_z&lt;=0,K54&gt;0),"Impact balistique","") &amp; IF(AND(H56&lt;0,vit_z&gt;=0),"Apogée","") &amp; IF(AND(Poussee=0,Q54&gt;0),"Fin de propulsion","") &amp; IF(AND(L56&gt;L_rampe,pos_xz&lt;=L_rampe),"Sortie de rampe","")</f>
        <v/>
      </c>
      <c r="Z55" s="402" t="str">
        <f aca="false">IF(ABS(t-T_para)&lt;pas/2,"Para","")</f>
        <v/>
      </c>
      <c r="AA55" s="403" t="str">
        <f aca="false">IF(ABS(t-T_satellite)&lt;pas/2,"Satellite","")</f>
        <v/>
      </c>
      <c r="AC55" s="399" t="e">
        <f aca="false">IF(ABS(t-ROUND(t,0))&lt;0.001,t,NA())</f>
        <v>#N/A</v>
      </c>
      <c r="AD55" s="404" t="e">
        <f aca="false">IF(ABS(t-ROUND(t,0))&lt;0.001,pos_x,NA())</f>
        <v>#N/A</v>
      </c>
      <c r="AE55" s="405" t="n">
        <f aca="false">IF(t&lt;T_para, pos_z, NA())</f>
        <v>15.8109905446507</v>
      </c>
      <c r="AG55" s="396" t="n">
        <f aca="false">IF(AND(L54&lt;L_rampe,Poussee&lt;Poids*SIN(M54)),0,(-W54+Poussee)/m-Poids*SIN(M54)/m)</f>
        <v>133.635423451012</v>
      </c>
      <c r="AH55" s="397" t="n">
        <f aca="false">IF(AND(L54&lt;L_rampe,Poussee&lt;Poids*SIN(M54)), g*SIN(M54), (-W54+Poussee)/m)</f>
        <v>143.281714374592</v>
      </c>
    </row>
    <row r="56" customFormat="false" ht="12.75" hidden="false" customHeight="false" outlineLevel="0" collapsed="false">
      <c r="A56" s="396" t="n">
        <f aca="false">IF(B55+0.01&lt;=T_ini+ROUNDUP(Temps_fin_propu,0), 0.01, IF(K55&gt;0, 0.1, 0.0001))</f>
        <v>0.01</v>
      </c>
      <c r="B56" s="397" t="n">
        <f aca="false">B55+pas</f>
        <v>0.52</v>
      </c>
      <c r="D56" s="396" t="n">
        <f aca="false">IF(AND(L55&lt;L_rampe,Poussee&lt;Poids*SIN(M55)),0,(-W55+Poussee)/m*COS(M55)-U55/m*SIN(M55))</f>
        <v>26.094463013595</v>
      </c>
      <c r="E56" s="398" t="n">
        <f aca="false">IF(AND(L55&lt;L_rampe,Poussee&lt;Poids*SIN(M55)),0,(-W55+Poussee)/m*SIN(M55)+U55/m*COS(M55)-Poids/m)</f>
        <v>131.014726306113</v>
      </c>
      <c r="F56" s="397" t="n">
        <f aca="false">SQRT(acc_x^2+acc_z^2)</f>
        <v>133.58809643465</v>
      </c>
      <c r="G56" s="396" t="n">
        <f aca="false">G55+acc_x*pas</f>
        <v>12.1518845040339</v>
      </c>
      <c r="H56" s="398" t="n">
        <f aca="false">H55+acc_z*pas</f>
        <v>65.482318669374</v>
      </c>
      <c r="I56" s="397" t="n">
        <f aca="false">SQRT(vit_x^2+vit_z^2)</f>
        <v>66.6003179820999</v>
      </c>
      <c r="J56" s="396" t="n">
        <f aca="false">J55+0.5*(vit_x+G55)*pas*(K55&gt;=0)</f>
        <v>2.97104562577249</v>
      </c>
      <c r="K56" s="398" t="n">
        <f aca="false">K55+0.5*(vit_z+H55)*pas</f>
        <v>16.4592629950292</v>
      </c>
      <c r="L56" s="397" t="n">
        <f aca="false">SQRT(pos_x^2+pos_z^2)</f>
        <v>16.7252638379775</v>
      </c>
      <c r="M56" s="396" t="n">
        <f aca="false">IF(AND(L55&gt;L_rampe,G56&gt;0),ATAN2(G56,H56),$M$4)</f>
        <v>1.38730859844111</v>
      </c>
      <c r="N56" s="397" t="n">
        <f aca="false">DEGREES(Beta)</f>
        <v>79.4869275728849</v>
      </c>
      <c r="P56" s="399" t="n">
        <f aca="false">MATCH(t-pas/2-T_ini,CdP_t)</f>
        <v>7</v>
      </c>
      <c r="Q56" s="397" t="n">
        <f aca="false">(INDEX(CdP,2,i_P+1)-INDEX(CdP,2,i_P+0))/(INDEX(CdP,1,i_P+1)-INDEX(CdP,1,i_P+0))*(t-pas/2-T_ini-INDEX(CdP,1,i_P+0))+INDEX(CdP,2,i_P+0)</f>
        <v>1323.538375</v>
      </c>
      <c r="R56" s="396" t="n">
        <f aca="false">Poussee/(g*ISP)</f>
        <v>0.650428776326442</v>
      </c>
      <c r="S56" s="398" t="n">
        <f aca="false">S55-Débit*pas</f>
        <v>9.10429607634787</v>
      </c>
      <c r="T56" s="397" t="n">
        <f aca="false">m*g</f>
        <v>89.3131445089726</v>
      </c>
      <c r="U56" s="400" t="n">
        <f aca="false">IF(pos_xz&lt;L_rampe,Poids*COS(Beta),0)</f>
        <v>0</v>
      </c>
      <c r="V56" s="396" t="n">
        <f aca="false">Rho_moyen*(20000-Alt_rampe-pos_z)/(20000+Alt_rampe+pos_z)</f>
        <v>1.22298539822613</v>
      </c>
      <c r="W56" s="397" t="n">
        <f aca="false">1/2*Rho*Sref*Cx*vit_xz^2</f>
        <v>20.4127456467134</v>
      </c>
      <c r="Y56" s="401" t="str">
        <f aca="false">IF(AND(pos_z&lt;=0,K55&gt;0),"Impact balistique","") &amp; IF(AND(H57&lt;0,vit_z&gt;=0),"Apogée","") &amp; IF(AND(Poussee=0,Q55&gt;0),"Fin de propulsion","") &amp; IF(AND(L57&gt;L_rampe,pos_xz&lt;=L_rampe),"Sortie de rampe","")</f>
        <v/>
      </c>
      <c r="Z56" s="402" t="str">
        <f aca="false">IF(ABS(t-T_para)&lt;pas/2,"Para","")</f>
        <v/>
      </c>
      <c r="AA56" s="403" t="str">
        <f aca="false">IF(ABS(t-T_satellite)&lt;pas/2,"Satellite","")</f>
        <v/>
      </c>
      <c r="AC56" s="399" t="e">
        <f aca="false">IF(ABS(t-ROUND(t,0))&lt;0.001,t,NA())</f>
        <v>#N/A</v>
      </c>
      <c r="AD56" s="404" t="e">
        <f aca="false">IF(ABS(t-ROUND(t,0))&lt;0.001,pos_x,NA())</f>
        <v>#N/A</v>
      </c>
      <c r="AE56" s="405" t="n">
        <f aca="false">IF(t&lt;T_para, pos_z, NA())</f>
        <v>16.4592629950292</v>
      </c>
      <c r="AG56" s="396" t="n">
        <f aca="false">IF(AND(L55&lt;L_rampe,Poussee&lt;Poids*SIN(M55)),0,(-W55+Poussee)/m-Poids*SIN(M55)/m)</f>
        <v>133.576139019453</v>
      </c>
      <c r="AH56" s="397" t="n">
        <f aca="false">IF(AND(L55&lt;L_rampe,Poussee&lt;Poids*SIN(M55)), g*SIN(M55), (-W55+Poussee)/m)</f>
        <v>143.221941542347</v>
      </c>
    </row>
    <row r="57" customFormat="false" ht="12.75" hidden="false" customHeight="false" outlineLevel="0" collapsed="false">
      <c r="A57" s="396" t="n">
        <f aca="false">IF(B56+0.01&lt;=T_ini+ROUNDUP(Temps_fin_propu,0), 0.01, IF(K56&gt;0, 0.1, 0.0001))</f>
        <v>0.01</v>
      </c>
      <c r="B57" s="397" t="n">
        <f aca="false">B56+pas</f>
        <v>0.53</v>
      </c>
      <c r="D57" s="396" t="n">
        <f aca="false">IF(AND(L56&lt;L_rampe,Poussee&lt;Poids*SIN(M56)),0,(-W56+Poussee)/m*COS(M56)-U56/m*SIN(M56))</f>
        <v>26.1210038183681</v>
      </c>
      <c r="E57" s="398" t="n">
        <f aca="false">IF(AND(L56&lt;L_rampe,Poussee&lt;Poids*SIN(M56)),0,(-W56+Poussee)/m*SIN(M56)+U56/m*COS(M56)-Poids/m)</f>
        <v>130.94708960454</v>
      </c>
      <c r="F57" s="397" t="n">
        <f aca="false">SQRT(acc_x^2+acc_z^2)</f>
        <v>133.526952771261</v>
      </c>
      <c r="G57" s="396" t="n">
        <f aca="false">G56+acc_x*pas</f>
        <v>12.4130945422175</v>
      </c>
      <c r="H57" s="398" t="n">
        <f aca="false">H56+acc_z*pas</f>
        <v>66.7917895654194</v>
      </c>
      <c r="I57" s="397" t="n">
        <f aca="false">SQRT(vit_x^2+vit_z^2)</f>
        <v>67.9354698921358</v>
      </c>
      <c r="J57" s="396" t="n">
        <f aca="false">J56+0.5*(vit_x+G56)*pas*(K56&gt;=0)</f>
        <v>3.09387052100375</v>
      </c>
      <c r="K57" s="398" t="n">
        <f aca="false">K56+0.5*(vit_z+H56)*pas</f>
        <v>17.1206335362031</v>
      </c>
      <c r="L57" s="397" t="n">
        <f aca="false">SQRT(pos_x^2+pos_z^2)</f>
        <v>17.3979345751643</v>
      </c>
      <c r="M57" s="396" t="n">
        <f aca="false">IF(AND(L56&gt;L_rampe,G57&gt;0),ATAN2(G57,H57),$M$4)</f>
        <v>1.38704512323117</v>
      </c>
      <c r="N57" s="397" t="n">
        <f aca="false">DEGREES(Beta)</f>
        <v>79.4718315553493</v>
      </c>
      <c r="P57" s="399" t="n">
        <f aca="false">MATCH(t-pas/2-T_ini,CdP_t)</f>
        <v>7</v>
      </c>
      <c r="Q57" s="397" t="n">
        <f aca="false">(INDEX(CdP,2,i_P+1)-INDEX(CdP,2,i_P+0))/(INDEX(CdP,1,i_P+1)-INDEX(CdP,1,i_P+0))*(t-pas/2-T_ini-INDEX(CdP,1,i_P+0))+INDEX(CdP,2,i_P+0)</f>
        <v>1322.855625</v>
      </c>
      <c r="R57" s="396" t="n">
        <f aca="false">Poussee/(g*ISP)</f>
        <v>0.65009325130093</v>
      </c>
      <c r="S57" s="398" t="n">
        <f aca="false">S56-Débit*pas</f>
        <v>9.09779514383486</v>
      </c>
      <c r="T57" s="397" t="n">
        <f aca="false">m*g</f>
        <v>89.24937036102</v>
      </c>
      <c r="U57" s="400" t="n">
        <f aca="false">IF(pos_xz&lt;L_rampe,Poids*COS(Beta),0)</f>
        <v>0</v>
      </c>
      <c r="V57" s="396" t="n">
        <f aca="false">Rho_moyen*(20000-Alt_rampe-pos_z)/(20000+Alt_rampe+pos_z)</f>
        <v>1.22290451619233</v>
      </c>
      <c r="W57" s="397" t="n">
        <f aca="false">1/2*Rho*Sref*Cx*vit_xz^2</f>
        <v>21.2379827139004</v>
      </c>
      <c r="Y57" s="401" t="str">
        <f aca="false">IF(AND(pos_z&lt;=0,K56&gt;0),"Impact balistique","") &amp; IF(AND(H58&lt;0,vit_z&gt;=0),"Apogée","") &amp; IF(AND(Poussee=0,Q56&gt;0),"Fin de propulsion","") &amp; IF(AND(L58&gt;L_rampe,pos_xz&lt;=L_rampe),"Sortie de rampe","")</f>
        <v/>
      </c>
      <c r="Z57" s="402" t="str">
        <f aca="false">IF(ABS(t-T_para)&lt;pas/2,"Para","")</f>
        <v/>
      </c>
      <c r="AA57" s="403" t="str">
        <f aca="false">IF(ABS(t-T_satellite)&lt;pas/2,"Satellite","")</f>
        <v/>
      </c>
      <c r="AC57" s="399" t="e">
        <f aca="false">IF(ABS(t-ROUND(t,0))&lt;0.001,t,NA())</f>
        <v>#N/A</v>
      </c>
      <c r="AD57" s="404" t="e">
        <f aca="false">IF(ABS(t-ROUND(t,0))&lt;0.001,pos_x,NA())</f>
        <v>#N/A</v>
      </c>
      <c r="AE57" s="405" t="n">
        <f aca="false">IF(t&lt;T_para, pos_z, NA())</f>
        <v>17.1206335362031</v>
      </c>
      <c r="AG57" s="396" t="n">
        <f aca="false">IF(AND(L56&lt;L_rampe,Poussee&lt;Poids*SIN(M56)),0,(-W56+Poussee)/m-Poids*SIN(M56)/m)</f>
        <v>133.514955202342</v>
      </c>
      <c r="AH57" s="397" t="n">
        <f aca="false">IF(AND(L56&lt;L_rampe,Poussee&lt;Poids*SIN(M56)), g*SIN(M56), (-W56+Poussee)/m)</f>
        <v>143.160277711451</v>
      </c>
    </row>
    <row r="58" customFormat="false" ht="12.75" hidden="false" customHeight="false" outlineLevel="0" collapsed="false">
      <c r="A58" s="396" t="n">
        <f aca="false">IF(B57+0.01&lt;=T_ini+ROUNDUP(Temps_fin_propu,0), 0.01, IF(K57&gt;0, 0.1, 0.0001))</f>
        <v>0.01</v>
      </c>
      <c r="B58" s="397" t="n">
        <f aca="false">B57+pas</f>
        <v>0.54</v>
      </c>
      <c r="D58" s="396" t="n">
        <f aca="false">IF(AND(L57&lt;L_rampe,Poussee&lt;Poids*SIN(M57)),0,(-W57+Poussee)/m*COS(M57)-U57/m*SIN(M57))</f>
        <v>26.1464763219576</v>
      </c>
      <c r="E58" s="398" t="n">
        <f aca="false">IF(AND(L57&lt;L_rampe,Poussee&lt;Poids*SIN(M57)),0,(-W57+Poussee)/m*SIN(M57)+U57/m*COS(M57)-Poids/m)</f>
        <v>130.877717992795</v>
      </c>
      <c r="F58" s="397" t="n">
        <f aca="false">SQRT(acc_x^2+acc_z^2)</f>
        <v>133.463910069563</v>
      </c>
      <c r="G58" s="396" t="n">
        <f aca="false">G57+acc_x*pas</f>
        <v>12.6745593054371</v>
      </c>
      <c r="H58" s="398" t="n">
        <f aca="false">H57+acc_z*pas</f>
        <v>68.1005667453473</v>
      </c>
      <c r="I58" s="397" t="n">
        <f aca="false">SQRT(vit_x^2+vit_z^2)</f>
        <v>69.2699909385338</v>
      </c>
      <c r="J58" s="396" t="n">
        <f aca="false">J57+0.5*(vit_x+G57)*pas*(K57&gt;=0)</f>
        <v>3.21930879024202</v>
      </c>
      <c r="K58" s="398" t="n">
        <f aca="false">K57+0.5*(vit_z+H57)*pas</f>
        <v>17.795095317757</v>
      </c>
      <c r="L58" s="397" t="n">
        <f aca="false">SQRT(pos_x^2+pos_z^2)</f>
        <v>18.0839532861315</v>
      </c>
      <c r="M58" s="396" t="n">
        <f aca="false">IF(AND(L57&gt;L_rampe,G58&gt;0),ATAN2(G58,H58),$M$4)</f>
        <v>1.3867863571428</v>
      </c>
      <c r="N58" s="397" t="n">
        <f aca="false">DEGREES(Beta)</f>
        <v>79.4570053506043</v>
      </c>
      <c r="P58" s="399" t="n">
        <f aca="false">MATCH(t-pas/2-T_ini,CdP_t)</f>
        <v>7</v>
      </c>
      <c r="Q58" s="397" t="n">
        <f aca="false">(INDEX(CdP,2,i_P+1)-INDEX(CdP,2,i_P+0))/(INDEX(CdP,1,i_P+1)-INDEX(CdP,1,i_P+0))*(t-pas/2-T_ini-INDEX(CdP,1,i_P+0))+INDEX(CdP,2,i_P+0)</f>
        <v>1322.172875</v>
      </c>
      <c r="R58" s="396" t="n">
        <f aca="false">Poussee/(g*ISP)</f>
        <v>0.649757726275419</v>
      </c>
      <c r="S58" s="398" t="n">
        <f aca="false">S57-Débit*pas</f>
        <v>9.09129756657211</v>
      </c>
      <c r="T58" s="397" t="n">
        <f aca="false">m*g</f>
        <v>89.1856291280724</v>
      </c>
      <c r="U58" s="400" t="n">
        <f aca="false">IF(pos_xz&lt;L_rampe,Poids*COS(Beta),0)</f>
        <v>0</v>
      </c>
      <c r="V58" s="396" t="n">
        <f aca="false">Rho_moyen*(20000-Alt_rampe-pos_z)/(20000+Alt_rampe+pos_z)</f>
        <v>1.22282203867504</v>
      </c>
      <c r="W58" s="397" t="n">
        <f aca="false">1/2*Rho*Sref*Cx*vit_xz^2</f>
        <v>22.0790847141295</v>
      </c>
      <c r="Y58" s="401" t="str">
        <f aca="false">IF(AND(pos_z&lt;=0,K57&gt;0),"Impact balistique","") &amp; IF(AND(H59&lt;0,vit_z&gt;=0),"Apogée","") &amp; IF(AND(Poussee=0,Q57&gt;0),"Fin de propulsion","") &amp; IF(AND(L59&gt;L_rampe,pos_xz&lt;=L_rampe),"Sortie de rampe","")</f>
        <v/>
      </c>
      <c r="Z58" s="402" t="str">
        <f aca="false">IF(ABS(t-T_para)&lt;pas/2,"Para","")</f>
        <v/>
      </c>
      <c r="AA58" s="403" t="str">
        <f aca="false">IF(ABS(t-T_satellite)&lt;pas/2,"Satellite","")</f>
        <v/>
      </c>
      <c r="AC58" s="399" t="e">
        <f aca="false">IF(ABS(t-ROUND(t,0))&lt;0.001,t,NA())</f>
        <v>#N/A</v>
      </c>
      <c r="AD58" s="404" t="e">
        <f aca="false">IF(ABS(t-ROUND(t,0))&lt;0.001,pos_x,NA())</f>
        <v>#N/A</v>
      </c>
      <c r="AE58" s="405" t="n">
        <f aca="false">IF(t&lt;T_para, pos_z, NA())</f>
        <v>17.795095317757</v>
      </c>
      <c r="AG58" s="396" t="n">
        <f aca="false">IF(AND(L57&lt;L_rampe,Poussee&lt;Poids*SIN(M57)),0,(-W57+Poussee)/m-Poids*SIN(M57)/m)</f>
        <v>133.45187272425</v>
      </c>
      <c r="AH58" s="397" t="n">
        <f aca="false">IF(AND(L57&lt;L_rampe,Poussee&lt;Poids*SIN(M57)), g*SIN(M57), (-W57+Poussee)/m)</f>
        <v>143.096723296081</v>
      </c>
    </row>
    <row r="59" customFormat="false" ht="12.75" hidden="false" customHeight="false" outlineLevel="0" collapsed="false">
      <c r="A59" s="396" t="n">
        <f aca="false">IF(B58+0.01&lt;=T_ini+ROUNDUP(Temps_fin_propu,0), 0.01, IF(K58&gt;0, 0.1, 0.0001))</f>
        <v>0.01</v>
      </c>
      <c r="B59" s="397" t="n">
        <f aca="false">B58+pas</f>
        <v>0.55</v>
      </c>
      <c r="D59" s="396" t="n">
        <f aca="false">IF(AND(L58&lt;L_rampe,Poussee&lt;Poids*SIN(M58)),0,(-W58+Poussee)/m*COS(M58)-U58/m*SIN(M58))</f>
        <v>26.1709060661525</v>
      </c>
      <c r="E59" s="398" t="n">
        <f aca="false">IF(AND(L58&lt;L_rampe,Poussee&lt;Poids*SIN(M58)),0,(-W58+Poussee)/m*SIN(M58)+U58/m*COS(M58)-Poids/m)</f>
        <v>130.806607835799</v>
      </c>
      <c r="F59" s="397" t="n">
        <f aca="false">SQRT(acc_x^2+acc_z^2)</f>
        <v>133.398969178296</v>
      </c>
      <c r="G59" s="396" t="n">
        <f aca="false">G58+acc_x*pas</f>
        <v>12.9362683660986</v>
      </c>
      <c r="H59" s="398" t="n">
        <f aca="false">H58+acc_z*pas</f>
        <v>69.4086328237053</v>
      </c>
      <c r="I59" s="397" t="n">
        <f aca="false">SQRT(vit_x^2+vit_z^2)</f>
        <v>70.6038621443308</v>
      </c>
      <c r="J59" s="396" t="n">
        <f aca="false">J58+0.5*(vit_x+G58)*pas*(K58&gt;=0)</f>
        <v>3.3473629285997</v>
      </c>
      <c r="K59" s="398" t="n">
        <f aca="false">K58+0.5*(vit_z+H58)*pas</f>
        <v>18.4826413156022</v>
      </c>
      <c r="L59" s="397" t="n">
        <f aca="false">SQRT(pos_x^2+pos_z^2)</f>
        <v>18.7833135675516</v>
      </c>
      <c r="M59" s="396" t="n">
        <f aca="false">IF(AND(L58&gt;L_rampe,G59&gt;0),ATAN2(G59,H59),$M$4)</f>
        <v>1.38653212626863</v>
      </c>
      <c r="N59" s="397" t="n">
        <f aca="false">DEGREES(Beta)</f>
        <v>79.4424389944927</v>
      </c>
      <c r="P59" s="399" t="n">
        <f aca="false">MATCH(t-pas/2-T_ini,CdP_t)</f>
        <v>7</v>
      </c>
      <c r="Q59" s="397" t="n">
        <f aca="false">(INDEX(CdP,2,i_P+1)-INDEX(CdP,2,i_P+0))/(INDEX(CdP,1,i_P+1)-INDEX(CdP,1,i_P+0))*(t-pas/2-T_ini-INDEX(CdP,1,i_P+0))+INDEX(CdP,2,i_P+0)</f>
        <v>1321.490125</v>
      </c>
      <c r="R59" s="396" t="n">
        <f aca="false">Poussee/(g*ISP)</f>
        <v>0.649422201249908</v>
      </c>
      <c r="S59" s="398" t="n">
        <f aca="false">S58-Débit*pas</f>
        <v>9.08480334455961</v>
      </c>
      <c r="T59" s="397" t="n">
        <f aca="false">m*g</f>
        <v>89.1219208101298</v>
      </c>
      <c r="U59" s="400" t="n">
        <f aca="false">IF(pos_xz&lt;L_rampe,Poids*COS(Beta),0)</f>
        <v>0</v>
      </c>
      <c r="V59" s="396" t="n">
        <f aca="false">Rho_moyen*(20000-Alt_rampe-pos_z)/(20000+Alt_rampe+pos_z)</f>
        <v>1.2227379668562</v>
      </c>
      <c r="W59" s="397" t="n">
        <f aca="false">1/2*Rho*Sref*Cx*vit_xz^2</f>
        <v>22.936009562021</v>
      </c>
      <c r="Y59" s="401" t="str">
        <f aca="false">IF(AND(pos_z&lt;=0,K58&gt;0),"Impact balistique","") &amp; IF(AND(H60&lt;0,vit_z&gt;=0),"Apogée","") &amp; IF(AND(Poussee=0,Q58&gt;0),"Fin de propulsion","") &amp; IF(AND(L60&gt;L_rampe,pos_xz&lt;=L_rampe),"Sortie de rampe","")</f>
        <v/>
      </c>
      <c r="Z59" s="402" t="str">
        <f aca="false">IF(ABS(t-T_para)&lt;pas/2,"Para","")</f>
        <v/>
      </c>
      <c r="AA59" s="403" t="str">
        <f aca="false">IF(ABS(t-T_satellite)&lt;pas/2,"Satellite","")</f>
        <v/>
      </c>
      <c r="AC59" s="399" t="e">
        <f aca="false">IF(ABS(t-ROUND(t,0))&lt;0.001,t,NA())</f>
        <v>#N/A</v>
      </c>
      <c r="AD59" s="404" t="e">
        <f aca="false">IF(ABS(t-ROUND(t,0))&lt;0.001,pos_x,NA())</f>
        <v>#N/A</v>
      </c>
      <c r="AE59" s="405" t="n">
        <f aca="false">IF(t&lt;T_para, pos_z, NA())</f>
        <v>18.4826413156022</v>
      </c>
      <c r="AG59" s="396" t="n">
        <f aca="false">IF(AND(L58&lt;L_rampe,Poussee&lt;Poids*SIN(M58)),0,(-W58+Poussee)/m-Poids*SIN(M58)/m)</f>
        <v>133.386892411544</v>
      </c>
      <c r="AH59" s="397" t="n">
        <f aca="false">IF(AND(L58&lt;L_rampe,Poussee&lt;Poids*SIN(M58)), g*SIN(M58), (-W58+Poussee)/m)</f>
        <v>143.031278829389</v>
      </c>
    </row>
    <row r="60" customFormat="false" ht="12.75" hidden="false" customHeight="false" outlineLevel="0" collapsed="false">
      <c r="A60" s="396" t="n">
        <f aca="false">IF(B59+0.01&lt;=T_ini+ROUNDUP(Temps_fin_propu,0), 0.01, IF(K59&gt;0, 0.1, 0.0001))</f>
        <v>0.01</v>
      </c>
      <c r="B60" s="397" t="n">
        <f aca="false">B59+pas</f>
        <v>0.56</v>
      </c>
      <c r="D60" s="396" t="n">
        <f aca="false">IF(AND(L59&lt;L_rampe,Poussee&lt;Poids*SIN(M59)),0,(-W59+Poussee)/m*COS(M59)-U59/m*SIN(M59))</f>
        <v>26.1943171740994</v>
      </c>
      <c r="E60" s="398" t="n">
        <f aca="false">IF(AND(L59&lt;L_rampe,Poussee&lt;Poids*SIN(M59)),0,(-W59+Poussee)/m*SIN(M59)+U59/m*COS(M59)-Poids/m)</f>
        <v>130.733755846112</v>
      </c>
      <c r="F60" s="397" t="n">
        <f aca="false">SQRT(acc_x^2+acc_z^2)</f>
        <v>133.332131048176</v>
      </c>
      <c r="G60" s="396" t="n">
        <f aca="false">G59+acc_x*pas</f>
        <v>13.1982115378396</v>
      </c>
      <c r="H60" s="398" t="n">
        <f aca="false">H59+acc_z*pas</f>
        <v>70.7159703821664</v>
      </c>
      <c r="I60" s="397" t="n">
        <f aca="false">SQRT(vit_x^2+vit_z^2)</f>
        <v>71.9370645417854</v>
      </c>
      <c r="J60" s="396" t="n">
        <f aca="false">J59+0.5*(vit_x+G59)*pas*(K59&gt;=0)</f>
        <v>3.47803532811939</v>
      </c>
      <c r="K60" s="398" t="n">
        <f aca="false">K59+0.5*(vit_z+H59)*pas</f>
        <v>19.1832643316316</v>
      </c>
      <c r="L60" s="397" t="n">
        <f aca="false">SQRT(pos_x^2+pos_z^2)</f>
        <v>19.4960088264469</v>
      </c>
      <c r="M60" s="396" t="n">
        <f aca="false">IF(AND(L59&gt;L_rampe,G60&gt;0),ATAN2(G60,H60),$M$4)</f>
        <v>1.38628226619819</v>
      </c>
      <c r="N60" s="397" t="n">
        <f aca="false">DEGREES(Beta)</f>
        <v>79.4281230669876</v>
      </c>
      <c r="P60" s="399" t="n">
        <f aca="false">MATCH(t-pas/2-T_ini,CdP_t)</f>
        <v>7</v>
      </c>
      <c r="Q60" s="397" t="n">
        <f aca="false">(INDEX(CdP,2,i_P+1)-INDEX(CdP,2,i_P+0))/(INDEX(CdP,1,i_P+1)-INDEX(CdP,1,i_P+0))*(t-pas/2-T_ini-INDEX(CdP,1,i_P+0))+INDEX(CdP,2,i_P+0)</f>
        <v>1320.807375</v>
      </c>
      <c r="R60" s="396" t="n">
        <f aca="false">Poussee/(g*ISP)</f>
        <v>0.649086676224397</v>
      </c>
      <c r="S60" s="398" t="n">
        <f aca="false">S59-Débit*pas</f>
        <v>9.07831247779737</v>
      </c>
      <c r="T60" s="397" t="n">
        <f aca="false">m*g</f>
        <v>89.0582454071922</v>
      </c>
      <c r="U60" s="400" t="n">
        <f aca="false">IF(pos_xz&lt;L_rampe,Poids*COS(Beta),0)</f>
        <v>0</v>
      </c>
      <c r="V60" s="396" t="n">
        <f aca="false">Rho_moyen*(20000-Alt_rampe-pos_z)/(20000+Alt_rampe+pos_z)</f>
        <v>1.22265230194499</v>
      </c>
      <c r="W60" s="397" t="n">
        <f aca="false">1/2*Rho*Sref*Cx*vit_xz^2</f>
        <v>23.8087141466648</v>
      </c>
      <c r="Y60" s="401" t="str">
        <f aca="false">IF(AND(pos_z&lt;=0,K59&gt;0),"Impact balistique","") &amp; IF(AND(H61&lt;0,vit_z&gt;=0),"Apogée","") &amp; IF(AND(Poussee=0,Q59&gt;0),"Fin de propulsion","") &amp; IF(AND(L61&gt;L_rampe,pos_xz&lt;=L_rampe),"Sortie de rampe","")</f>
        <v/>
      </c>
      <c r="Z60" s="402" t="str">
        <f aca="false">IF(ABS(t-T_para)&lt;pas/2,"Para","")</f>
        <v/>
      </c>
      <c r="AA60" s="403" t="str">
        <f aca="false">IF(ABS(t-T_satellite)&lt;pas/2,"Satellite","")</f>
        <v/>
      </c>
      <c r="AC60" s="399" t="e">
        <f aca="false">IF(ABS(t-ROUND(t,0))&lt;0.001,t,NA())</f>
        <v>#N/A</v>
      </c>
      <c r="AD60" s="404" t="e">
        <f aca="false">IF(ABS(t-ROUND(t,0))&lt;0.001,pos_x,NA())</f>
        <v>#N/A</v>
      </c>
      <c r="AE60" s="405" t="n">
        <f aca="false">IF(t&lt;T_para, pos_z, NA())</f>
        <v>19.1832643316316</v>
      </c>
      <c r="AG60" s="396" t="n">
        <f aca="false">IF(AND(L59&lt;L_rampe,Poussee&lt;Poids*SIN(M59)),0,(-W59+Poussee)/m-Poids*SIN(M59)/m)</f>
        <v>133.320015193721</v>
      </c>
      <c r="AH60" s="397" t="n">
        <f aca="false">IF(AND(L59&lt;L_rampe,Poussee&lt;Poids*SIN(M59)), g*SIN(M59), (-W59+Poussee)/m)</f>
        <v>142.963944963577</v>
      </c>
    </row>
    <row r="61" customFormat="false" ht="12.75" hidden="false" customHeight="false" outlineLevel="0" collapsed="false">
      <c r="A61" s="396" t="n">
        <f aca="false">IF(B60+0.01&lt;=T_ini+ROUNDUP(Temps_fin_propu,0), 0.01, IF(K60&gt;0, 0.1, 0.0001))</f>
        <v>0.01</v>
      </c>
      <c r="B61" s="397" t="n">
        <f aca="false">B60+pas</f>
        <v>0.57</v>
      </c>
      <c r="D61" s="396" t="n">
        <f aca="false">IF(AND(L60&lt;L_rampe,Poussee&lt;Poids*SIN(M60)),0,(-W60+Poussee)/m*COS(M60)-U60/m*SIN(M60))</f>
        <v>26.2167324565189</v>
      </c>
      <c r="E61" s="398" t="n">
        <f aca="false">IF(AND(L60&lt;L_rampe,Poussee&lt;Poids*SIN(M60)),0,(-W60+Poussee)/m*SIN(M60)+U60/m*COS(M60)-Poids/m)</f>
        <v>130.659159067277</v>
      </c>
      <c r="F61" s="397" t="n">
        <f aca="false">SQRT(acc_x^2+acc_z^2)</f>
        <v>133.263396733179</v>
      </c>
      <c r="G61" s="396" t="n">
        <f aca="false">G60+acc_x*pas</f>
        <v>13.4603788624048</v>
      </c>
      <c r="H61" s="398" t="n">
        <f aca="false">H60+acc_z*pas</f>
        <v>72.0225619728392</v>
      </c>
      <c r="I61" s="397" t="n">
        <f aca="false">SQRT(vit_x^2+vit_z^2)</f>
        <v>73.269579173426</v>
      </c>
      <c r="J61" s="396" t="n">
        <f aca="false">J60+0.5*(vit_x+G60)*pas*(K60&gt;=0)</f>
        <v>3.61132828012061</v>
      </c>
      <c r="K61" s="398" t="n">
        <f aca="false">K60+0.5*(vit_z+H60)*pas</f>
        <v>19.8969569934066</v>
      </c>
      <c r="L61" s="397" t="n">
        <f aca="false">SQRT(pos_x^2+pos_z^2)</f>
        <v>20.2220322802697</v>
      </c>
      <c r="M61" s="396" t="n">
        <f aca="false">IF(AND(L60&gt;L_rampe,G61&gt;0),ATAN2(G61,H61),$M$4)</f>
        <v>1.38603662133467</v>
      </c>
      <c r="N61" s="397" t="n">
        <f aca="false">DEGREES(Beta)</f>
        <v>79.414048653049</v>
      </c>
      <c r="P61" s="399" t="n">
        <f aca="false">MATCH(t-pas/2-T_ini,CdP_t)</f>
        <v>7</v>
      </c>
      <c r="Q61" s="397" t="n">
        <f aca="false">(INDEX(CdP,2,i_P+1)-INDEX(CdP,2,i_P+0))/(INDEX(CdP,1,i_P+1)-INDEX(CdP,1,i_P+0))*(t-pas/2-T_ini-INDEX(CdP,1,i_P+0))+INDEX(CdP,2,i_P+0)</f>
        <v>1320.124625</v>
      </c>
      <c r="R61" s="396" t="n">
        <f aca="false">Poussee/(g*ISP)</f>
        <v>0.648751151198886</v>
      </c>
      <c r="S61" s="398" t="n">
        <f aca="false">S60-Débit*pas</f>
        <v>9.07182496628538</v>
      </c>
      <c r="T61" s="397" t="n">
        <f aca="false">m*g</f>
        <v>88.9946029192596</v>
      </c>
      <c r="U61" s="400" t="n">
        <f aca="false">IF(pos_xz&lt;L_rampe,Poids*COS(Beta),0)</f>
        <v>0</v>
      </c>
      <c r="V61" s="396" t="n">
        <f aca="false">Rho_moyen*(20000-Alt_rampe-pos_z)/(20000+Alt_rampe+pos_z)</f>
        <v>1.22256504517788</v>
      </c>
      <c r="W61" s="397" t="n">
        <f aca="false">1/2*Rho*Sref*Cx*vit_xz^2</f>
        <v>24.6971543350873</v>
      </c>
      <c r="Y61" s="401" t="str">
        <f aca="false">IF(AND(pos_z&lt;=0,K60&gt;0),"Impact balistique","") &amp; IF(AND(H62&lt;0,vit_z&gt;=0),"Apogée","") &amp; IF(AND(Poussee=0,Q60&gt;0),"Fin de propulsion","") &amp; IF(AND(L62&gt;L_rampe,pos_xz&lt;=L_rampe),"Sortie de rampe","")</f>
        <v/>
      </c>
      <c r="Z61" s="402" t="str">
        <f aca="false">IF(ABS(t-T_para)&lt;pas/2,"Para","")</f>
        <v/>
      </c>
      <c r="AA61" s="403" t="str">
        <f aca="false">IF(ABS(t-T_satellite)&lt;pas/2,"Satellite","")</f>
        <v/>
      </c>
      <c r="AC61" s="399" t="e">
        <f aca="false">IF(ABS(t-ROUND(t,0))&lt;0.001,t,NA())</f>
        <v>#N/A</v>
      </c>
      <c r="AD61" s="404" t="e">
        <f aca="false">IF(ABS(t-ROUND(t,0))&lt;0.001,pos_x,NA())</f>
        <v>#N/A</v>
      </c>
      <c r="AE61" s="405" t="n">
        <f aca="false">IF(t&lt;T_para, pos_z, NA())</f>
        <v>19.8969569934066</v>
      </c>
      <c r="AG61" s="396" t="n">
        <f aca="false">IF(AND(L60&lt;L_rampe,Poussee&lt;Poids*SIN(M60)),0,(-W60+Poussee)/m-Poids*SIN(M60)/m)</f>
        <v>133.25124210461</v>
      </c>
      <c r="AH61" s="397" t="n">
        <f aca="false">IF(AND(L60&lt;L_rampe,Poussee&lt;Poids*SIN(M60)), g*SIN(M60), (-W60+Poussee)/m)</f>
        <v>142.894722469952</v>
      </c>
    </row>
    <row r="62" customFormat="false" ht="12.75" hidden="false" customHeight="false" outlineLevel="0" collapsed="false">
      <c r="A62" s="396" t="n">
        <f aca="false">IF(B61+0.01&lt;=T_ini+ROUNDUP(Temps_fin_propu,0), 0.01, IF(K61&gt;0, 0.1, 0.0001))</f>
        <v>0.01</v>
      </c>
      <c r="B62" s="397" t="n">
        <f aca="false">B61+pas</f>
        <v>0.58</v>
      </c>
      <c r="D62" s="396" t="n">
        <f aca="false">IF(AND(L61&lt;L_rampe,Poussee&lt;Poids*SIN(M61)),0,(-W61+Poussee)/m*COS(M61)-U61/m*SIN(M61))</f>
        <v>26.2381735083169</v>
      </c>
      <c r="E62" s="398" t="n">
        <f aca="false">IF(AND(L61&lt;L_rampe,Poussee&lt;Poids*SIN(M61)),0,(-W61+Poussee)/m*SIN(M61)+U61/m*COS(M61)-Poids/m)</f>
        <v>130.582814858648</v>
      </c>
      <c r="F62" s="397" t="n">
        <f aca="false">SQRT(acc_x^2+acc_z^2)</f>
        <v>133.192767391704</v>
      </c>
      <c r="G62" s="396" t="n">
        <f aca="false">G61+acc_x*pas</f>
        <v>13.722760597488</v>
      </c>
      <c r="H62" s="398" t="n">
        <f aca="false">H61+acc_z*pas</f>
        <v>73.3283901214257</v>
      </c>
      <c r="I62" s="397" t="n">
        <f aca="false">SQRT(vit_x^2+vit_z^2)</f>
        <v>74.6013870931095</v>
      </c>
      <c r="J62" s="396" t="n">
        <f aca="false">J61+0.5*(vit_x+G61)*pas*(K61&gt;=0)</f>
        <v>3.74724397742008</v>
      </c>
      <c r="K62" s="398" t="n">
        <f aca="false">K61+0.5*(vit_z+H61)*pas</f>
        <v>20.6237117538779</v>
      </c>
      <c r="L62" s="397" t="n">
        <f aca="false">SQRT(pos_x^2+pos_z^2)</f>
        <v>20.9613769569977</v>
      </c>
      <c r="M62" s="396" t="n">
        <f aca="false">IF(AND(L61&gt;L_rampe,G62&gt;0),ATAN2(G62,H62),$M$4)</f>
        <v>1.38579504427232</v>
      </c>
      <c r="N62" s="397" t="n">
        <f aca="false">DEGREES(Beta)</f>
        <v>79.4002073069491</v>
      </c>
      <c r="P62" s="399" t="n">
        <f aca="false">MATCH(t-pas/2-T_ini,CdP_t)</f>
        <v>7</v>
      </c>
      <c r="Q62" s="397" t="n">
        <f aca="false">(INDEX(CdP,2,i_P+1)-INDEX(CdP,2,i_P+0))/(INDEX(CdP,1,i_P+1)-INDEX(CdP,1,i_P+0))*(t-pas/2-T_ini-INDEX(CdP,1,i_P+0))+INDEX(CdP,2,i_P+0)</f>
        <v>1319.441875</v>
      </c>
      <c r="R62" s="396" t="n">
        <f aca="false">Poussee/(g*ISP)</f>
        <v>0.648415626173375</v>
      </c>
      <c r="S62" s="398" t="n">
        <f aca="false">S61-Débit*pas</f>
        <v>9.06534081002364</v>
      </c>
      <c r="T62" s="397" t="n">
        <f aca="false">m*g</f>
        <v>88.930993346332</v>
      </c>
      <c r="U62" s="400" t="n">
        <f aca="false">IF(pos_xz&lt;L_rampe,Poids*COS(Beta),0)</f>
        <v>0</v>
      </c>
      <c r="V62" s="396" t="n">
        <f aca="false">Rho_moyen*(20000-Alt_rampe-pos_z)/(20000+Alt_rampe+pos_z)</f>
        <v>1.22247619781859</v>
      </c>
      <c r="W62" s="397" t="n">
        <f aca="false">1/2*Rho*Sref*Cx*vit_xz^2</f>
        <v>25.6012849758561</v>
      </c>
      <c r="Y62" s="401" t="str">
        <f aca="false">IF(AND(pos_z&lt;=0,K61&gt;0),"Impact balistique","") &amp; IF(AND(H63&lt;0,vit_z&gt;=0),"Apogée","") &amp; IF(AND(Poussee=0,Q61&gt;0),"Fin de propulsion","") &amp; IF(AND(L63&gt;L_rampe,pos_xz&lt;=L_rampe),"Sortie de rampe","")</f>
        <v/>
      </c>
      <c r="Z62" s="402" t="str">
        <f aca="false">IF(ABS(t-T_para)&lt;pas/2,"Para","")</f>
        <v/>
      </c>
      <c r="AA62" s="403" t="str">
        <f aca="false">IF(ABS(t-T_satellite)&lt;pas/2,"Satellite","")</f>
        <v/>
      </c>
      <c r="AC62" s="399" t="e">
        <f aca="false">IF(ABS(t-ROUND(t,0))&lt;0.001,t,NA())</f>
        <v>#N/A</v>
      </c>
      <c r="AD62" s="404" t="e">
        <f aca="false">IF(ABS(t-ROUND(t,0))&lt;0.001,pos_x,NA())</f>
        <v>#N/A</v>
      </c>
      <c r="AE62" s="405" t="n">
        <f aca="false">IF(t&lt;T_para, pos_z, NA())</f>
        <v>20.6237117538779</v>
      </c>
      <c r="AG62" s="396" t="n">
        <f aca="false">IF(AND(L61&lt;L_rampe,Poussee&lt;Poids*SIN(M61)),0,(-W61+Poussee)/m-Poids*SIN(M61)/m)</f>
        <v>133.180574283459</v>
      </c>
      <c r="AH62" s="397" t="n">
        <f aca="false">IF(AND(L61&lt;L_rampe,Poussee&lt;Poids*SIN(M61)), g*SIN(M61), (-W61+Poussee)/m)</f>
        <v>142.823612238968</v>
      </c>
    </row>
    <row r="63" customFormat="false" ht="12.75" hidden="false" customHeight="false" outlineLevel="0" collapsed="false">
      <c r="A63" s="396" t="n">
        <f aca="false">IF(B62+0.01&lt;=T_ini+ROUNDUP(Temps_fin_propu,0), 0.01, IF(K62&gt;0, 0.1, 0.0001))</f>
        <v>0.01</v>
      </c>
      <c r="B63" s="397" t="n">
        <f aca="false">B62+pas</f>
        <v>0.59</v>
      </c>
      <c r="D63" s="396" t="n">
        <f aca="false">IF(AND(L62&lt;L_rampe,Poussee&lt;Poids*SIN(M62)),0,(-W62+Poussee)/m*COS(M62)-U62/m*SIN(M62))</f>
        <v>26.2586607966157</v>
      </c>
      <c r="E63" s="398" t="n">
        <f aca="false">IF(AND(L62&lt;L_rampe,Poussee&lt;Poids*SIN(M62)),0,(-W62+Poussee)/m*SIN(M62)+U62/m*COS(M62)-Poids/m)</f>
        <v>130.504720881518</v>
      </c>
      <c r="F63" s="397" t="n">
        <f aca="false">SQRT(acc_x^2+acc_z^2)</f>
        <v>133.120244287617</v>
      </c>
      <c r="G63" s="396" t="n">
        <f aca="false">G62+acc_x*pas</f>
        <v>13.9853472054541</v>
      </c>
      <c r="H63" s="398" t="n">
        <f aca="false">H62+acc_z*pas</f>
        <v>74.6334373302409</v>
      </c>
      <c r="I63" s="397" t="n">
        <f aca="false">SQRT(vit_x^2+vit_z^2)</f>
        <v>75.9324693670902</v>
      </c>
      <c r="J63" s="396" t="n">
        <f aca="false">J62+0.5*(vit_x+G62)*pas*(K62&gt;=0)</f>
        <v>3.88578451643479</v>
      </c>
      <c r="K63" s="398" t="n">
        <f aca="false">K62+0.5*(vit_z+H62)*pas</f>
        <v>21.3635208911363</v>
      </c>
      <c r="L63" s="397" t="n">
        <f aca="false">SQRT(pos_x^2+pos_z^2)</f>
        <v>21.7140356952405</v>
      </c>
      <c r="M63" s="396" t="n">
        <f aca="false">IF(AND(L62&gt;L_rampe,G63&gt;0),ATAN2(G63,H63),$M$4)</f>
        <v>1.38555739522801</v>
      </c>
      <c r="N63" s="397" t="n">
        <f aca="false">DEGREES(Beta)</f>
        <v>79.3865910197046</v>
      </c>
      <c r="P63" s="399" t="n">
        <f aca="false">MATCH(t-pas/2-T_ini,CdP_t)</f>
        <v>7</v>
      </c>
      <c r="Q63" s="397" t="n">
        <f aca="false">(INDEX(CdP,2,i_P+1)-INDEX(CdP,2,i_P+0))/(INDEX(CdP,1,i_P+1)-INDEX(CdP,1,i_P+0))*(t-pas/2-T_ini-INDEX(CdP,1,i_P+0))+INDEX(CdP,2,i_P+0)</f>
        <v>1318.759125</v>
      </c>
      <c r="R63" s="396" t="n">
        <f aca="false">Poussee/(g*ISP)</f>
        <v>0.648080101147864</v>
      </c>
      <c r="S63" s="398" t="n">
        <f aca="false">S62-Débit*pas</f>
        <v>9.05886000901216</v>
      </c>
      <c r="T63" s="397" t="n">
        <f aca="false">m*g</f>
        <v>88.8674166884093</v>
      </c>
      <c r="U63" s="400" t="n">
        <f aca="false">IF(pos_xz&lt;L_rampe,Poids*COS(Beta),0)</f>
        <v>0</v>
      </c>
      <c r="V63" s="396" t="n">
        <f aca="false">Rho_moyen*(20000-Alt_rampe-pos_z)/(20000+Alt_rampe+pos_z)</f>
        <v>1.22238576115814</v>
      </c>
      <c r="W63" s="397" t="n">
        <f aca="false">1/2*Rho*Sref*Cx*vit_xz^2</f>
        <v>26.5210599028223</v>
      </c>
      <c r="Y63" s="401" t="str">
        <f aca="false">IF(AND(pos_z&lt;=0,K62&gt;0),"Impact balistique","") &amp; IF(AND(H64&lt;0,vit_z&gt;=0),"Apogée","") &amp; IF(AND(Poussee=0,Q62&gt;0),"Fin de propulsion","") &amp; IF(AND(L64&gt;L_rampe,pos_xz&lt;=L_rampe),"Sortie de rampe","")</f>
        <v/>
      </c>
      <c r="Z63" s="402" t="str">
        <f aca="false">IF(ABS(t-T_para)&lt;pas/2,"Para","")</f>
        <v/>
      </c>
      <c r="AA63" s="403" t="str">
        <f aca="false">IF(ABS(t-T_satellite)&lt;pas/2,"Satellite","")</f>
        <v/>
      </c>
      <c r="AC63" s="399" t="e">
        <f aca="false">IF(ABS(t-ROUND(t,0))&lt;0.001,t,NA())</f>
        <v>#N/A</v>
      </c>
      <c r="AD63" s="404" t="e">
        <f aca="false">IF(ABS(t-ROUND(t,0))&lt;0.001,pos_x,NA())</f>
        <v>#N/A</v>
      </c>
      <c r="AE63" s="405" t="n">
        <f aca="false">IF(t&lt;T_para, pos_z, NA())</f>
        <v>21.3635208911363</v>
      </c>
      <c r="AG63" s="396" t="n">
        <f aca="false">IF(AND(L62&lt;L_rampe,Poussee&lt;Poids*SIN(M62)),0,(-W62+Poussee)/m-Poids*SIN(M62)/m)</f>
        <v>133.108012975908</v>
      </c>
      <c r="AH63" s="397" t="n">
        <f aca="false">IF(AND(L62&lt;L_rampe,Poussee&lt;Poids*SIN(M62)), g*SIN(M62), (-W62+Poussee)/m)</f>
        <v>142.750615280251</v>
      </c>
    </row>
    <row r="64" customFormat="false" ht="12.75" hidden="false" customHeight="false" outlineLevel="0" collapsed="false">
      <c r="A64" s="396" t="n">
        <f aca="false">IF(B63+0.01&lt;=T_ini+ROUNDUP(Temps_fin_propu,0), 0.01, IF(K63&gt;0, 0.1, 0.0001))</f>
        <v>0.01</v>
      </c>
      <c r="B64" s="397" t="n">
        <f aca="false">B63+pas</f>
        <v>0.6</v>
      </c>
      <c r="D64" s="396" t="n">
        <f aca="false">IF(AND(L63&lt;L_rampe,Poussee&lt;Poids*SIN(M63)),0,(-W63+Poussee)/m*COS(M63)-U63/m*SIN(M63))</f>
        <v>26.2782137411041</v>
      </c>
      <c r="E64" s="398" t="n">
        <f aca="false">IF(AND(L63&lt;L_rampe,Poussee&lt;Poids*SIN(M63)),0,(-W63+Poussee)/m*SIN(M63)+U63/m*COS(M63)-Poids/m)</f>
        <v>130.424875086441</v>
      </c>
      <c r="F64" s="397" t="n">
        <f aca="false">SQRT(acc_x^2+acc_z^2)</f>
        <v>133.045828791198</v>
      </c>
      <c r="G64" s="396" t="n">
        <f aca="false">G63+acc_x*pas</f>
        <v>14.2481293428652</v>
      </c>
      <c r="H64" s="398" t="n">
        <f aca="false">H63+acc_z*pas</f>
        <v>75.9376860811053</v>
      </c>
      <c r="I64" s="397" t="n">
        <f aca="false">SQRT(vit_x^2+vit_z^2)</f>
        <v>77.262807075096</v>
      </c>
      <c r="J64" s="396" t="n">
        <f aca="false">J63+0.5*(vit_x+G63)*pas*(K63&gt;=0)</f>
        <v>4.02695189917639</v>
      </c>
      <c r="K64" s="398" t="n">
        <f aca="false">K63+0.5*(vit_z+H63)*pas</f>
        <v>22.116376508193</v>
      </c>
      <c r="L64" s="397" t="n">
        <f aca="false">SQRT(pos_x^2+pos_z^2)</f>
        <v>22.4800011443601</v>
      </c>
      <c r="M64" s="396" t="n">
        <f aca="false">IF(AND(L63&gt;L_rampe,G64&gt;0),ATAN2(G64,H64),$M$4)</f>
        <v>1.38532354152143</v>
      </c>
      <c r="N64" s="397" t="n">
        <f aca="false">DEGREES(Beta)</f>
        <v>79.3731921892945</v>
      </c>
      <c r="P64" s="399" t="n">
        <f aca="false">MATCH(t-pas/2-T_ini,CdP_t)</f>
        <v>7</v>
      </c>
      <c r="Q64" s="397" t="n">
        <f aca="false">(INDEX(CdP,2,i_P+1)-INDEX(CdP,2,i_P+0))/(INDEX(CdP,1,i_P+1)-INDEX(CdP,1,i_P+0))*(t-pas/2-T_ini-INDEX(CdP,1,i_P+0))+INDEX(CdP,2,i_P+0)</f>
        <v>1318.076375</v>
      </c>
      <c r="R64" s="396" t="n">
        <f aca="false">Poussee/(g*ISP)</f>
        <v>0.647744576122352</v>
      </c>
      <c r="S64" s="398" t="n">
        <f aca="false">S63-Débit*pas</f>
        <v>9.05238256325094</v>
      </c>
      <c r="T64" s="397" t="n">
        <f aca="false">m*g</f>
        <v>88.8038729454917</v>
      </c>
      <c r="U64" s="400" t="n">
        <f aca="false">IF(pos_xz&lt;L_rampe,Poids*COS(Beta),0)</f>
        <v>0</v>
      </c>
      <c r="V64" s="396" t="n">
        <f aca="false">Rho_moyen*(20000-Alt_rampe-pos_z)/(20000+Alt_rampe+pos_z)</f>
        <v>1.22229373651485</v>
      </c>
      <c r="W64" s="397" t="n">
        <f aca="false">1/2*Rho*Sref*Cx*vit_xz^2</f>
        <v>27.4564319390001</v>
      </c>
      <c r="Y64" s="401" t="str">
        <f aca="false">IF(AND(pos_z&lt;=0,K63&gt;0),"Impact balistique","") &amp; IF(AND(H65&lt;0,vit_z&gt;=0),"Apogée","") &amp; IF(AND(Poussee=0,Q63&gt;0),"Fin de propulsion","") &amp; IF(AND(L65&gt;L_rampe,pos_xz&lt;=L_rampe),"Sortie de rampe","")</f>
        <v/>
      </c>
      <c r="Z64" s="402" t="str">
        <f aca="false">IF(ABS(t-T_para)&lt;pas/2,"Para","")</f>
        <v/>
      </c>
      <c r="AA64" s="403" t="str">
        <f aca="false">IF(ABS(t-T_satellite)&lt;pas/2,"Satellite","")</f>
        <v/>
      </c>
      <c r="AC64" s="399" t="e">
        <f aca="false">IF(ABS(t-ROUND(t,0))&lt;0.001,t,NA())</f>
        <v>#N/A</v>
      </c>
      <c r="AD64" s="404" t="e">
        <f aca="false">IF(ABS(t-ROUND(t,0))&lt;0.001,pos_x,NA())</f>
        <v>#N/A</v>
      </c>
      <c r="AE64" s="405" t="n">
        <f aca="false">IF(t&lt;T_para, pos_z, NA())</f>
        <v>22.116376508193</v>
      </c>
      <c r="AG64" s="396" t="n">
        <f aca="false">IF(AND(L63&lt;L_rampe,Poussee&lt;Poids*SIN(M63)),0,(-W63+Poussee)/m-Poids*SIN(M63)/m)</f>
        <v>133.033559534875</v>
      </c>
      <c r="AH64" s="397" t="n">
        <f aca="false">IF(AND(L63&lt;L_rampe,Poussee&lt;Poids*SIN(M63)), g*SIN(M63), (-W63+Poussee)/m)</f>
        <v>142.675732722607</v>
      </c>
    </row>
    <row r="65" customFormat="false" ht="12.75" hidden="false" customHeight="false" outlineLevel="0" collapsed="false">
      <c r="A65" s="396" t="n">
        <f aca="false">IF(B64+0.01&lt;=T_ini+ROUNDUP(Temps_fin_propu,0), 0.01, IF(K64&gt;0, 0.1, 0.0001))</f>
        <v>0.01</v>
      </c>
      <c r="B65" s="397" t="n">
        <f aca="false">B64+pas</f>
        <v>0.61</v>
      </c>
      <c r="D65" s="396" t="n">
        <f aca="false">IF(AND(L64&lt;L_rampe,Poussee&lt;Poids*SIN(M64)),0,(-W64+Poussee)/m*COS(M64)-U64/m*SIN(M64))</f>
        <v>26.296850787497</v>
      </c>
      <c r="E65" s="398" t="n">
        <f aca="false">IF(AND(L64&lt;L_rampe,Poussee&lt;Poids*SIN(M64)),0,(-W64+Poussee)/m*SIN(M64)+U64/m*COS(M64)-Poids/m)</f>
        <v>130.343275701598</v>
      </c>
      <c r="F65" s="397" t="n">
        <f aca="false">SQRT(acc_x^2+acc_z^2)</f>
        <v>132.96952237999</v>
      </c>
      <c r="G65" s="396" t="n">
        <f aca="false">G64+acc_x*pas</f>
        <v>14.5110978507402</v>
      </c>
      <c r="H65" s="398" t="n">
        <f aca="false">H64+acc_z*pas</f>
        <v>77.2411188381213</v>
      </c>
      <c r="I65" s="397" t="n">
        <f aca="false">SQRT(vit_x^2+vit_z^2)</f>
        <v>78.5923813114129</v>
      </c>
      <c r="J65" s="396" t="n">
        <f aca="false">J64+0.5*(vit_x+G64)*pas*(K64&gt;=0)</f>
        <v>4.17074803514441</v>
      </c>
      <c r="K65" s="398" t="n">
        <f aca="false">K64+0.5*(vit_z+H64)*pas</f>
        <v>22.8822705327891</v>
      </c>
      <c r="L65" s="397" t="n">
        <f aca="false">SQRT(pos_x^2+pos_z^2)</f>
        <v>23.2592657646025</v>
      </c>
      <c r="M65" s="396" t="n">
        <f aca="false">IF(AND(L64&gt;L_rampe,G65&gt;0),ATAN2(G65,H65),$M$4)</f>
        <v>1.38509335709906</v>
      </c>
      <c r="N65" s="397" t="n">
        <f aca="false">DEGREES(Beta)</f>
        <v>79.3600035933829</v>
      </c>
      <c r="P65" s="399" t="n">
        <f aca="false">MATCH(t-pas/2-T_ini,CdP_t)</f>
        <v>7</v>
      </c>
      <c r="Q65" s="397" t="n">
        <f aca="false">(INDEX(CdP,2,i_P+1)-INDEX(CdP,2,i_P+0))/(INDEX(CdP,1,i_P+1)-INDEX(CdP,1,i_P+0))*(t-pas/2-T_ini-INDEX(CdP,1,i_P+0))+INDEX(CdP,2,i_P+0)</f>
        <v>1317.393625</v>
      </c>
      <c r="R65" s="396" t="n">
        <f aca="false">Poussee/(g*ISP)</f>
        <v>0.647409051096841</v>
      </c>
      <c r="S65" s="398" t="n">
        <f aca="false">S64-Débit*pas</f>
        <v>9.04590847273997</v>
      </c>
      <c r="T65" s="397" t="n">
        <f aca="false">m*g</f>
        <v>88.7403621175791</v>
      </c>
      <c r="U65" s="400" t="n">
        <f aca="false">IF(pos_xz&lt;L_rampe,Poids*COS(Beta),0)</f>
        <v>0</v>
      </c>
      <c r="V65" s="396" t="n">
        <f aca="false">Rho_moyen*(20000-Alt_rampe-pos_z)/(20000+Alt_rampe+pos_z)</f>
        <v>1.22220012523433</v>
      </c>
      <c r="W65" s="397" t="n">
        <f aca="false">1/2*Rho*Sref*Cx*vit_xz^2</f>
        <v>28.4073529005834</v>
      </c>
      <c r="Y65" s="401" t="str">
        <f aca="false">IF(AND(pos_z&lt;=0,K64&gt;0),"Impact balistique","") &amp; IF(AND(H66&lt;0,vit_z&gt;=0),"Apogée","") &amp; IF(AND(Poussee=0,Q64&gt;0),"Fin de propulsion","") &amp; IF(AND(L66&gt;L_rampe,pos_xz&lt;=L_rampe),"Sortie de rampe","")</f>
        <v/>
      </c>
      <c r="Z65" s="402" t="str">
        <f aca="false">IF(ABS(t-T_para)&lt;pas/2,"Para","")</f>
        <v/>
      </c>
      <c r="AA65" s="403" t="str">
        <f aca="false">IF(ABS(t-T_satellite)&lt;pas/2,"Satellite","")</f>
        <v/>
      </c>
      <c r="AC65" s="399" t="e">
        <f aca="false">IF(ABS(t-ROUND(t,0))&lt;0.001,t,NA())</f>
        <v>#N/A</v>
      </c>
      <c r="AD65" s="404" t="e">
        <f aca="false">IF(ABS(t-ROUND(t,0))&lt;0.001,pos_x,NA())</f>
        <v>#N/A</v>
      </c>
      <c r="AE65" s="405" t="n">
        <f aca="false">IF(t&lt;T_para, pos_z, NA())</f>
        <v>22.8822705327891</v>
      </c>
      <c r="AG65" s="396" t="n">
        <f aca="false">IF(AND(L64&lt;L_rampe,Poussee&lt;Poids*SIN(M64)),0,(-W64+Poussee)/m-Poids*SIN(M64)/m)</f>
        <v>132.957215421343</v>
      </c>
      <c r="AH65" s="397" t="n">
        <f aca="false">IF(AND(L64&lt;L_rampe,Poussee&lt;Poids*SIN(M64)), g*SIN(M64), (-W64+Poussee)/m)</f>
        <v>142.59896581402</v>
      </c>
    </row>
    <row r="66" customFormat="false" ht="12.75" hidden="false" customHeight="false" outlineLevel="0" collapsed="false">
      <c r="A66" s="396" t="n">
        <f aca="false">IF(B65+0.01&lt;=T_ini+ROUNDUP(Temps_fin_propu,0), 0.01, IF(K65&gt;0, 0.1, 0.0001))</f>
        <v>0.01</v>
      </c>
      <c r="B66" s="397" t="n">
        <f aca="false">B65+pas</f>
        <v>0.62</v>
      </c>
      <c r="D66" s="396" t="n">
        <f aca="false">IF(AND(L65&lt;L_rampe,Poussee&lt;Poids*SIN(M65)),0,(-W65+Poussee)/m*COS(M65)-U65/m*SIN(M65))</f>
        <v>26.3145894748044</v>
      </c>
      <c r="E66" s="398" t="n">
        <f aca="false">IF(AND(L65&lt;L_rampe,Poussee&lt;Poids*SIN(M65)),0,(-W65+Poussee)/m*SIN(M65)+U65/m*COS(M65)-Poids/m)</f>
        <v>130.259921222127</v>
      </c>
      <c r="F66" s="397" t="n">
        <f aca="false">SQRT(acc_x^2+acc_z^2)</f>
        <v>132.89132663956</v>
      </c>
      <c r="G66" s="396" t="n">
        <f aca="false">G65+acc_x*pas</f>
        <v>14.7742437454882</v>
      </c>
      <c r="H66" s="398" t="n">
        <f aca="false">H65+acc_z*pas</f>
        <v>78.5437180503425</v>
      </c>
      <c r="I66" s="397" t="n">
        <f aca="false">SQRT(vit_x^2+vit_z^2)</f>
        <v>79.9211731859762</v>
      </c>
      <c r="J66" s="396" t="n">
        <f aca="false">J65+0.5*(vit_x+G65)*pas*(K65&gt;=0)</f>
        <v>4.31717474312555</v>
      </c>
      <c r="K66" s="398" t="n">
        <f aca="false">K65+0.5*(vit_z+H65)*pas</f>
        <v>23.6611947172314</v>
      </c>
      <c r="L66" s="397" t="n">
        <f aca="false">SQRT(pos_x^2+pos_z^2)</f>
        <v>24.0518218272426</v>
      </c>
      <c r="M66" s="396" t="n">
        <f aca="false">IF(AND(L65&gt;L_rampe,G66&gt;0),ATAN2(G66,H66),$M$4)</f>
        <v>1.3848667220974</v>
      </c>
      <c r="N66" s="397" t="n">
        <f aca="false">DEGREES(Beta)</f>
        <v>79.3470183642974</v>
      </c>
      <c r="P66" s="399" t="n">
        <f aca="false">MATCH(t-pas/2-T_ini,CdP_t)</f>
        <v>7</v>
      </c>
      <c r="Q66" s="397" t="n">
        <f aca="false">(INDEX(CdP,2,i_P+1)-INDEX(CdP,2,i_P+0))/(INDEX(CdP,1,i_P+1)-INDEX(CdP,1,i_P+0))*(t-pas/2-T_ini-INDEX(CdP,1,i_P+0))+INDEX(CdP,2,i_P+0)</f>
        <v>1316.710875</v>
      </c>
      <c r="R66" s="396" t="n">
        <f aca="false">Poussee/(g*ISP)</f>
        <v>0.64707352607133</v>
      </c>
      <c r="S66" s="398" t="n">
        <f aca="false">S65-Débit*pas</f>
        <v>9.03943773747926</v>
      </c>
      <c r="T66" s="397" t="n">
        <f aca="false">m*g</f>
        <v>88.6768842046715</v>
      </c>
      <c r="U66" s="400" t="n">
        <f aca="false">IF(pos_xz&lt;L_rampe,Poids*COS(Beta),0)</f>
        <v>0</v>
      </c>
      <c r="V66" s="396" t="n">
        <f aca="false">Rho_moyen*(20000-Alt_rampe-pos_z)/(20000+Alt_rampe+pos_z)</f>
        <v>1.22210492868944</v>
      </c>
      <c r="W66" s="397" t="n">
        <f aca="false">1/2*Rho*Sref*Cx*vit_xz^2</f>
        <v>29.373773601099</v>
      </c>
      <c r="Y66" s="401" t="str">
        <f aca="false">IF(AND(pos_z&lt;=0,K65&gt;0),"Impact balistique","") &amp; IF(AND(H67&lt;0,vit_z&gt;=0),"Apogée","") &amp; IF(AND(Poussee=0,Q65&gt;0),"Fin de propulsion","") &amp; IF(AND(L67&gt;L_rampe,pos_xz&lt;=L_rampe),"Sortie de rampe","")</f>
        <v/>
      </c>
      <c r="Z66" s="402" t="str">
        <f aca="false">IF(ABS(t-T_para)&lt;pas/2,"Para","")</f>
        <v/>
      </c>
      <c r="AA66" s="403" t="str">
        <f aca="false">IF(ABS(t-T_satellite)&lt;pas/2,"Satellite","")</f>
        <v/>
      </c>
      <c r="AC66" s="399" t="e">
        <f aca="false">IF(ABS(t-ROUND(t,0))&lt;0.001,t,NA())</f>
        <v>#N/A</v>
      </c>
      <c r="AD66" s="404" t="e">
        <f aca="false">IF(ABS(t-ROUND(t,0))&lt;0.001,pos_x,NA())</f>
        <v>#N/A</v>
      </c>
      <c r="AE66" s="405" t="n">
        <f aca="false">IF(t&lt;T_para, pos_z, NA())</f>
        <v>23.6611947172314</v>
      </c>
      <c r="AG66" s="396" t="n">
        <f aca="false">IF(AND(L65&lt;L_rampe,Poussee&lt;Poids*SIN(M65)),0,(-W65+Poussee)/m-Poids*SIN(M65)/m)</f>
        <v>132.878982205073</v>
      </c>
      <c r="AH66" s="397" t="n">
        <f aca="false">IF(AND(L65&lt;L_rampe,Poussee&lt;Poids*SIN(M65)), g*SIN(M65), (-W65+Poussee)/m)</f>
        <v>142.520315921627</v>
      </c>
    </row>
    <row r="67" customFormat="false" ht="12.75" hidden="false" customHeight="false" outlineLevel="0" collapsed="false">
      <c r="A67" s="396" t="n">
        <f aca="false">IF(B66+0.01&lt;=T_ini+ROUNDUP(Temps_fin_propu,0), 0.01, IF(K66&gt;0, 0.1, 0.0001))</f>
        <v>0.01</v>
      </c>
      <c r="B67" s="397" t="n">
        <f aca="false">B66+pas</f>
        <v>0.63</v>
      </c>
      <c r="D67" s="396" t="n">
        <f aca="false">IF(AND(L66&lt;L_rampe,Poussee&lt;Poids*SIN(M66)),0,(-W66+Poussee)/m*COS(M66)-U66/m*SIN(M66))</f>
        <v>26.3314464970231</v>
      </c>
      <c r="E67" s="398" t="n">
        <f aca="false">IF(AND(L66&lt;L_rampe,Poussee&lt;Poids*SIN(M66)),0,(-W66+Poussee)/m*SIN(M66)+U66/m*COS(M66)-Poids/m)</f>
        <v>130.174810400292</v>
      </c>
      <c r="F67" s="397" t="n">
        <f aca="false">SQRT(acc_x^2+acc_z^2)</f>
        <v>132.811243264181</v>
      </c>
      <c r="G67" s="396" t="n">
        <f aca="false">G66+acc_x*pas</f>
        <v>15.0375582104584</v>
      </c>
      <c r="H67" s="398" t="n">
        <f aca="false">H66+acc_z*pas</f>
        <v>79.8454661543454</v>
      </c>
      <c r="I67" s="397" t="n">
        <f aca="false">SQRT(vit_x^2+vit_z^2)</f>
        <v>81.2491638254675</v>
      </c>
      <c r="J67" s="396" t="n">
        <f aca="false">J66+0.5*(vit_x+G66)*pas*(K66&gt;=0)</f>
        <v>4.46623375290529</v>
      </c>
      <c r="K67" s="398" t="n">
        <f aca="false">K66+0.5*(vit_z+H66)*pas</f>
        <v>24.4531406382549</v>
      </c>
      <c r="L67" s="397" t="n">
        <f aca="false">SQRT(pos_x^2+pos_z^2)</f>
        <v>24.8576614147402</v>
      </c>
      <c r="M67" s="396" t="n">
        <f aca="false">IF(AND(L66&gt;L_rampe,G67&gt;0),ATAN2(G67,H67),$M$4)</f>
        <v>1.38464352244178</v>
      </c>
      <c r="N67" s="397" t="n">
        <f aca="false">DEGREES(Beta)</f>
        <v>79.3342299660416</v>
      </c>
      <c r="P67" s="399" t="n">
        <f aca="false">MATCH(t-pas/2-T_ini,CdP_t)</f>
        <v>7</v>
      </c>
      <c r="Q67" s="397" t="n">
        <f aca="false">(INDEX(CdP,2,i_P+1)-INDEX(CdP,2,i_P+0))/(INDEX(CdP,1,i_P+1)-INDEX(CdP,1,i_P+0))*(t-pas/2-T_ini-INDEX(CdP,1,i_P+0))+INDEX(CdP,2,i_P+0)</f>
        <v>1316.028125</v>
      </c>
      <c r="R67" s="396" t="n">
        <f aca="false">Poussee/(g*ISP)</f>
        <v>0.646738001045819</v>
      </c>
      <c r="S67" s="398" t="n">
        <f aca="false">S66-Débit*pas</f>
        <v>9.0329703574688</v>
      </c>
      <c r="T67" s="397" t="n">
        <f aca="false">m*g</f>
        <v>88.6134392067689</v>
      </c>
      <c r="U67" s="400" t="n">
        <f aca="false">IF(pos_xz&lt;L_rampe,Poids*COS(Beta),0)</f>
        <v>0</v>
      </c>
      <c r="V67" s="396" t="n">
        <f aca="false">Rho_moyen*(20000-Alt_rampe-pos_z)/(20000+Alt_rampe+pos_z)</f>
        <v>1.22200814828036</v>
      </c>
      <c r="W67" s="397" t="n">
        <f aca="false">1/2*Rho*Sref*Cx*vit_xz^2</f>
        <v>30.3556438556961</v>
      </c>
      <c r="Y67" s="401" t="str">
        <f aca="false">IF(AND(pos_z&lt;=0,K66&gt;0),"Impact balistique","") &amp; IF(AND(H68&lt;0,vit_z&gt;=0),"Apogée","") &amp; IF(AND(Poussee=0,Q66&gt;0),"Fin de propulsion","") &amp; IF(AND(L68&gt;L_rampe,pos_xz&lt;=L_rampe),"Sortie de rampe","")</f>
        <v/>
      </c>
      <c r="Z67" s="402" t="str">
        <f aca="false">IF(ABS(t-T_para)&lt;pas/2,"Para","")</f>
        <v/>
      </c>
      <c r="AA67" s="403" t="str">
        <f aca="false">IF(ABS(t-T_satellite)&lt;pas/2,"Satellite","")</f>
        <v/>
      </c>
      <c r="AC67" s="399" t="e">
        <f aca="false">IF(ABS(t-ROUND(t,0))&lt;0.001,t,NA())</f>
        <v>#N/A</v>
      </c>
      <c r="AD67" s="404" t="e">
        <f aca="false">IF(ABS(t-ROUND(t,0))&lt;0.001,pos_x,NA())</f>
        <v>#N/A</v>
      </c>
      <c r="AE67" s="405" t="n">
        <f aca="false">IF(t&lt;T_para, pos_z, NA())</f>
        <v>24.4531406382549</v>
      </c>
      <c r="AG67" s="396" t="n">
        <f aca="false">IF(AND(L66&lt;L_rampe,Poussee&lt;Poids*SIN(M66)),0,(-W66+Poussee)/m-Poids*SIN(M66)/m)</f>
        <v>132.798861565235</v>
      </c>
      <c r="AH67" s="397" t="n">
        <f aca="false">IF(AND(L66&lt;L_rampe,Poussee&lt;Poids*SIN(M66)), g*SIN(M66), (-W66+Poussee)/m)</f>
        <v>142.439784531679</v>
      </c>
    </row>
    <row r="68" customFormat="false" ht="12.75" hidden="false" customHeight="false" outlineLevel="0" collapsed="false">
      <c r="A68" s="396" t="n">
        <f aca="false">IF(B67+0.01&lt;=T_ini+ROUNDUP(Temps_fin_propu,0), 0.01, IF(K67&gt;0, 0.1, 0.0001))</f>
        <v>0.01</v>
      </c>
      <c r="B68" s="397" t="n">
        <f aca="false">B67+pas</f>
        <v>0.64</v>
      </c>
      <c r="D68" s="396" t="n">
        <f aca="false">IF(AND(L67&lt;L_rampe,Poussee&lt;Poids*SIN(M67)),0,(-W67+Poussee)/m*COS(M67)-U67/m*SIN(M67))</f>
        <v>26.3474377597988</v>
      </c>
      <c r="E68" s="398" t="n">
        <f aca="false">IF(AND(L67&lt;L_rampe,Poussee&lt;Poids*SIN(M67)),0,(-W67+Poussee)/m*SIN(M67)+U67/m*COS(M67)-Poids/m)</f>
        <v>130.087942236435</v>
      </c>
      <c r="F68" s="397" t="n">
        <f aca="false">SQRT(acc_x^2+acc_z^2)</f>
        <v>132.729274057445</v>
      </c>
      <c r="G68" s="396" t="n">
        <f aca="false">G67+acc_x*pas</f>
        <v>15.3010325880564</v>
      </c>
      <c r="H68" s="398" t="n">
        <f aca="false">H67+acc_z*pas</f>
        <v>81.1463455767098</v>
      </c>
      <c r="I68" s="397" t="n">
        <f aca="false">SQRT(vit_x^2+vit_z^2)</f>
        <v>82.5763343744173</v>
      </c>
      <c r="J68" s="396" t="n">
        <f aca="false">J67+0.5*(vit_x+G67)*pas*(K67&gt;=0)</f>
        <v>4.61792670689786</v>
      </c>
      <c r="K68" s="398" t="n">
        <f aca="false">K67+0.5*(vit_z+H67)*pas</f>
        <v>25.2580996969102</v>
      </c>
      <c r="L68" s="397" t="n">
        <f aca="false">SQRT(pos_x^2+pos_z^2)</f>
        <v>25.6767764209087</v>
      </c>
      <c r="M68" s="396" t="n">
        <f aca="false">IF(AND(L67&gt;L_rampe,G68&gt;0),ATAN2(G68,H68),$M$4)</f>
        <v>1.38442364947728</v>
      </c>
      <c r="N68" s="397" t="n">
        <f aca="false">DEGREES(Beta)</f>
        <v>79.3216321731471</v>
      </c>
      <c r="P68" s="399" t="n">
        <f aca="false">MATCH(t-pas/2-T_ini,CdP_t)</f>
        <v>7</v>
      </c>
      <c r="Q68" s="397" t="n">
        <f aca="false">(INDEX(CdP,2,i_P+1)-INDEX(CdP,2,i_P+0))/(INDEX(CdP,1,i_P+1)-INDEX(CdP,1,i_P+0))*(t-pas/2-T_ini-INDEX(CdP,1,i_P+0))+INDEX(CdP,2,i_P+0)</f>
        <v>1315.345375</v>
      </c>
      <c r="R68" s="396" t="n">
        <f aca="false">Poussee/(g*ISP)</f>
        <v>0.646402476020308</v>
      </c>
      <c r="S68" s="398" t="n">
        <f aca="false">S67-Débit*pas</f>
        <v>9.0265063327086</v>
      </c>
      <c r="T68" s="397" t="n">
        <f aca="false">m*g</f>
        <v>88.5500271238714</v>
      </c>
      <c r="U68" s="400" t="n">
        <f aca="false">IF(pos_xz&lt;L_rampe,Poids*COS(Beta),0)</f>
        <v>0</v>
      </c>
      <c r="V68" s="396" t="n">
        <f aca="false">Rho_moyen*(20000-Alt_rampe-pos_z)/(20000+Alt_rampe+pos_z)</f>
        <v>1.22190978543451</v>
      </c>
      <c r="W68" s="397" t="n">
        <f aca="false">1/2*Rho*Sref*Cx*vit_xz^2</f>
        <v>31.3529124855708</v>
      </c>
      <c r="Y68" s="401" t="str">
        <f aca="false">IF(AND(pos_z&lt;=0,K67&gt;0),"Impact balistique","") &amp; IF(AND(H69&lt;0,vit_z&gt;=0),"Apogée","") &amp; IF(AND(Poussee=0,Q67&gt;0),"Fin de propulsion","") &amp; IF(AND(L69&gt;L_rampe,pos_xz&lt;=L_rampe),"Sortie de rampe","")</f>
        <v/>
      </c>
      <c r="Z68" s="402" t="str">
        <f aca="false">IF(ABS(t-T_para)&lt;pas/2,"Para","")</f>
        <v/>
      </c>
      <c r="AA68" s="403" t="str">
        <f aca="false">IF(ABS(t-T_satellite)&lt;pas/2,"Satellite","")</f>
        <v/>
      </c>
      <c r="AC68" s="399" t="e">
        <f aca="false">IF(ABS(t-ROUND(t,0))&lt;0.001,t,NA())</f>
        <v>#N/A</v>
      </c>
      <c r="AD68" s="404" t="e">
        <f aca="false">IF(ABS(t-ROUND(t,0))&lt;0.001,pos_x,NA())</f>
        <v>#N/A</v>
      </c>
      <c r="AE68" s="405" t="n">
        <f aca="false">IF(t&lt;T_para, pos_z, NA())</f>
        <v>25.2580996969102</v>
      </c>
      <c r="AG68" s="396" t="n">
        <f aca="false">IF(AND(L67&lt;L_rampe,Poussee&lt;Poids*SIN(M67)),0,(-W67+Poussee)/m-Poids*SIN(M67)/m)</f>
        <v>132.716855290973</v>
      </c>
      <c r="AH68" s="397" t="n">
        <f aca="false">IF(AND(L67&lt;L_rampe,Poussee&lt;Poids*SIN(M67)), g*SIN(M67), (-W67+Poussee)/m)</f>
        <v>142.357373249492</v>
      </c>
    </row>
    <row r="69" customFormat="false" ht="12.75" hidden="false" customHeight="false" outlineLevel="0" collapsed="false">
      <c r="A69" s="396" t="n">
        <f aca="false">IF(B68+0.01&lt;=T_ini+ROUNDUP(Temps_fin_propu,0), 0.01, IF(K68&gt;0, 0.1, 0.0001))</f>
        <v>0.01</v>
      </c>
      <c r="B69" s="397" t="n">
        <f aca="false">B68+pas</f>
        <v>0.65</v>
      </c>
      <c r="D69" s="396" t="n">
        <f aca="false">IF(AND(L68&lt;L_rampe,Poussee&lt;Poids*SIN(M68)),0,(-W68+Poussee)/m*COS(M68)-U68/m*SIN(M68))</f>
        <v>26.3625784325431</v>
      </c>
      <c r="E69" s="398" t="n">
        <f aca="false">IF(AND(L68&lt;L_rampe,Poussee&lt;Poids*SIN(M68)),0,(-W68+Poussee)/m*SIN(M68)+U68/m*COS(M68)-Poids/m)</f>
        <v>129.999315970615</v>
      </c>
      <c r="F69" s="397" t="n">
        <f aca="false">SQRT(acc_x^2+acc_z^2)</f>
        <v>132.645420932801</v>
      </c>
      <c r="G69" s="396" t="n">
        <f aca="false">G68+acc_x*pas</f>
        <v>15.5646583723819</v>
      </c>
      <c r="H69" s="398" t="n">
        <f aca="false">H68+acc_z*pas</f>
        <v>82.4463387364159</v>
      </c>
      <c r="I69" s="397" t="n">
        <f aca="false">SQRT(vit_x^2+vit_z^2)</f>
        <v>83.9026659963126</v>
      </c>
      <c r="J69" s="396" t="n">
        <f aca="false">J68+0.5*(vit_x+G68)*pas*(K68&gt;=0)</f>
        <v>4.77225516170005</v>
      </c>
      <c r="K69" s="398" t="n">
        <f aca="false">K68+0.5*(vit_z+H68)*pas</f>
        <v>26.0760631184758</v>
      </c>
      <c r="L69" s="397" t="n">
        <f aca="false">SQRT(pos_x^2+pos_z^2)</f>
        <v>26.5091585510952</v>
      </c>
      <c r="M69" s="396" t="n">
        <f aca="false">IF(AND(L68&gt;L_rampe,G69&gt;0),ATAN2(G69,H69),$M$4)</f>
        <v>1.38420699962868</v>
      </c>
      <c r="N69" s="397" t="n">
        <f aca="false">DEGREES(Beta)</f>
        <v>79.30921905119</v>
      </c>
      <c r="P69" s="399" t="n">
        <f aca="false">MATCH(t-pas/2-T_ini,CdP_t)</f>
        <v>7</v>
      </c>
      <c r="Q69" s="397" t="n">
        <f aca="false">(INDEX(CdP,2,i_P+1)-INDEX(CdP,2,i_P+0))/(INDEX(CdP,1,i_P+1)-INDEX(CdP,1,i_P+0))*(t-pas/2-T_ini-INDEX(CdP,1,i_P+0))+INDEX(CdP,2,i_P+0)</f>
        <v>1314.662625</v>
      </c>
      <c r="R69" s="396" t="n">
        <f aca="false">Poussee/(g*ISP)</f>
        <v>0.646066950994797</v>
      </c>
      <c r="S69" s="398" t="n">
        <f aca="false">S68-Débit*pas</f>
        <v>9.02004566319865</v>
      </c>
      <c r="T69" s="397" t="n">
        <f aca="false">m*g</f>
        <v>88.4866479559788</v>
      </c>
      <c r="U69" s="400" t="n">
        <f aca="false">IF(pos_xz&lt;L_rampe,Poids*COS(Beta),0)</f>
        <v>0</v>
      </c>
      <c r="V69" s="396" t="n">
        <f aca="false">Rho_moyen*(20000-Alt_rampe-pos_z)/(20000+Alt_rampe+pos_z)</f>
        <v>1.22180984160657</v>
      </c>
      <c r="W69" s="397" t="n">
        <f aca="false">1/2*Rho*Sref*Cx*vit_xz^2</f>
        <v>32.3655273225268</v>
      </c>
      <c r="Y69" s="401" t="str">
        <f aca="false">IF(AND(pos_z&lt;=0,K68&gt;0),"Impact balistique","") &amp; IF(AND(H70&lt;0,vit_z&gt;=0),"Apogée","") &amp; IF(AND(Poussee=0,Q68&gt;0),"Fin de propulsion","") &amp; IF(AND(L70&gt;L_rampe,pos_xz&lt;=L_rampe),"Sortie de rampe","")</f>
        <v/>
      </c>
      <c r="Z69" s="402" t="str">
        <f aca="false">IF(ABS(t-T_para)&lt;pas/2,"Para","")</f>
        <v/>
      </c>
      <c r="AA69" s="403" t="str">
        <f aca="false">IF(ABS(t-T_satellite)&lt;pas/2,"Satellite","")</f>
        <v/>
      </c>
      <c r="AC69" s="399" t="e">
        <f aca="false">IF(ABS(t-ROUND(t,0))&lt;0.001,t,NA())</f>
        <v>#N/A</v>
      </c>
      <c r="AD69" s="404" t="e">
        <f aca="false">IF(ABS(t-ROUND(t,0))&lt;0.001,pos_x,NA())</f>
        <v>#N/A</v>
      </c>
      <c r="AE69" s="405" t="n">
        <f aca="false">IF(t&lt;T_para, pos_z, NA())</f>
        <v>26.0760631184758</v>
      </c>
      <c r="AG69" s="396" t="n">
        <f aca="false">IF(AND(L68&lt;L_rampe,Poussee&lt;Poids*SIN(M68)),0,(-W68+Poussee)/m-Poids*SIN(M68)/m)</f>
        <v>132.632965281904</v>
      </c>
      <c r="AH69" s="397" t="n">
        <f aca="false">IF(AND(L68&lt;L_rampe,Poussee&lt;Poids*SIN(M68)), g*SIN(M68), (-W68+Poussee)/m)</f>
        <v>142.273083799373</v>
      </c>
    </row>
    <row r="70" customFormat="false" ht="12.75" hidden="false" customHeight="false" outlineLevel="0" collapsed="false">
      <c r="A70" s="396" t="n">
        <f aca="false">IF(B69+0.01&lt;=T_ini+ROUNDUP(Temps_fin_propu,0), 0.01, IF(K69&gt;0, 0.1, 0.0001))</f>
        <v>0.01</v>
      </c>
      <c r="B70" s="397" t="n">
        <f aca="false">B69+pas</f>
        <v>0.66</v>
      </c>
      <c r="D70" s="396" t="n">
        <f aca="false">IF(AND(L69&lt;L_rampe,Poussee&lt;Poids*SIN(M69)),0,(-W69+Poussee)/m*COS(M69)-U69/m*SIN(M69))</f>
        <v>26.3768829964353</v>
      </c>
      <c r="E70" s="398" t="n">
        <f aca="false">IF(AND(L69&lt;L_rampe,Poussee&lt;Poids*SIN(M69)),0,(-W69+Poussee)/m*SIN(M69)+U69/m*COS(M69)-Poids/m)</f>
        <v>129.908931074882</v>
      </c>
      <c r="F70" s="397" t="n">
        <f aca="false">SQRT(acc_x^2+acc_z^2)</f>
        <v>132.55968591403</v>
      </c>
      <c r="G70" s="396" t="n">
        <f aca="false">G69+acc_x*pas</f>
        <v>15.8284272023462</v>
      </c>
      <c r="H70" s="398" t="n">
        <f aca="false">H69+acc_z*pas</f>
        <v>83.7454280471648</v>
      </c>
      <c r="I70" s="397" t="n">
        <f aca="false">SQRT(vit_x^2+vit_z^2)</f>
        <v>85.2281398747082</v>
      </c>
      <c r="J70" s="396" t="n">
        <f aca="false">J69+0.5*(vit_x+G69)*pas*(K69&gt;=0)</f>
        <v>4.92922058957369</v>
      </c>
      <c r="K70" s="398" t="n">
        <f aca="false">K69+0.5*(vit_z+H69)*pas</f>
        <v>26.9070219523937</v>
      </c>
      <c r="L70" s="397" t="n">
        <f aca="false">SQRT(pos_x^2+pos_z^2)</f>
        <v>27.3547993223725</v>
      </c>
      <c r="M70" s="396" t="n">
        <f aca="false">IF(AND(L69&gt;L_rampe,G70&gt;0),ATAN2(G70,H70),$M$4)</f>
        <v>1.38399347408672</v>
      </c>
      <c r="N70" s="397" t="n">
        <f aca="false">DEGREES(Beta)</f>
        <v>79.2969849388175</v>
      </c>
      <c r="P70" s="399" t="n">
        <f aca="false">MATCH(t-pas/2-T_ini,CdP_t)</f>
        <v>7</v>
      </c>
      <c r="Q70" s="397" t="n">
        <f aca="false">(INDEX(CdP,2,i_P+1)-INDEX(CdP,2,i_P+0))/(INDEX(CdP,1,i_P+1)-INDEX(CdP,1,i_P+0))*(t-pas/2-T_ini-INDEX(CdP,1,i_P+0))+INDEX(CdP,2,i_P+0)</f>
        <v>1313.979875</v>
      </c>
      <c r="R70" s="396" t="n">
        <f aca="false">Poussee/(g*ISP)</f>
        <v>0.645731425969285</v>
      </c>
      <c r="S70" s="398" t="n">
        <f aca="false">S69-Débit*pas</f>
        <v>9.01358834893896</v>
      </c>
      <c r="T70" s="397" t="n">
        <f aca="false">m*g</f>
        <v>88.4233017030912</v>
      </c>
      <c r="U70" s="400" t="n">
        <f aca="false">IF(pos_xz&lt;L_rampe,Poids*COS(Beta),0)</f>
        <v>0</v>
      </c>
      <c r="V70" s="396" t="n">
        <f aca="false">Rho_moyen*(20000-Alt_rampe-pos_z)/(20000+Alt_rampe+pos_z)</f>
        <v>1.22170831827845</v>
      </c>
      <c r="W70" s="397" t="n">
        <f aca="false">1/2*Rho*Sref*Cx*vit_xz^2</f>
        <v>33.3934352136696</v>
      </c>
      <c r="Y70" s="401" t="str">
        <f aca="false">IF(AND(pos_z&lt;=0,K69&gt;0),"Impact balistique","") &amp; IF(AND(H71&lt;0,vit_z&gt;=0),"Apogée","") &amp; IF(AND(Poussee=0,Q69&gt;0),"Fin de propulsion","") &amp; IF(AND(L71&gt;L_rampe,pos_xz&lt;=L_rampe),"Sortie de rampe","")</f>
        <v/>
      </c>
      <c r="Z70" s="402" t="str">
        <f aca="false">IF(ABS(t-T_para)&lt;pas/2,"Para","")</f>
        <v/>
      </c>
      <c r="AA70" s="403" t="str">
        <f aca="false">IF(ABS(t-T_satellite)&lt;pas/2,"Satellite","")</f>
        <v/>
      </c>
      <c r="AC70" s="399" t="e">
        <f aca="false">IF(ABS(t-ROUND(t,0))&lt;0.001,t,NA())</f>
        <v>#N/A</v>
      </c>
      <c r="AD70" s="404" t="e">
        <f aca="false">IF(ABS(t-ROUND(t,0))&lt;0.001,pos_x,NA())</f>
        <v>#N/A</v>
      </c>
      <c r="AE70" s="405" t="n">
        <f aca="false">IF(t&lt;T_para, pos_z, NA())</f>
        <v>26.9070219523937</v>
      </c>
      <c r="AG70" s="396" t="n">
        <f aca="false">IF(AND(L69&lt;L_rampe,Poussee&lt;Poids*SIN(M69)),0,(-W69+Poussee)/m-Poids*SIN(M69)/m)</f>
        <v>132.547193548558</v>
      </c>
      <c r="AH70" s="397" t="n">
        <f aca="false">IF(AND(L69&lt;L_rampe,Poussee&lt;Poids*SIN(M69)), g*SIN(M69), (-W69+Poussee)/m)</f>
        <v>142.186918024533</v>
      </c>
    </row>
    <row r="71" customFormat="false" ht="12.75" hidden="false" customHeight="false" outlineLevel="0" collapsed="false">
      <c r="A71" s="396" t="n">
        <f aca="false">IF(B70+0.01&lt;=T_ini+ROUNDUP(Temps_fin_propu,0), 0.01, IF(K70&gt;0, 0.1, 0.0001))</f>
        <v>0.01</v>
      </c>
      <c r="B71" s="397" t="n">
        <f aca="false">B70+pas</f>
        <v>0.67</v>
      </c>
      <c r="D71" s="396" t="n">
        <f aca="false">IF(AND(L70&lt;L_rampe,Poussee&lt;Poids*SIN(M70)),0,(-W70+Poussee)/m*COS(M70)-U70/m*SIN(M70))</f>
        <v>26.3903652886928</v>
      </c>
      <c r="E71" s="398" t="n">
        <f aca="false">IF(AND(L70&lt;L_rampe,Poussee&lt;Poids*SIN(M70)),0,(-W70+Poussee)/m*SIN(M70)+U70/m*COS(M70)-Poids/m)</f>
        <v>129.816787246115</v>
      </c>
      <c r="F71" s="397" t="n">
        <f aca="false">SQRT(acc_x^2+acc_z^2)</f>
        <v>132.472071135669</v>
      </c>
      <c r="G71" s="396" t="n">
        <f aca="false">G70+acc_x*pas</f>
        <v>16.0923308552331</v>
      </c>
      <c r="H71" s="398" t="n">
        <f aca="false">H70+acc_z*pas</f>
        <v>85.0435959196259</v>
      </c>
      <c r="I71" s="397" t="n">
        <f aca="false">SQRT(vit_x^2+vit_z^2)</f>
        <v>86.5527372143418</v>
      </c>
      <c r="J71" s="396" t="n">
        <f aca="false">J70+0.5*(vit_x+G70)*pas*(K70&gt;=0)</f>
        <v>5.08882437986159</v>
      </c>
      <c r="K71" s="398" t="n">
        <f aca="false">K70+0.5*(vit_z+H70)*pas</f>
        <v>27.7509670722276</v>
      </c>
      <c r="L71" s="397" t="n">
        <f aca="false">SQRT(pos_x^2+pos_z^2)</f>
        <v>28.2136900637428</v>
      </c>
      <c r="M71" s="396" t="n">
        <f aca="false">IF(AND(L70&gt;L_rampe,G71&gt;0),ATAN2(G71,H71),$M$4)</f>
        <v>1.38378297851837</v>
      </c>
      <c r="N71" s="397" t="n">
        <f aca="false">DEGREES(Beta)</f>
        <v>79.2849244311449</v>
      </c>
      <c r="P71" s="399" t="n">
        <f aca="false">MATCH(t-pas/2-T_ini,CdP_t)</f>
        <v>7</v>
      </c>
      <c r="Q71" s="397" t="n">
        <f aca="false">(INDEX(CdP,2,i_P+1)-INDEX(CdP,2,i_P+0))/(INDEX(CdP,1,i_P+1)-INDEX(CdP,1,i_P+0))*(t-pas/2-T_ini-INDEX(CdP,1,i_P+0))+INDEX(CdP,2,i_P+0)</f>
        <v>1313.297125</v>
      </c>
      <c r="R71" s="396" t="n">
        <f aca="false">Poussee/(g*ISP)</f>
        <v>0.645395900943774</v>
      </c>
      <c r="S71" s="398" t="n">
        <f aca="false">S70-Débit*pas</f>
        <v>9.00713438992952</v>
      </c>
      <c r="T71" s="397" t="n">
        <f aca="false">m*g</f>
        <v>88.3599883652086</v>
      </c>
      <c r="U71" s="400" t="n">
        <f aca="false">IF(pos_xz&lt;L_rampe,Poids*COS(Beta),0)</f>
        <v>0</v>
      </c>
      <c r="V71" s="396" t="n">
        <f aca="false">Rho_moyen*(20000-Alt_rampe-pos_z)/(20000+Alt_rampe+pos_z)</f>
        <v>1.22160521695927</v>
      </c>
      <c r="W71" s="397" t="n">
        <f aca="false">1/2*Rho*Sref*Cx*vit_xz^2</f>
        <v>34.4365820262353</v>
      </c>
      <c r="Y71" s="401" t="str">
        <f aca="false">IF(AND(pos_z&lt;=0,K70&gt;0),"Impact balistique","") &amp; IF(AND(H72&lt;0,vit_z&gt;=0),"Apogée","") &amp; IF(AND(Poussee=0,Q70&gt;0),"Fin de propulsion","") &amp; IF(AND(L72&gt;L_rampe,pos_xz&lt;=L_rampe),"Sortie de rampe","")</f>
        <v/>
      </c>
      <c r="Z71" s="402" t="str">
        <f aca="false">IF(ABS(t-T_para)&lt;pas/2,"Para","")</f>
        <v/>
      </c>
      <c r="AA71" s="403" t="str">
        <f aca="false">IF(ABS(t-T_satellite)&lt;pas/2,"Satellite","")</f>
        <v/>
      </c>
      <c r="AC71" s="399" t="e">
        <f aca="false">IF(ABS(t-ROUND(t,0))&lt;0.001,t,NA())</f>
        <v>#N/A</v>
      </c>
      <c r="AD71" s="404" t="e">
        <f aca="false">IF(ABS(t-ROUND(t,0))&lt;0.001,pos_x,NA())</f>
        <v>#N/A</v>
      </c>
      <c r="AE71" s="405" t="n">
        <f aca="false">IF(t&lt;T_para, pos_z, NA())</f>
        <v>27.7509670722276</v>
      </c>
      <c r="AG71" s="396" t="n">
        <f aca="false">IF(AND(L70&lt;L_rampe,Poussee&lt;Poids*SIN(M70)),0,(-W70+Poussee)/m-Poids*SIN(M70)/m)</f>
        <v>132.459542212761</v>
      </c>
      <c r="AH71" s="397" t="n">
        <f aca="false">IF(AND(L70&lt;L_rampe,Poussee&lt;Poids*SIN(M70)), g*SIN(M70), (-W70+Poussee)/m)</f>
        <v>142.098877886993</v>
      </c>
    </row>
    <row r="72" customFormat="false" ht="12.75" hidden="false" customHeight="false" outlineLevel="0" collapsed="false">
      <c r="A72" s="396" t="n">
        <f aca="false">IF(B71+0.01&lt;=T_ini+ROUNDUP(Temps_fin_propu,0), 0.01, IF(K71&gt;0, 0.1, 0.0001))</f>
        <v>0.01</v>
      </c>
      <c r="B72" s="397" t="n">
        <f aca="false">B71+pas</f>
        <v>0.68</v>
      </c>
      <c r="D72" s="396" t="n">
        <f aca="false">IF(AND(L71&lt;L_rampe,Poussee&lt;Poids*SIN(M71)),0,(-W71+Poussee)/m*COS(M71)-U71/m*SIN(M71))</f>
        <v>26.4030385434538</v>
      </c>
      <c r="E72" s="398" t="n">
        <f aca="false">IF(AND(L71&lt;L_rampe,Poussee&lt;Poids*SIN(M71)),0,(-W71+Poussee)/m*SIN(M71)+U71/m*COS(M71)-Poids/m)</f>
        <v>129.722884399379</v>
      </c>
      <c r="F72" s="397" t="n">
        <f aca="false">SQRT(acc_x^2+acc_z^2)</f>
        <v>132.382578843372</v>
      </c>
      <c r="G72" s="396" t="n">
        <f aca="false">G71+acc_x*pas</f>
        <v>16.3563612406677</v>
      </c>
      <c r="H72" s="398" t="n">
        <f aca="false">H71+acc_z*pas</f>
        <v>86.3408247636197</v>
      </c>
      <c r="I72" s="397" t="n">
        <f aca="false">SQRT(vit_x^2+vit_z^2)</f>
        <v>87.8764392422525</v>
      </c>
      <c r="J72" s="396" t="n">
        <f aca="false">J71+0.5*(vit_x+G71)*pas*(K71&gt;=0)</f>
        <v>5.25106784034109</v>
      </c>
      <c r="K72" s="398" t="n">
        <f aca="false">K71+0.5*(vit_z+H71)*pas</f>
        <v>28.6078891756439</v>
      </c>
      <c r="L72" s="397" t="n">
        <f aca="false">SQRT(pos_x^2+pos_z^2)</f>
        <v>29.0858219163528</v>
      </c>
      <c r="M72" s="396" t="n">
        <f aca="false">IF(AND(L71&gt;L_rampe,G72&gt;0),ATAN2(G72,H72),$M$4)</f>
        <v>1.38357542279881</v>
      </c>
      <c r="N72" s="397" t="n">
        <f aca="false">DEGREES(Beta)</f>
        <v>79.2730323644004</v>
      </c>
      <c r="P72" s="399" t="n">
        <f aca="false">MATCH(t-pas/2-T_ini,CdP_t)</f>
        <v>7</v>
      </c>
      <c r="Q72" s="397" t="n">
        <f aca="false">(INDEX(CdP,2,i_P+1)-INDEX(CdP,2,i_P+0))/(INDEX(CdP,1,i_P+1)-INDEX(CdP,1,i_P+0))*(t-pas/2-T_ini-INDEX(CdP,1,i_P+0))+INDEX(CdP,2,i_P+0)</f>
        <v>1312.614375</v>
      </c>
      <c r="R72" s="396" t="n">
        <f aca="false">Poussee/(g*ISP)</f>
        <v>0.645060375918263</v>
      </c>
      <c r="S72" s="398" t="n">
        <f aca="false">S71-Débit*pas</f>
        <v>9.00068378617034</v>
      </c>
      <c r="T72" s="397" t="n">
        <f aca="false">m*g</f>
        <v>88.296707942331</v>
      </c>
      <c r="U72" s="400" t="n">
        <f aca="false">IF(pos_xz&lt;L_rampe,Poids*COS(Beta),0)</f>
        <v>0</v>
      </c>
      <c r="V72" s="396" t="n">
        <f aca="false">Rho_moyen*(20000-Alt_rampe-pos_z)/(20000+Alt_rampe+pos_z)</f>
        <v>1.22150053918534</v>
      </c>
      <c r="W72" s="397" t="n">
        <f aca="false">1/2*Rho*Sref*Cx*vit_xz^2</f>
        <v>35.4949126525524</v>
      </c>
      <c r="Y72" s="401" t="str">
        <f aca="false">IF(AND(pos_z&lt;=0,K71&gt;0),"Impact balistique","") &amp; IF(AND(H73&lt;0,vit_z&gt;=0),"Apogée","") &amp; IF(AND(Poussee=0,Q71&gt;0),"Fin de propulsion","") &amp; IF(AND(L73&gt;L_rampe,pos_xz&lt;=L_rampe),"Sortie de rampe","")</f>
        <v/>
      </c>
      <c r="Z72" s="402" t="str">
        <f aca="false">IF(ABS(t-T_para)&lt;pas/2,"Para","")</f>
        <v/>
      </c>
      <c r="AA72" s="403" t="str">
        <f aca="false">IF(ABS(t-T_satellite)&lt;pas/2,"Satellite","")</f>
        <v/>
      </c>
      <c r="AC72" s="399" t="e">
        <f aca="false">IF(ABS(t-ROUND(t,0))&lt;0.001,t,NA())</f>
        <v>#N/A</v>
      </c>
      <c r="AD72" s="404" t="e">
        <f aca="false">IF(ABS(t-ROUND(t,0))&lt;0.001,pos_x,NA())</f>
        <v>#N/A</v>
      </c>
      <c r="AE72" s="405" t="n">
        <f aca="false">IF(t&lt;T_para, pos_z, NA())</f>
        <v>28.6078891756439</v>
      </c>
      <c r="AG72" s="396" t="n">
        <f aca="false">IF(AND(L71&lt;L_rampe,Poussee&lt;Poids*SIN(M71)),0,(-W71+Poussee)/m-Poids*SIN(M71)/m)</f>
        <v>132.370013507966</v>
      </c>
      <c r="AH72" s="397" t="n">
        <f aca="false">IF(AND(L71&lt;L_rampe,Poussee&lt;Poids*SIN(M71)), g*SIN(M71), (-W71+Poussee)/m)</f>
        <v>142.008965467457</v>
      </c>
    </row>
    <row r="73" customFormat="false" ht="12.75" hidden="false" customHeight="false" outlineLevel="0" collapsed="false">
      <c r="A73" s="396" t="n">
        <f aca="false">IF(B72+0.01&lt;=T_ini+ROUNDUP(Temps_fin_propu,0), 0.01, IF(K72&gt;0, 0.1, 0.0001))</f>
        <v>0.01</v>
      </c>
      <c r="B73" s="397" t="n">
        <f aca="false">B72+pas</f>
        <v>0.69</v>
      </c>
      <c r="D73" s="396" t="n">
        <f aca="false">IF(AND(L72&lt;L_rampe,Poussee&lt;Poids*SIN(M72)),0,(-W72+Poussee)/m*COS(M72)-U72/m*SIN(M72))</f>
        <v>26.4149154295774</v>
      </c>
      <c r="E73" s="398" t="n">
        <f aca="false">IF(AND(L72&lt;L_rampe,Poussee&lt;Poids*SIN(M72)),0,(-W72+Poussee)/m*SIN(M72)+U72/m*COS(M72)-Poids/m)</f>
        <v>129.627222661749</v>
      </c>
      <c r="F73" s="397" t="n">
        <f aca="false">SQRT(acc_x^2+acc_z^2)</f>
        <v>132.29121139422</v>
      </c>
      <c r="G73" s="396" t="n">
        <f aca="false">G72+acc_x*pas</f>
        <v>16.6205103949634</v>
      </c>
      <c r="H73" s="398" t="n">
        <f aca="false">H72+acc_z*pas</f>
        <v>87.6370969902372</v>
      </c>
      <c r="I73" s="397" t="n">
        <f aca="false">SQRT(vit_x^2+vit_z^2)</f>
        <v>89.199227208902</v>
      </c>
      <c r="J73" s="396" t="n">
        <f aca="false">J72+0.5*(vit_x+G72)*pas*(K72&gt;=0)</f>
        <v>5.41595219851925</v>
      </c>
      <c r="K73" s="398" t="n">
        <f aca="false">K72+0.5*(vit_z+H72)*pas</f>
        <v>29.4777787844132</v>
      </c>
      <c r="L73" s="397" t="n">
        <f aca="false">SQRT(pos_x^2+pos_z^2)</f>
        <v>29.9711858337211</v>
      </c>
      <c r="M73" s="396" t="n">
        <f aca="false">IF(AND(L72&gt;L_rampe,G73&gt;0),ATAN2(G73,H73),$M$4)</f>
        <v>1.38337072076327</v>
      </c>
      <c r="N73" s="397" t="n">
        <f aca="false">DEGREES(Beta)</f>
        <v>79.2613038017059</v>
      </c>
      <c r="P73" s="399" t="n">
        <f aca="false">MATCH(t-pas/2-T_ini,CdP_t)</f>
        <v>7</v>
      </c>
      <c r="Q73" s="397" t="n">
        <f aca="false">(INDEX(CdP,2,i_P+1)-INDEX(CdP,2,i_P+0))/(INDEX(CdP,1,i_P+1)-INDEX(CdP,1,i_P+0))*(t-pas/2-T_ini-INDEX(CdP,1,i_P+0))+INDEX(CdP,2,i_P+0)</f>
        <v>1311.931625</v>
      </c>
      <c r="R73" s="396" t="n">
        <f aca="false">Poussee/(g*ISP)</f>
        <v>0.644724850892752</v>
      </c>
      <c r="S73" s="398" t="n">
        <f aca="false">S72-Débit*pas</f>
        <v>8.99423653766141</v>
      </c>
      <c r="T73" s="397" t="n">
        <f aca="false">m*g</f>
        <v>88.2334604344584</v>
      </c>
      <c r="U73" s="400" t="n">
        <f aca="false">IF(pos_xz&lt;L_rampe,Poids*COS(Beta),0)</f>
        <v>0</v>
      </c>
      <c r="V73" s="396" t="n">
        <f aca="false">Rho_moyen*(20000-Alt_rampe-pos_z)/(20000+Alt_rampe+pos_z)</f>
        <v>1.22139428652013</v>
      </c>
      <c r="W73" s="397" t="n">
        <f aca="false">1/2*Rho*Sref*Cx*vit_xz^2</f>
        <v>36.5683710151363</v>
      </c>
      <c r="Y73" s="401" t="str">
        <f aca="false">IF(AND(pos_z&lt;=0,K72&gt;0),"Impact balistique","") &amp; IF(AND(H74&lt;0,vit_z&gt;=0),"Apogée","") &amp; IF(AND(Poussee=0,Q72&gt;0),"Fin de propulsion","") &amp; IF(AND(L74&gt;L_rampe,pos_xz&lt;=L_rampe),"Sortie de rampe","")</f>
        <v/>
      </c>
      <c r="Z73" s="402" t="str">
        <f aca="false">IF(ABS(t-T_para)&lt;pas/2,"Para","")</f>
        <v/>
      </c>
      <c r="AA73" s="403" t="str">
        <f aca="false">IF(ABS(t-T_satellite)&lt;pas/2,"Satellite","")</f>
        <v/>
      </c>
      <c r="AC73" s="399" t="e">
        <f aca="false">IF(ABS(t-ROUND(t,0))&lt;0.001,t,NA())</f>
        <v>#N/A</v>
      </c>
      <c r="AD73" s="404" t="e">
        <f aca="false">IF(ABS(t-ROUND(t,0))&lt;0.001,pos_x,NA())</f>
        <v>#N/A</v>
      </c>
      <c r="AE73" s="405" t="n">
        <f aca="false">IF(t&lt;T_para, pos_z, NA())</f>
        <v>29.4777787844132</v>
      </c>
      <c r="AG73" s="396" t="n">
        <f aca="false">IF(AND(L72&lt;L_rampe,Poussee&lt;Poids*SIN(M72)),0,(-W72+Poussee)/m-Poids*SIN(M72)/m)</f>
        <v>132.278609779531</v>
      </c>
      <c r="AH73" s="397" t="n">
        <f aca="false">IF(AND(L72&lt;L_rampe,Poussee&lt;Poids*SIN(M72)), g*SIN(M72), (-W72+Poussee)/m)</f>
        <v>141.917182965185</v>
      </c>
    </row>
    <row r="74" customFormat="false" ht="12.75" hidden="false" customHeight="false" outlineLevel="0" collapsed="false">
      <c r="A74" s="396" t="n">
        <f aca="false">IF(B73+0.01&lt;=T_ini+ROUNDUP(Temps_fin_propu,0), 0.01, IF(K73&gt;0, 0.1, 0.0001))</f>
        <v>0.01</v>
      </c>
      <c r="B74" s="397" t="n">
        <f aca="false">B73+pas</f>
        <v>0.7</v>
      </c>
      <c r="D74" s="396" t="n">
        <f aca="false">IF(AND(L73&lt;L_rampe,Poussee&lt;Poids*SIN(M73)),0,(-W73+Poussee)/m*COS(M73)-U73/m*SIN(M73))</f>
        <v>26.4260080856357</v>
      </c>
      <c r="E74" s="398" t="n">
        <f aca="false">IF(AND(L73&lt;L_rampe,Poussee&lt;Poids*SIN(M73)),0,(-W73+Poussee)/m*SIN(M73)+U73/m*COS(M73)-Poids/m)</f>
        <v>129.529802366565</v>
      </c>
      <c r="F74" s="397" t="n">
        <f aca="false">SQRT(acc_x^2+acc_z^2)</f>
        <v>132.197971256988</v>
      </c>
      <c r="G74" s="396" t="n">
        <f aca="false">G73+acc_x*pas</f>
        <v>16.8847704758198</v>
      </c>
      <c r="H74" s="398" t="n">
        <f aca="false">H73+acc_z*pas</f>
        <v>88.9323950139028</v>
      </c>
      <c r="I74" s="397" t="n">
        <f aca="false">SQRT(vit_x^2+vit_z^2)</f>
        <v>90.5210823892974</v>
      </c>
      <c r="J74" s="396" t="n">
        <f aca="false">J73+0.5*(vit_x+G73)*pas*(K73&gt;=0)</f>
        <v>5.58347860287317</v>
      </c>
      <c r="K74" s="398" t="n">
        <f aca="false">K73+0.5*(vit_z+H73)*pas</f>
        <v>30.3606262444339</v>
      </c>
      <c r="L74" s="397" t="n">
        <f aca="false">SQRT(pos_x^2+pos_z^2)</f>
        <v>30.8697725819765</v>
      </c>
      <c r="M74" s="396" t="n">
        <f aca="false">IF(AND(L73&gt;L_rampe,G74&gt;0),ATAN2(G74,H74),$M$4)</f>
        <v>1.38316878997691</v>
      </c>
      <c r="N74" s="397" t="n">
        <f aca="false">DEGREES(Beta)</f>
        <v>79.2497340198941</v>
      </c>
      <c r="P74" s="399" t="n">
        <f aca="false">MATCH(t-pas/2-T_ini,CdP_t)</f>
        <v>7</v>
      </c>
      <c r="Q74" s="397" t="n">
        <f aca="false">(INDEX(CdP,2,i_P+1)-INDEX(CdP,2,i_P+0))/(INDEX(CdP,1,i_P+1)-INDEX(CdP,1,i_P+0))*(t-pas/2-T_ini-INDEX(CdP,1,i_P+0))+INDEX(CdP,2,i_P+0)</f>
        <v>1311.248875</v>
      </c>
      <c r="R74" s="396" t="n">
        <f aca="false">Poussee/(g*ISP)</f>
        <v>0.644389325867241</v>
      </c>
      <c r="S74" s="398" t="n">
        <f aca="false">S73-Débit*pas</f>
        <v>8.98779264440274</v>
      </c>
      <c r="T74" s="397" t="n">
        <f aca="false">m*g</f>
        <v>88.1702458415908</v>
      </c>
      <c r="U74" s="400" t="n">
        <f aca="false">IF(pos_xz&lt;L_rampe,Poids*COS(Beta),0)</f>
        <v>0</v>
      </c>
      <c r="V74" s="396" t="n">
        <f aca="false">Rho_moyen*(20000-Alt_rampe-pos_z)/(20000+Alt_rampe+pos_z)</f>
        <v>1.22128646055421</v>
      </c>
      <c r="W74" s="397" t="n">
        <f aca="false">1/2*Rho*Sref*Cx*vit_xz^2</f>
        <v>37.656900071915</v>
      </c>
      <c r="Y74" s="401" t="str">
        <f aca="false">IF(AND(pos_z&lt;=0,K73&gt;0),"Impact balistique","") &amp; IF(AND(H75&lt;0,vit_z&gt;=0),"Apogée","") &amp; IF(AND(Poussee=0,Q73&gt;0),"Fin de propulsion","") &amp; IF(AND(L75&gt;L_rampe,pos_xz&lt;=L_rampe),"Sortie de rampe","")</f>
        <v/>
      </c>
      <c r="Z74" s="402" t="str">
        <f aca="false">IF(ABS(t-T_para)&lt;pas/2,"Para","")</f>
        <v/>
      </c>
      <c r="AA74" s="403" t="str">
        <f aca="false">IF(ABS(t-T_satellite)&lt;pas/2,"Satellite","")</f>
        <v/>
      </c>
      <c r="AC74" s="399" t="e">
        <f aca="false">IF(ABS(t-ROUND(t,0))&lt;0.001,t,NA())</f>
        <v>#N/A</v>
      </c>
      <c r="AD74" s="404" t="e">
        <f aca="false">IF(ABS(t-ROUND(t,0))&lt;0.001,pos_x,NA())</f>
        <v>#N/A</v>
      </c>
      <c r="AE74" s="405" t="n">
        <f aca="false">IF(t&lt;T_para, pos_z, NA())</f>
        <v>30.3606262444339</v>
      </c>
      <c r="AG74" s="396" t="n">
        <f aca="false">IF(AND(L73&lt;L_rampe,Poussee&lt;Poids*SIN(M73)),0,(-W73+Poussee)/m-Poids*SIN(M73)/m)</f>
        <v>132.185333484962</v>
      </c>
      <c r="AH74" s="397" t="n">
        <f aca="false">IF(AND(L73&lt;L_rampe,Poussee&lt;Poids*SIN(M73)), g*SIN(M73), (-W73+Poussee)/m)</f>
        <v>141.823532697841</v>
      </c>
    </row>
    <row r="75" customFormat="false" ht="12.75" hidden="false" customHeight="false" outlineLevel="0" collapsed="false">
      <c r="A75" s="396" t="n">
        <f aca="false">IF(B74+0.01&lt;=T_ini+ROUNDUP(Temps_fin_propu,0), 0.01, IF(K74&gt;0, 0.1, 0.0001))</f>
        <v>0.01</v>
      </c>
      <c r="B75" s="397" t="n">
        <f aca="false">B74+pas</f>
        <v>0.71</v>
      </c>
      <c r="D75" s="396" t="n">
        <f aca="false">IF(AND(L74&lt;L_rampe,Poussee&lt;Poids*SIN(M74)),0,(-W74+Poussee)/m*COS(M74)-U74/m*SIN(M74))</f>
        <v>26.4363281523453</v>
      </c>
      <c r="E75" s="398" t="n">
        <f aca="false">IF(AND(L74&lt;L_rampe,Poussee&lt;Poids*SIN(M74)),0,(-W74+Poussee)/m*SIN(M74)+U74/m*COS(M74)-Poids/m)</f>
        <v>129.430624048068</v>
      </c>
      <c r="F75" s="397" t="n">
        <f aca="false">SQRT(acc_x^2+acc_z^2)</f>
        <v>132.102861012359</v>
      </c>
      <c r="G75" s="396" t="n">
        <f aca="false">G74+acc_x*pas</f>
        <v>17.1491337573433</v>
      </c>
      <c r="H75" s="398" t="n">
        <f aca="false">H74+acc_z*pas</f>
        <v>90.2267012543835</v>
      </c>
      <c r="I75" s="397" t="n">
        <f aca="false">SQRT(vit_x^2+vit_z^2)</f>
        <v>91.8419860841163</v>
      </c>
      <c r="J75" s="396" t="n">
        <f aca="false">J74+0.5*(vit_x+G74)*pas*(K74&gt;=0)</f>
        <v>5.75364812403898</v>
      </c>
      <c r="K75" s="398" t="n">
        <f aca="false">K74+0.5*(vit_z+H74)*pas</f>
        <v>31.2564217257753</v>
      </c>
      <c r="L75" s="397" t="n">
        <f aca="false">SQRT(pos_x^2+pos_z^2)</f>
        <v>31.781572740108</v>
      </c>
      <c r="M75" s="396" t="n">
        <f aca="false">IF(AND(L74&gt;L_rampe,G75&gt;0),ATAN2(G75,H75),$M$4)</f>
        <v>1.38296955152134</v>
      </c>
      <c r="N75" s="397" t="n">
        <f aca="false">DEGREES(Beta)</f>
        <v>79.2383184972733</v>
      </c>
      <c r="P75" s="399" t="n">
        <f aca="false">MATCH(t-pas/2-T_ini,CdP_t)</f>
        <v>7</v>
      </c>
      <c r="Q75" s="397" t="n">
        <f aca="false">(INDEX(CdP,2,i_P+1)-INDEX(CdP,2,i_P+0))/(INDEX(CdP,1,i_P+1)-INDEX(CdP,1,i_P+0))*(t-pas/2-T_ini-INDEX(CdP,1,i_P+0))+INDEX(CdP,2,i_P+0)</f>
        <v>1310.566125</v>
      </c>
      <c r="R75" s="396" t="n">
        <f aca="false">Poussee/(g*ISP)</f>
        <v>0.64405380084173</v>
      </c>
      <c r="S75" s="398" t="n">
        <f aca="false">S74-Débit*pas</f>
        <v>8.98135210639432</v>
      </c>
      <c r="T75" s="397" t="n">
        <f aca="false">m*g</f>
        <v>88.1070641637283</v>
      </c>
      <c r="U75" s="400" t="n">
        <f aca="false">IF(pos_xz&lt;L_rampe,Poids*COS(Beta),0)</f>
        <v>0</v>
      </c>
      <c r="V75" s="396" t="n">
        <f aca="false">Rho_moyen*(20000-Alt_rampe-pos_z)/(20000+Alt_rampe+pos_z)</f>
        <v>1.2211770629053</v>
      </c>
      <c r="W75" s="397" t="n">
        <f aca="false">1/2*Rho*Sref*Cx*vit_xz^2</f>
        <v>38.7604418215871</v>
      </c>
      <c r="Y75" s="401" t="str">
        <f aca="false">IF(AND(pos_z&lt;=0,K74&gt;0),"Impact balistique","") &amp; IF(AND(H76&lt;0,vit_z&gt;=0),"Apogée","") &amp; IF(AND(Poussee=0,Q74&gt;0),"Fin de propulsion","") &amp; IF(AND(L76&gt;L_rampe,pos_xz&lt;=L_rampe),"Sortie de rampe","")</f>
        <v/>
      </c>
      <c r="Z75" s="402" t="str">
        <f aca="false">IF(ABS(t-T_para)&lt;pas/2,"Para","")</f>
        <v/>
      </c>
      <c r="AA75" s="403" t="str">
        <f aca="false">IF(ABS(t-T_satellite)&lt;pas/2,"Satellite","")</f>
        <v/>
      </c>
      <c r="AC75" s="399" t="e">
        <f aca="false">IF(ABS(t-ROUND(t,0))&lt;0.001,t,NA())</f>
        <v>#N/A</v>
      </c>
      <c r="AD75" s="404" t="e">
        <f aca="false">IF(ABS(t-ROUND(t,0))&lt;0.001,pos_x,NA())</f>
        <v>#N/A</v>
      </c>
      <c r="AE75" s="405" t="n">
        <f aca="false">IF(t&lt;T_para, pos_z, NA())</f>
        <v>31.2564217257753</v>
      </c>
      <c r="AG75" s="396" t="n">
        <f aca="false">IF(AND(L74&lt;L_rampe,Poussee&lt;Poids*SIN(M74)),0,(-W74+Poussee)/m-Poids*SIN(M74)/m)</f>
        <v>132.090187194096</v>
      </c>
      <c r="AH75" s="397" t="n">
        <f aca="false">IF(AND(L74&lt;L_rampe,Poussee&lt;Poids*SIN(M74)), g*SIN(M74), (-W74+Poussee)/m)</f>
        <v>141.728017101326</v>
      </c>
    </row>
    <row r="76" customFormat="false" ht="12.75" hidden="false" customHeight="false" outlineLevel="0" collapsed="false">
      <c r="A76" s="396" t="n">
        <f aca="false">IF(B75+0.01&lt;=T_ini+ROUNDUP(Temps_fin_propu,0), 0.01, IF(K75&gt;0, 0.1, 0.0001))</f>
        <v>0.01</v>
      </c>
      <c r="B76" s="397" t="n">
        <f aca="false">B75+pas</f>
        <v>0.72</v>
      </c>
      <c r="D76" s="396" t="n">
        <f aca="false">IF(AND(L75&lt;L_rampe,Poussee&lt;Poids*SIN(M75)),0,(-W75+Poussee)/m*COS(M75)-U75/m*SIN(M75))</f>
        <v>26.4458868026585</v>
      </c>
      <c r="E76" s="398" t="n">
        <f aca="false">IF(AND(L75&lt;L_rampe,Poussee&lt;Poids*SIN(M75)),0,(-W75+Poussee)/m*SIN(M75)+U75/m*COS(M75)-Poids/m)</f>
        <v>129.32968843639</v>
      </c>
      <c r="F76" s="397" t="n">
        <f aca="false">SQRT(acc_x^2+acc_z^2)</f>
        <v>132.005883353102</v>
      </c>
      <c r="G76" s="396" t="n">
        <f aca="false">G75+acc_x*pas</f>
        <v>17.4135926253698</v>
      </c>
      <c r="H76" s="398" t="n">
        <f aca="false">H75+acc_z*pas</f>
        <v>91.5199981387474</v>
      </c>
      <c r="I76" s="397" t="n">
        <f aca="false">SQRT(vit_x^2+vit_z^2)</f>
        <v>93.1619196208336</v>
      </c>
      <c r="J76" s="396" t="n">
        <f aca="false">J75+0.5*(vit_x+G75)*pas*(K75&gt;=0)</f>
        <v>5.92646175595255</v>
      </c>
      <c r="K76" s="398" t="n">
        <f aca="false">K75+0.5*(vit_z+H75)*pas</f>
        <v>32.1651552227409</v>
      </c>
      <c r="L76" s="397" t="n">
        <f aca="false">SQRT(pos_x^2+pos_z^2)</f>
        <v>32.7065767002263</v>
      </c>
      <c r="M76" s="396" t="n">
        <f aca="false">IF(AND(L75&gt;L_rampe,G76&gt;0),ATAN2(G76,H76),$M$4)</f>
        <v>1.38277292979612</v>
      </c>
      <c r="N76" s="397" t="n">
        <f aca="false">DEGREES(Beta)</f>
        <v>79.2270529022574</v>
      </c>
      <c r="P76" s="399" t="n">
        <f aca="false">MATCH(t-pas/2-T_ini,CdP_t)</f>
        <v>7</v>
      </c>
      <c r="Q76" s="397" t="n">
        <f aca="false">(INDEX(CdP,2,i_P+1)-INDEX(CdP,2,i_P+0))/(INDEX(CdP,1,i_P+1)-INDEX(CdP,1,i_P+0))*(t-pas/2-T_ini-INDEX(CdP,1,i_P+0))+INDEX(CdP,2,i_P+0)</f>
        <v>1309.883375</v>
      </c>
      <c r="R76" s="396" t="n">
        <f aca="false">Poussee/(g*ISP)</f>
        <v>0.643718275816218</v>
      </c>
      <c r="S76" s="398" t="n">
        <f aca="false">S75-Débit*pas</f>
        <v>8.97491492363616</v>
      </c>
      <c r="T76" s="397" t="n">
        <f aca="false">m*g</f>
        <v>88.0439154008707</v>
      </c>
      <c r="U76" s="400" t="n">
        <f aca="false">IF(pos_xz&lt;L_rampe,Poids*COS(Beta),0)</f>
        <v>0</v>
      </c>
      <c r="V76" s="396" t="n">
        <f aca="false">Rho_moyen*(20000-Alt_rampe-pos_z)/(20000+Alt_rampe+pos_z)</f>
        <v>1.22106609521811</v>
      </c>
      <c r="W76" s="397" t="n">
        <f aca="false">1/2*Rho*Sref*Cx*vit_xz^2</f>
        <v>39.8789373091086</v>
      </c>
      <c r="Y76" s="401" t="str">
        <f aca="false">IF(AND(pos_z&lt;=0,K75&gt;0),"Impact balistique","") &amp; IF(AND(H77&lt;0,vit_z&gt;=0),"Apogée","") &amp; IF(AND(Poussee=0,Q75&gt;0),"Fin de propulsion","") &amp; IF(AND(L77&gt;L_rampe,pos_xz&lt;=L_rampe),"Sortie de rampe","")</f>
        <v/>
      </c>
      <c r="Z76" s="402" t="str">
        <f aca="false">IF(ABS(t-T_para)&lt;pas/2,"Para","")</f>
        <v/>
      </c>
      <c r="AA76" s="403" t="str">
        <f aca="false">IF(ABS(t-T_satellite)&lt;pas/2,"Satellite","")</f>
        <v/>
      </c>
      <c r="AC76" s="399" t="e">
        <f aca="false">IF(ABS(t-ROUND(t,0))&lt;0.001,t,NA())</f>
        <v>#N/A</v>
      </c>
      <c r="AD76" s="404" t="e">
        <f aca="false">IF(ABS(t-ROUND(t,0))&lt;0.001,pos_x,NA())</f>
        <v>#N/A</v>
      </c>
      <c r="AE76" s="405" t="n">
        <f aca="false">IF(t&lt;T_para, pos_z, NA())</f>
        <v>32.1651552227409</v>
      </c>
      <c r="AG76" s="396" t="n">
        <f aca="false">IF(AND(L75&lt;L_rampe,Poussee&lt;Poids*SIN(M75)),0,(-W75+Poussee)/m-Poids*SIN(M75)/m)</f>
        <v>131.993173589258</v>
      </c>
      <c r="AH76" s="397" t="n">
        <f aca="false">IF(AND(L75&lt;L_rampe,Poussee&lt;Poids*SIN(M75)), g*SIN(M75), (-W75+Poussee)/m)</f>
        <v>141.630638729601</v>
      </c>
    </row>
    <row r="77" customFormat="false" ht="12.75" hidden="false" customHeight="false" outlineLevel="0" collapsed="false">
      <c r="A77" s="396" t="n">
        <f aca="false">IF(B76+0.01&lt;=T_ini+ROUNDUP(Temps_fin_propu,0), 0.01, IF(K76&gt;0, 0.1, 0.0001))</f>
        <v>0.01</v>
      </c>
      <c r="B77" s="397" t="n">
        <f aca="false">B76+pas</f>
        <v>0.73</v>
      </c>
      <c r="D77" s="396" t="n">
        <f aca="false">IF(AND(L76&lt;L_rampe,Poussee&lt;Poids*SIN(M76)),0,(-W76+Poussee)/m*COS(M76)-U76/m*SIN(M76))</f>
        <v>26.4546947697135</v>
      </c>
      <c r="E77" s="398" t="n">
        <f aca="false">IF(AND(L76&lt;L_rampe,Poussee&lt;Poids*SIN(M76)),0,(-W76+Poussee)/m*SIN(M76)+U76/m*COS(M76)-Poids/m)</f>
        <v>129.226996452872</v>
      </c>
      <c r="F77" s="397" t="n">
        <f aca="false">SQRT(acc_x^2+acc_z^2)</f>
        <v>131.907041084202</v>
      </c>
      <c r="G77" s="396" t="n">
        <f aca="false">G76+acc_x*pas</f>
        <v>17.678139573067</v>
      </c>
      <c r="H77" s="398" t="n">
        <f aca="false">H76+acc_z*pas</f>
        <v>92.8122681032761</v>
      </c>
      <c r="I77" s="397" t="n">
        <f aca="false">SQRT(vit_x^2+vit_z^2)</f>
        <v>94.4808643548483</v>
      </c>
      <c r="J77" s="396" t="n">
        <f aca="false">J76+0.5*(vit_x+G76)*pas*(K76&gt;=0)</f>
        <v>6.10192041694473</v>
      </c>
      <c r="K77" s="398" t="n">
        <f aca="false">K76+0.5*(vit_z+H76)*pas</f>
        <v>33.0868165539511</v>
      </c>
      <c r="L77" s="397" t="n">
        <f aca="false">SQRT(pos_x^2+pos_z^2)</f>
        <v>33.6447746678372</v>
      </c>
      <c r="M77" s="396" t="n">
        <f aca="false">IF(AND(L76&gt;L_rampe,G77&gt;0),ATAN2(G77,H77),$M$4)</f>
        <v>1.3825788523342</v>
      </c>
      <c r="N77" s="397" t="n">
        <f aca="false">DEGREES(Beta)</f>
        <v>79.2159330827908</v>
      </c>
      <c r="P77" s="399" t="n">
        <f aca="false">MATCH(t-pas/2-T_ini,CdP_t)</f>
        <v>7</v>
      </c>
      <c r="Q77" s="397" t="n">
        <f aca="false">(INDEX(CdP,2,i_P+1)-INDEX(CdP,2,i_P+0))/(INDEX(CdP,1,i_P+1)-INDEX(CdP,1,i_P+0))*(t-pas/2-T_ini-INDEX(CdP,1,i_P+0))+INDEX(CdP,2,i_P+0)</f>
        <v>1309.200625</v>
      </c>
      <c r="R77" s="396" t="n">
        <f aca="false">Poussee/(g*ISP)</f>
        <v>0.643382750790707</v>
      </c>
      <c r="S77" s="398" t="n">
        <f aca="false">S76-Débit*pas</f>
        <v>8.96848109612825</v>
      </c>
      <c r="T77" s="397" t="n">
        <f aca="false">m*g</f>
        <v>87.9807995530181</v>
      </c>
      <c r="U77" s="400" t="n">
        <f aca="false">IF(pos_xz&lt;L_rampe,Poids*COS(Beta),0)</f>
        <v>0</v>
      </c>
      <c r="V77" s="396" t="n">
        <f aca="false">Rho_moyen*(20000-Alt_rampe-pos_z)/(20000+Alt_rampe+pos_z)</f>
        <v>1.22095355916442</v>
      </c>
      <c r="W77" s="397" t="n">
        <f aca="false">1/2*Rho*Sref*Cx*vit_xz^2</f>
        <v>41.0123266313097</v>
      </c>
      <c r="Y77" s="401" t="str">
        <f aca="false">IF(AND(pos_z&lt;=0,K76&gt;0),"Impact balistique","") &amp; IF(AND(H78&lt;0,vit_z&gt;=0),"Apogée","") &amp; IF(AND(Poussee=0,Q76&gt;0),"Fin de propulsion","") &amp; IF(AND(L78&gt;L_rampe,pos_xz&lt;=L_rampe),"Sortie de rampe","")</f>
        <v/>
      </c>
      <c r="Z77" s="402" t="str">
        <f aca="false">IF(ABS(t-T_para)&lt;pas/2,"Para","")</f>
        <v/>
      </c>
      <c r="AA77" s="403" t="str">
        <f aca="false">IF(ABS(t-T_satellite)&lt;pas/2,"Satellite","")</f>
        <v/>
      </c>
      <c r="AC77" s="399" t="e">
        <f aca="false">IF(ABS(t-ROUND(t,0))&lt;0.001,t,NA())</f>
        <v>#N/A</v>
      </c>
      <c r="AD77" s="404" t="e">
        <f aca="false">IF(ABS(t-ROUND(t,0))&lt;0.001,pos_x,NA())</f>
        <v>#N/A</v>
      </c>
      <c r="AE77" s="405" t="n">
        <f aca="false">IF(t&lt;T_para, pos_z, NA())</f>
        <v>33.0868165539511</v>
      </c>
      <c r="AG77" s="396" t="n">
        <f aca="false">IF(AND(L76&lt;L_rampe,Poussee&lt;Poids*SIN(M76)),0,(-W76+Poussee)/m-Poids*SIN(M76)/m)</f>
        <v>131.894295465368</v>
      </c>
      <c r="AH77" s="397" t="n">
        <f aca="false">IF(AND(L76&lt;L_rampe,Poussee&lt;Poids*SIN(M76)), g*SIN(M76), (-W76+Poussee)/m)</f>
        <v>141.531400254483</v>
      </c>
    </row>
    <row r="78" customFormat="false" ht="12.75" hidden="false" customHeight="false" outlineLevel="0" collapsed="false">
      <c r="A78" s="396" t="n">
        <f aca="false">IF(B77+0.01&lt;=T_ini+ROUNDUP(Temps_fin_propu,0), 0.01, IF(K77&gt;0, 0.1, 0.0001))</f>
        <v>0.01</v>
      </c>
      <c r="B78" s="397" t="n">
        <f aca="false">B77+pas</f>
        <v>0.74</v>
      </c>
      <c r="D78" s="396" t="n">
        <f aca="false">IF(AND(L77&lt;L_rampe,Poussee&lt;Poids*SIN(M77)),0,(-W77+Poussee)/m*COS(M77)-U77/m*SIN(M77))</f>
        <v>26.4627623728241</v>
      </c>
      <c r="E78" s="398" t="n">
        <f aca="false">IF(AND(L77&lt;L_rampe,Poussee&lt;Poids*SIN(M77)),0,(-W77+Poussee)/m*SIN(M77)+U77/m*COS(M77)-Poids/m)</f>
        <v>129.12254920567</v>
      </c>
      <c r="F78" s="397" t="n">
        <f aca="false">SQRT(acc_x^2+acc_z^2)</f>
        <v>131.80633712296</v>
      </c>
      <c r="G78" s="396" t="n">
        <f aca="false">G77+acc_x*pas</f>
        <v>17.9427671967952</v>
      </c>
      <c r="H78" s="398" t="n">
        <f aca="false">H77+acc_z*pas</f>
        <v>94.1034935953328</v>
      </c>
      <c r="I78" s="397" t="n">
        <f aca="false">SQRT(vit_x^2+vit_z^2)</f>
        <v>95.7988016706119</v>
      </c>
      <c r="J78" s="396" t="n">
        <f aca="false">J77+0.5*(vit_x+G77)*pas*(K77&gt;=0)</f>
        <v>6.28002495079404</v>
      </c>
      <c r="K78" s="398" t="n">
        <f aca="false">K77+0.5*(vit_z+H77)*pas</f>
        <v>34.0213953624441</v>
      </c>
      <c r="L78" s="397" t="n">
        <f aca="false">SQRT(pos_x^2+pos_z^2)</f>
        <v>34.5961566621255</v>
      </c>
      <c r="M78" s="396" t="n">
        <f aca="false">IF(AND(L77&gt;L_rampe,G78&gt;0),ATAN2(G78,H78),$M$4)</f>
        <v>1.38238724963005</v>
      </c>
      <c r="N78" s="397" t="n">
        <f aca="false">DEGREES(Beta)</f>
        <v>79.2049550564999</v>
      </c>
      <c r="P78" s="399" t="n">
        <f aca="false">MATCH(t-pas/2-T_ini,CdP_t)</f>
        <v>7</v>
      </c>
      <c r="Q78" s="397" t="n">
        <f aca="false">(INDEX(CdP,2,i_P+1)-INDEX(CdP,2,i_P+0))/(INDEX(CdP,1,i_P+1)-INDEX(CdP,1,i_P+0))*(t-pas/2-T_ini-INDEX(CdP,1,i_P+0))+INDEX(CdP,2,i_P+0)</f>
        <v>1308.517875</v>
      </c>
      <c r="R78" s="396" t="n">
        <f aca="false">Poussee/(g*ISP)</f>
        <v>0.643047225765196</v>
      </c>
      <c r="S78" s="398" t="n">
        <f aca="false">S77-Débit*pas</f>
        <v>8.9620506238706</v>
      </c>
      <c r="T78" s="397" t="n">
        <f aca="false">m*g</f>
        <v>87.9177166201706</v>
      </c>
      <c r="U78" s="400" t="n">
        <f aca="false">IF(pos_xz&lt;L_rampe,Poids*COS(Beta),0)</f>
        <v>0</v>
      </c>
      <c r="V78" s="396" t="n">
        <f aca="false">Rho_moyen*(20000-Alt_rampe-pos_z)/(20000+Alt_rampe+pos_z)</f>
        <v>1.22083945644296</v>
      </c>
      <c r="W78" s="397" t="n">
        <f aca="false">1/2*Rho*Sref*Cx*vit_xz^2</f>
        <v>42.1605489426406</v>
      </c>
      <c r="Y78" s="401" t="str">
        <f aca="false">IF(AND(pos_z&lt;=0,K77&gt;0),"Impact balistique","") &amp; IF(AND(H79&lt;0,vit_z&gt;=0),"Apogée","") &amp; IF(AND(Poussee=0,Q77&gt;0),"Fin de propulsion","") &amp; IF(AND(L79&gt;L_rampe,pos_xz&lt;=L_rampe),"Sortie de rampe","")</f>
        <v/>
      </c>
      <c r="Z78" s="402" t="str">
        <f aca="false">IF(ABS(t-T_para)&lt;pas/2,"Para","")</f>
        <v/>
      </c>
      <c r="AA78" s="403" t="str">
        <f aca="false">IF(ABS(t-T_satellite)&lt;pas/2,"Satellite","")</f>
        <v/>
      </c>
      <c r="AC78" s="399" t="e">
        <f aca="false">IF(ABS(t-ROUND(t,0))&lt;0.001,t,NA())</f>
        <v>#N/A</v>
      </c>
      <c r="AD78" s="404" t="e">
        <f aca="false">IF(ABS(t-ROUND(t,0))&lt;0.001,pos_x,NA())</f>
        <v>#N/A</v>
      </c>
      <c r="AE78" s="405" t="n">
        <f aca="false">IF(t&lt;T_para, pos_z, NA())</f>
        <v>34.0213953624441</v>
      </c>
      <c r="AG78" s="396" t="n">
        <f aca="false">IF(AND(L77&lt;L_rampe,Poussee&lt;Poids*SIN(M77)),0,(-W77+Poussee)/m-Poids*SIN(M77)/m)</f>
        <v>131.793555730017</v>
      </c>
      <c r="AH78" s="397" t="n">
        <f aca="false">IF(AND(L77&lt;L_rampe,Poussee&lt;Poids*SIN(M77)), g*SIN(M77), (-W77+Poussee)/m)</f>
        <v>141.430304465438</v>
      </c>
    </row>
    <row r="79" customFormat="false" ht="12.75" hidden="false" customHeight="false" outlineLevel="0" collapsed="false">
      <c r="A79" s="396" t="n">
        <f aca="false">IF(B78+0.01&lt;=T_ini+ROUNDUP(Temps_fin_propu,0), 0.01, IF(K78&gt;0, 0.1, 0.0001))</f>
        <v>0.01</v>
      </c>
      <c r="B79" s="397" t="n">
        <f aca="false">B78+pas</f>
        <v>0.75</v>
      </c>
      <c r="D79" s="396" t="n">
        <f aca="false">IF(AND(L78&lt;L_rampe,Poussee&lt;Poids*SIN(M78)),0,(-W78+Poussee)/m*COS(M78)-U78/m*SIN(M78))</f>
        <v>26.4700995416712</v>
      </c>
      <c r="E79" s="398" t="n">
        <f aca="false">IF(AND(L78&lt;L_rampe,Poussee&lt;Poids*SIN(M78)),0,(-W78+Poussee)/m*SIN(M78)+U78/m*COS(M78)-Poids/m)</f>
        <v>129.016347985632</v>
      </c>
      <c r="F79" s="397" t="n">
        <f aca="false">SQRT(acc_x^2+acc_z^2)</f>
        <v>131.703774499047</v>
      </c>
      <c r="G79" s="396" t="n">
        <f aca="false">G78+acc_x*pas</f>
        <v>18.2074681922119</v>
      </c>
      <c r="H79" s="398" t="n">
        <f aca="false">H78+acc_z*pas</f>
        <v>95.3936570751891</v>
      </c>
      <c r="I79" s="397" t="n">
        <f aca="false">SQRT(vit_x^2+vit_z^2)</f>
        <v>97.1157129827568</v>
      </c>
      <c r="J79" s="396" t="n">
        <f aca="false">J78+0.5*(vit_x+G78)*pas*(K78&gt;=0)</f>
        <v>6.46077612773908</v>
      </c>
      <c r="K79" s="398" t="n">
        <f aca="false">K78+0.5*(vit_z+H78)*pas</f>
        <v>34.9688811157967</v>
      </c>
      <c r="L79" s="397" t="n">
        <f aca="false">SQRT(pos_x^2+pos_z^2)</f>
        <v>35.5607125162515</v>
      </c>
      <c r="M79" s="396" t="n">
        <f aca="false">IF(AND(L78&gt;L_rampe,G79&gt;0),ATAN2(G79,H79),$M$4)</f>
        <v>1.38219805497945</v>
      </c>
      <c r="N79" s="397" t="n">
        <f aca="false">DEGREES(Beta)</f>
        <v>79.194115001514</v>
      </c>
      <c r="P79" s="399" t="n">
        <f aca="false">MATCH(t-pas/2-T_ini,CdP_t)</f>
        <v>7</v>
      </c>
      <c r="Q79" s="397" t="n">
        <f aca="false">(INDEX(CdP,2,i_P+1)-INDEX(CdP,2,i_P+0))/(INDEX(CdP,1,i_P+1)-INDEX(CdP,1,i_P+0))*(t-pas/2-T_ini-INDEX(CdP,1,i_P+0))+INDEX(CdP,2,i_P+0)</f>
        <v>1307.835125</v>
      </c>
      <c r="R79" s="396" t="n">
        <f aca="false">Poussee/(g*ISP)</f>
        <v>0.642711700739685</v>
      </c>
      <c r="S79" s="398" t="n">
        <f aca="false">S78-Débit*pas</f>
        <v>8.9556235068632</v>
      </c>
      <c r="T79" s="397" t="n">
        <f aca="false">m*g</f>
        <v>87.854666602328</v>
      </c>
      <c r="U79" s="400" t="n">
        <f aca="false">IF(pos_xz&lt;L_rampe,Poids*COS(Beta),0)</f>
        <v>0</v>
      </c>
      <c r="V79" s="396" t="n">
        <f aca="false">Rho_moyen*(20000-Alt_rampe-pos_z)/(20000+Alt_rampe+pos_z)</f>
        <v>1.22072378877941</v>
      </c>
      <c r="W79" s="397" t="n">
        <f aca="false">1/2*Rho*Sref*Cx*vit_xz^2</f>
        <v>43.3235424610433</v>
      </c>
      <c r="Y79" s="401" t="str">
        <f aca="false">IF(AND(pos_z&lt;=0,K78&gt;0),"Impact balistique","") &amp; IF(AND(H80&lt;0,vit_z&gt;=0),"Apogée","") &amp; IF(AND(Poussee=0,Q78&gt;0),"Fin de propulsion","") &amp; IF(AND(L80&gt;L_rampe,pos_xz&lt;=L_rampe),"Sortie de rampe","")</f>
        <v/>
      </c>
      <c r="Z79" s="402" t="str">
        <f aca="false">IF(ABS(t-T_para)&lt;pas/2,"Para","")</f>
        <v/>
      </c>
      <c r="AA79" s="403" t="str">
        <f aca="false">IF(ABS(t-T_satellite)&lt;pas/2,"Satellite","")</f>
        <v/>
      </c>
      <c r="AC79" s="399" t="e">
        <f aca="false">IF(ABS(t-ROUND(t,0))&lt;0.001,t,NA())</f>
        <v>#N/A</v>
      </c>
      <c r="AD79" s="404" t="e">
        <f aca="false">IF(ABS(t-ROUND(t,0))&lt;0.001,pos_x,NA())</f>
        <v>#N/A</v>
      </c>
      <c r="AE79" s="405" t="n">
        <f aca="false">IF(t&lt;T_para, pos_z, NA())</f>
        <v>34.9688811157967</v>
      </c>
      <c r="AG79" s="396" t="n">
        <f aca="false">IF(AND(L78&lt;L_rampe,Poussee&lt;Poids*SIN(M78)),0,(-W78+Poussee)/m-Poids*SIN(M78)/m)</f>
        <v>131.690957403505</v>
      </c>
      <c r="AH79" s="397" t="n">
        <f aca="false">IF(AND(L78&lt;L_rampe,Poussee&lt;Poids*SIN(M78)), g*SIN(M78), (-W78+Poussee)/m)</f>
        <v>141.327354269348</v>
      </c>
    </row>
    <row r="80" customFormat="false" ht="12.75" hidden="false" customHeight="false" outlineLevel="0" collapsed="false">
      <c r="A80" s="396" t="n">
        <f aca="false">IF(B79+0.01&lt;=T_ini+ROUNDUP(Temps_fin_propu,0), 0.01, IF(K79&gt;0, 0.1, 0.0001))</f>
        <v>0.01</v>
      </c>
      <c r="B80" s="397" t="n">
        <f aca="false">B79+pas</f>
        <v>0.760000000000001</v>
      </c>
      <c r="D80" s="396" t="n">
        <f aca="false">IF(AND(L79&lt;L_rampe,Poussee&lt;Poids*SIN(M79)),0,(-W79+Poussee)/m*COS(M79)-U79/m*SIN(M79))</f>
        <v>26.476715838842</v>
      </c>
      <c r="E80" s="398" t="n">
        <f aca="false">IF(AND(L79&lt;L_rampe,Poussee&lt;Poids*SIN(M79)),0,(-W79+Poussee)/m*SIN(M79)+U79/m*COS(M79)-Poids/m)</f>
        <v>128.90839426242</v>
      </c>
      <c r="F80" s="397" t="n">
        <f aca="false">SQRT(acc_x^2+acc_z^2)</f>
        <v>131.599356354529</v>
      </c>
      <c r="G80" s="396" t="n">
        <f aca="false">G79+acc_x*pas</f>
        <v>18.4722353506004</v>
      </c>
      <c r="H80" s="398" t="n">
        <f aca="false">H79+acc_z*pas</f>
        <v>96.6827410178133</v>
      </c>
      <c r="I80" s="397" t="n">
        <f aca="false">SQRT(vit_x^2+vit_z^2)</f>
        <v>98.4315797372243</v>
      </c>
      <c r="J80" s="396" t="n">
        <f aca="false">J79+0.5*(vit_x+G79)*pas*(K79&gt;=0)</f>
        <v>6.64417464545314</v>
      </c>
      <c r="K80" s="398" t="n">
        <f aca="false">K79+0.5*(vit_z+H79)*pas</f>
        <v>35.9292631062617</v>
      </c>
      <c r="L80" s="397" t="n">
        <f aca="false">SQRT(pos_x^2+pos_z^2)</f>
        <v>36.5384318776581</v>
      </c>
      <c r="M80" s="396" t="n">
        <f aca="false">IF(AND(L79&gt;L_rampe,G80&gt;0),ATAN2(G80,H80),$M$4)</f>
        <v>1.38201120432999</v>
      </c>
      <c r="N80" s="397" t="n">
        <f aca="false">DEGREES(Beta)</f>
        <v>79.1834092479006</v>
      </c>
      <c r="P80" s="399" t="n">
        <f aca="false">MATCH(t-pas/2-T_ini,CdP_t)</f>
        <v>7</v>
      </c>
      <c r="Q80" s="397" t="n">
        <f aca="false">(INDEX(CdP,2,i_P+1)-INDEX(CdP,2,i_P+0))/(INDEX(CdP,1,i_P+1)-INDEX(CdP,1,i_P+0))*(t-pas/2-T_ini-INDEX(CdP,1,i_P+0))+INDEX(CdP,2,i_P+0)</f>
        <v>1307.152375</v>
      </c>
      <c r="R80" s="396" t="n">
        <f aca="false">Poussee/(g*ISP)</f>
        <v>0.642376175714174</v>
      </c>
      <c r="S80" s="398" t="n">
        <f aca="false">S79-Débit*pas</f>
        <v>8.94919974510606</v>
      </c>
      <c r="T80" s="397" t="n">
        <f aca="false">m*g</f>
        <v>87.7916494994905</v>
      </c>
      <c r="U80" s="400" t="n">
        <f aca="false">IF(pos_xz&lt;L_rampe,Poids*COS(Beta),0)</f>
        <v>0</v>
      </c>
      <c r="V80" s="396" t="n">
        <f aca="false">Rho_moyen*(20000-Alt_rampe-pos_z)/(20000+Alt_rampe+pos_z)</f>
        <v>1.22060655792629</v>
      </c>
      <c r="W80" s="397" t="n">
        <f aca="false">1/2*Rho*Sref*Cx*vit_xz^2</f>
        <v>44.5012444739515</v>
      </c>
      <c r="Y80" s="401" t="str">
        <f aca="false">IF(AND(pos_z&lt;=0,K79&gt;0),"Impact balistique","") &amp; IF(AND(H81&lt;0,vit_z&gt;=0),"Apogée","") &amp; IF(AND(Poussee=0,Q79&gt;0),"Fin de propulsion","") &amp; IF(AND(L81&gt;L_rampe,pos_xz&lt;=L_rampe),"Sortie de rampe","")</f>
        <v/>
      </c>
      <c r="Z80" s="402" t="str">
        <f aca="false">IF(ABS(t-T_para)&lt;pas/2,"Para","")</f>
        <v/>
      </c>
      <c r="AA80" s="403" t="str">
        <f aca="false">IF(ABS(t-T_satellite)&lt;pas/2,"Satellite","")</f>
        <v/>
      </c>
      <c r="AC80" s="399" t="e">
        <f aca="false">IF(ABS(t-ROUND(t,0))&lt;0.001,t,NA())</f>
        <v>#N/A</v>
      </c>
      <c r="AD80" s="404" t="e">
        <f aca="false">IF(ABS(t-ROUND(t,0))&lt;0.001,pos_x,NA())</f>
        <v>#N/A</v>
      </c>
      <c r="AE80" s="405" t="n">
        <f aca="false">IF(t&lt;T_para, pos_z, NA())</f>
        <v>35.9292631062617</v>
      </c>
      <c r="AG80" s="396" t="n">
        <f aca="false">IF(AND(L79&lt;L_rampe,Poussee&lt;Poids*SIN(M79)),0,(-W79+Poussee)/m-Poids*SIN(M79)/m)</f>
        <v>131.586503618848</v>
      </c>
      <c r="AH80" s="397" t="n">
        <f aca="false">IF(AND(L79&lt;L_rampe,Poussee&lt;Poids*SIN(M79)), g*SIN(M79), (-W79+Poussee)/m)</f>
        <v>141.222552690266</v>
      </c>
    </row>
    <row r="81" customFormat="false" ht="12.75" hidden="false" customHeight="false" outlineLevel="0" collapsed="false">
      <c r="A81" s="396" t="n">
        <f aca="false">IF(B80+0.01&lt;=T_ini+ROUNDUP(Temps_fin_propu,0), 0.01, IF(K80&gt;0, 0.1, 0.0001))</f>
        <v>0.01</v>
      </c>
      <c r="B81" s="397" t="n">
        <f aca="false">B80+pas</f>
        <v>0.770000000000001</v>
      </c>
      <c r="D81" s="396" t="n">
        <f aca="false">IF(AND(L80&lt;L_rampe,Poussee&lt;Poids*SIN(M80)),0,(-W80+Poussee)/m*COS(M80)-U80/m*SIN(M80))</f>
        <v>26.4826204808506</v>
      </c>
      <c r="E81" s="398" t="n">
        <f aca="false">IF(AND(L80&lt;L_rampe,Poussee&lt;Poids*SIN(M80)),0,(-W80+Poussee)/m*SIN(M80)+U80/m*COS(M80)-Poids/m)</f>
        <v>128.798689680857</v>
      </c>
      <c r="F81" s="397" t="n">
        <f aca="false">SQRT(acc_x^2+acc_z^2)</f>
        <v>131.493085943856</v>
      </c>
      <c r="G81" s="396" t="n">
        <f aca="false">G80+acc_x*pas</f>
        <v>18.7370615554089</v>
      </c>
      <c r="H81" s="398" t="n">
        <f aca="false">H80+acc_z*pas</f>
        <v>97.9707279146219</v>
      </c>
      <c r="I81" s="397" t="n">
        <f aca="false">SQRT(vit_x^2+vit_z^2)</f>
        <v>99.7463834123927</v>
      </c>
      <c r="J81" s="396" t="n">
        <f aca="false">J80+0.5*(vit_x+G80)*pas*(K80&gt;=0)</f>
        <v>6.83022112998319</v>
      </c>
      <c r="K81" s="398" t="n">
        <f aca="false">K80+0.5*(vit_z+H80)*pas</f>
        <v>36.9025304509239</v>
      </c>
      <c r="L81" s="397" t="n">
        <f aca="false">SQRT(pos_x^2+pos_z^2)</f>
        <v>37.5293042083894</v>
      </c>
      <c r="M81" s="396" t="n">
        <f aca="false">IF(AND(L80&gt;L_rampe,G81&gt;0),ATAN2(G81,H81),$M$4)</f>
        <v>1.38182663614147</v>
      </c>
      <c r="N81" s="397" t="n">
        <f aca="false">DEGREES(Beta)</f>
        <v>79.1728342696659</v>
      </c>
      <c r="P81" s="399" t="n">
        <f aca="false">MATCH(t-pas/2-T_ini,CdP_t)</f>
        <v>7</v>
      </c>
      <c r="Q81" s="397" t="n">
        <f aca="false">(INDEX(CdP,2,i_P+1)-INDEX(CdP,2,i_P+0))/(INDEX(CdP,1,i_P+1)-INDEX(CdP,1,i_P+0))*(t-pas/2-T_ini-INDEX(CdP,1,i_P+0))+INDEX(CdP,2,i_P+0)</f>
        <v>1306.469625</v>
      </c>
      <c r="R81" s="396" t="n">
        <f aca="false">Poussee/(g*ISP)</f>
        <v>0.642040650688663</v>
      </c>
      <c r="S81" s="398" t="n">
        <f aca="false">S80-Débit*pas</f>
        <v>8.94277933859917</v>
      </c>
      <c r="T81" s="397" t="n">
        <f aca="false">m*g</f>
        <v>87.7286653116579</v>
      </c>
      <c r="U81" s="400" t="n">
        <f aca="false">IF(pos_xz&lt;L_rampe,Poids*COS(Beta),0)</f>
        <v>0</v>
      </c>
      <c r="V81" s="396" t="n">
        <f aca="false">Rho_moyen*(20000-Alt_rampe-pos_z)/(20000+Alt_rampe+pos_z)</f>
        <v>1.22048776566301</v>
      </c>
      <c r="W81" s="397" t="n">
        <f aca="false">1/2*Rho*Sref*Cx*vit_xz^2</f>
        <v>45.6935913444153</v>
      </c>
      <c r="Y81" s="401" t="str">
        <f aca="false">IF(AND(pos_z&lt;=0,K80&gt;0),"Impact balistique","") &amp; IF(AND(H82&lt;0,vit_z&gt;=0),"Apogée","") &amp; IF(AND(Poussee=0,Q80&gt;0),"Fin de propulsion","") &amp; IF(AND(L82&gt;L_rampe,pos_xz&lt;=L_rampe),"Sortie de rampe","")</f>
        <v/>
      </c>
      <c r="Z81" s="402" t="str">
        <f aca="false">IF(ABS(t-T_para)&lt;pas/2,"Para","")</f>
        <v/>
      </c>
      <c r="AA81" s="403" t="str">
        <f aca="false">IF(ABS(t-T_satellite)&lt;pas/2,"Satellite","")</f>
        <v/>
      </c>
      <c r="AC81" s="399" t="e">
        <f aca="false">IF(ABS(t-ROUND(t,0))&lt;0.001,t,NA())</f>
        <v>#N/A</v>
      </c>
      <c r="AD81" s="404" t="e">
        <f aca="false">IF(ABS(t-ROUND(t,0))&lt;0.001,pos_x,NA())</f>
        <v>#N/A</v>
      </c>
      <c r="AE81" s="405" t="n">
        <f aca="false">IF(t&lt;T_para, pos_z, NA())</f>
        <v>36.9025304509239</v>
      </c>
      <c r="AG81" s="396" t="n">
        <f aca="false">IF(AND(L80&lt;L_rampe,Poussee&lt;Poids*SIN(M80)),0,(-W80+Poussee)/m-Poids*SIN(M80)/m)</f>
        <v>131.480197621746</v>
      </c>
      <c r="AH81" s="397" t="n">
        <f aca="false">IF(AND(L80&lt;L_rampe,Poussee&lt;Poids*SIN(M80)), g*SIN(M80), (-W80+Poussee)/m)</f>
        <v>141.115902869155</v>
      </c>
    </row>
    <row r="82" customFormat="false" ht="12.75" hidden="false" customHeight="false" outlineLevel="0" collapsed="false">
      <c r="A82" s="396" t="n">
        <f aca="false">IF(B81+0.01&lt;=T_ini+ROUNDUP(Temps_fin_propu,0), 0.01, IF(K81&gt;0, 0.1, 0.0001))</f>
        <v>0.01</v>
      </c>
      <c r="B82" s="397" t="n">
        <f aca="false">B81+pas</f>
        <v>0.780000000000001</v>
      </c>
      <c r="D82" s="396" t="n">
        <f aca="false">IF(AND(L81&lt;L_rampe,Poussee&lt;Poids*SIN(M81)),0,(-W81+Poussee)/m*COS(M81)-U81/m*SIN(M81))</f>
        <v>26.4878223577608</v>
      </c>
      <c r="E82" s="398" t="n">
        <f aca="false">IF(AND(L81&lt;L_rampe,Poussee&lt;Poids*SIN(M81)),0,(-W81+Poussee)/m*SIN(M81)+U81/m*COS(M81)-Poids/m)</f>
        <v>128.687236057482</v>
      </c>
      <c r="F82" s="397" t="n">
        <f aca="false">SQRT(acc_x^2+acc_z^2)</f>
        <v>131.384966633821</v>
      </c>
      <c r="G82" s="396" t="n">
        <f aca="false">G81+acc_x*pas</f>
        <v>19.0019397789865</v>
      </c>
      <c r="H82" s="398" t="n">
        <f aca="false">H81+acc_z*pas</f>
        <v>99.2576002751967</v>
      </c>
      <c r="I82" s="397" t="n">
        <f aca="false">SQRT(vit_x^2+vit_z^2)</f>
        <v>101.060105520205</v>
      </c>
      <c r="J82" s="396" t="n">
        <f aca="false">J81+0.5*(vit_x+G81)*pas*(K81&gt;=0)</f>
        <v>7.01891613665516</v>
      </c>
      <c r="K82" s="398" t="n">
        <f aca="false">K81+0.5*(vit_z+H81)*pas</f>
        <v>37.888672091873</v>
      </c>
      <c r="L82" s="397" t="n">
        <f aca="false">SQRT(pos_x^2+pos_z^2)</f>
        <v>38.5333187854209</v>
      </c>
      <c r="M82" s="396" t="n">
        <f aca="false">IF(AND(L81&gt;L_rampe,G82&gt;0),ATAN2(G82,H82),$M$4)</f>
        <v>1.38164429125539</v>
      </c>
      <c r="N82" s="397" t="n">
        <f aca="false">DEGREES(Beta)</f>
        <v>79.1623866772776</v>
      </c>
      <c r="P82" s="399" t="n">
        <f aca="false">MATCH(t-pas/2-T_ini,CdP_t)</f>
        <v>7</v>
      </c>
      <c r="Q82" s="397" t="n">
        <f aca="false">(INDEX(CdP,2,i_P+1)-INDEX(CdP,2,i_P+0))/(INDEX(CdP,1,i_P+1)-INDEX(CdP,1,i_P+0))*(t-pas/2-T_ini-INDEX(CdP,1,i_P+0))+INDEX(CdP,2,i_P+0)</f>
        <v>1305.786875</v>
      </c>
      <c r="R82" s="396" t="n">
        <f aca="false">Poussee/(g*ISP)</f>
        <v>0.641705125663151</v>
      </c>
      <c r="S82" s="398" t="n">
        <f aca="false">S81-Débit*pas</f>
        <v>8.93636228734254</v>
      </c>
      <c r="T82" s="397" t="n">
        <f aca="false">m*g</f>
        <v>87.6657140388303</v>
      </c>
      <c r="U82" s="400" t="n">
        <f aca="false">IF(pos_xz&lt;L_rampe,Poids*COS(Beta),0)</f>
        <v>0</v>
      </c>
      <c r="V82" s="396" t="n">
        <f aca="false">Rho_moyen*(20000-Alt_rampe-pos_z)/(20000+Alt_rampe+pos_z)</f>
        <v>1.22036741379573</v>
      </c>
      <c r="W82" s="397" t="n">
        <f aca="false">1/2*Rho*Sref*Cx*vit_xz^2</f>
        <v>46.9005185173499</v>
      </c>
      <c r="Y82" s="401" t="str">
        <f aca="false">IF(AND(pos_z&lt;=0,K81&gt;0),"Impact balistique","") &amp; IF(AND(H83&lt;0,vit_z&gt;=0),"Apogée","") &amp; IF(AND(Poussee=0,Q81&gt;0),"Fin de propulsion","") &amp; IF(AND(L83&gt;L_rampe,pos_xz&lt;=L_rampe),"Sortie de rampe","")</f>
        <v/>
      </c>
      <c r="Z82" s="402" t="str">
        <f aca="false">IF(ABS(t-T_para)&lt;pas/2,"Para","")</f>
        <v/>
      </c>
      <c r="AA82" s="403" t="str">
        <f aca="false">IF(ABS(t-T_satellite)&lt;pas/2,"Satellite","")</f>
        <v/>
      </c>
      <c r="AC82" s="399" t="e">
        <f aca="false">IF(ABS(t-ROUND(t,0))&lt;0.001,t,NA())</f>
        <v>#N/A</v>
      </c>
      <c r="AD82" s="404" t="e">
        <f aca="false">IF(ABS(t-ROUND(t,0))&lt;0.001,pos_x,NA())</f>
        <v>#N/A</v>
      </c>
      <c r="AE82" s="405" t="n">
        <f aca="false">IF(t&lt;T_para, pos_z, NA())</f>
        <v>37.888672091873</v>
      </c>
      <c r="AG82" s="396" t="n">
        <f aca="false">IF(AND(L81&lt;L_rampe,Poussee&lt;Poids*SIN(M81)),0,(-W81+Poussee)/m-Poids*SIN(M81)/m)</f>
        <v>131.372042770528</v>
      </c>
      <c r="AH82" s="397" t="n">
        <f aca="false">IF(AND(L81&lt;L_rampe,Poussee&lt;Poids*SIN(M81)), g*SIN(M81), (-W81+Poussee)/m)</f>
        <v>141.007408063612</v>
      </c>
    </row>
    <row r="83" customFormat="false" ht="12.75" hidden="false" customHeight="false" outlineLevel="0" collapsed="false">
      <c r="A83" s="396" t="n">
        <f aca="false">IF(B82+0.01&lt;=T_ini+ROUNDUP(Temps_fin_propu,0), 0.01, IF(K82&gt;0, 0.1, 0.0001))</f>
        <v>0.01</v>
      </c>
      <c r="B83" s="397" t="n">
        <f aca="false">B82+pas</f>
        <v>0.790000000000001</v>
      </c>
      <c r="D83" s="396" t="n">
        <f aca="false">IF(AND(L82&lt;L_rampe,Poussee&lt;Poids*SIN(M82)),0,(-W82+Poussee)/m*COS(M82)-U82/m*SIN(M82))</f>
        <v>26.4923300515205</v>
      </c>
      <c r="E83" s="398" t="n">
        <f aca="false">IF(AND(L82&lt;L_rampe,Poussee&lt;Poids*SIN(M82)),0,(-W82+Poussee)/m*SIN(M82)+U82/m*COS(M82)-Poids/m)</f>
        <v>128.57403537729</v>
      </c>
      <c r="F83" s="397" t="n">
        <f aca="false">SQRT(acc_x^2+acc_z^2)</f>
        <v>131.275001903483</v>
      </c>
      <c r="G83" s="396" t="n">
        <f aca="false">G82+acc_x*pas</f>
        <v>19.2668630795017</v>
      </c>
      <c r="H83" s="398" t="n">
        <f aca="false">H82+acc_z*pas</f>
        <v>100.54334062897</v>
      </c>
      <c r="I83" s="397" t="n">
        <f aca="false">SQRT(vit_x^2+vit_z^2)</f>
        <v>102.372727607294</v>
      </c>
      <c r="J83" s="396" t="n">
        <f aca="false">J82+0.5*(vit_x+G82)*pas*(K82&gt;=0)</f>
        <v>7.2102601509476</v>
      </c>
      <c r="K83" s="398" t="n">
        <f aca="false">K82+0.5*(vit_z+H82)*pas</f>
        <v>38.8876767963938</v>
      </c>
      <c r="L83" s="397" t="n">
        <f aca="false">SQRT(pos_x^2+pos_z^2)</f>
        <v>39.550464701001</v>
      </c>
      <c r="M83" s="396" t="n">
        <f aca="false">IF(AND(L82&gt;L_rampe,G83&gt;0),ATAN2(G83,H83),$M$4)</f>
        <v>1.38146411277283</v>
      </c>
      <c r="N83" s="397" t="n">
        <f aca="false">DEGREES(Beta)</f>
        <v>79.1520632106679</v>
      </c>
      <c r="P83" s="399" t="n">
        <f aca="false">MATCH(t-pas/2-T_ini,CdP_t)</f>
        <v>7</v>
      </c>
      <c r="Q83" s="397" t="n">
        <f aca="false">(INDEX(CdP,2,i_P+1)-INDEX(CdP,2,i_P+0))/(INDEX(CdP,1,i_P+1)-INDEX(CdP,1,i_P+0))*(t-pas/2-T_ini-INDEX(CdP,1,i_P+0))+INDEX(CdP,2,i_P+0)</f>
        <v>1305.104125</v>
      </c>
      <c r="R83" s="396" t="n">
        <f aca="false">Poussee/(g*ISP)</f>
        <v>0.64136960063764</v>
      </c>
      <c r="S83" s="398" t="n">
        <f aca="false">S82-Débit*pas</f>
        <v>8.92994859133616</v>
      </c>
      <c r="T83" s="397" t="n">
        <f aca="false">m*g</f>
        <v>87.6027956810078</v>
      </c>
      <c r="U83" s="400" t="n">
        <f aca="false">IF(pos_xz&lt;L_rampe,Poids*COS(Beta),0)</f>
        <v>0</v>
      </c>
      <c r="V83" s="396" t="n">
        <f aca="false">Rho_moyen*(20000-Alt_rampe-pos_z)/(20000+Alt_rampe+pos_z)</f>
        <v>1.22024550415733</v>
      </c>
      <c r="W83" s="397" t="n">
        <f aca="false">1/2*Rho*Sref*Cx*vit_xz^2</f>
        <v>48.1219605259091</v>
      </c>
      <c r="Y83" s="401" t="str">
        <f aca="false">IF(AND(pos_z&lt;=0,K82&gt;0),"Impact balistique","") &amp; IF(AND(H84&lt;0,vit_z&gt;=0),"Apogée","") &amp; IF(AND(Poussee=0,Q82&gt;0),"Fin de propulsion","") &amp; IF(AND(L84&gt;L_rampe,pos_xz&lt;=L_rampe),"Sortie de rampe","")</f>
        <v/>
      </c>
      <c r="Z83" s="402" t="str">
        <f aca="false">IF(ABS(t-T_para)&lt;pas/2,"Para","")</f>
        <v/>
      </c>
      <c r="AA83" s="403" t="str">
        <f aca="false">IF(ABS(t-T_satellite)&lt;pas/2,"Satellite","")</f>
        <v/>
      </c>
      <c r="AC83" s="399" t="e">
        <f aca="false">IF(ABS(t-ROUND(t,0))&lt;0.001,t,NA())</f>
        <v>#N/A</v>
      </c>
      <c r="AD83" s="404" t="e">
        <f aca="false">IF(ABS(t-ROUND(t,0))&lt;0.001,pos_x,NA())</f>
        <v>#N/A</v>
      </c>
      <c r="AE83" s="405" t="n">
        <f aca="false">IF(t&lt;T_para, pos_z, NA())</f>
        <v>38.8876767963938</v>
      </c>
      <c r="AG83" s="396" t="n">
        <f aca="false">IF(AND(L82&lt;L_rampe,Poussee&lt;Poids*SIN(M82)),0,(-W82+Poussee)/m-Poids*SIN(M82)/m)</f>
        <v>131.262042536062</v>
      </c>
      <c r="AH83" s="397" t="n">
        <f aca="false">IF(AND(L82&lt;L_rampe,Poussee&lt;Poids*SIN(M82)), g*SIN(M82), (-W82+Poussee)/m)</f>
        <v>140.897071647575</v>
      </c>
    </row>
    <row r="84" customFormat="false" ht="12.75" hidden="false" customHeight="false" outlineLevel="0" collapsed="false">
      <c r="A84" s="396" t="n">
        <f aca="false">IF(B83+0.01&lt;=T_ini+ROUNDUP(Temps_fin_propu,0), 0.01, IF(K83&gt;0, 0.1, 0.0001))</f>
        <v>0.01</v>
      </c>
      <c r="B84" s="397" t="n">
        <f aca="false">B83+pas</f>
        <v>0.800000000000001</v>
      </c>
      <c r="D84" s="396" t="n">
        <f aca="false">IF(AND(L83&lt;L_rampe,Poussee&lt;Poids*SIN(M83)),0,(-W83+Poussee)/m*COS(M83)-U83/m*SIN(M83))</f>
        <v>26.4961518531067</v>
      </c>
      <c r="E84" s="398" t="n">
        <f aca="false">IF(AND(L83&lt;L_rampe,Poussee&lt;Poids*SIN(M83)),0,(-W83+Poussee)/m*SIN(M83)+U83/m*COS(M83)-Poids/m)</f>
        <v>128.459089790652</v>
      </c>
      <c r="F84" s="397" t="n">
        <f aca="false">SQRT(acc_x^2+acc_z^2)</f>
        <v>131.163195344066</v>
      </c>
      <c r="G84" s="396" t="n">
        <f aca="false">G83+acc_x*pas</f>
        <v>19.5318245980327</v>
      </c>
      <c r="H84" s="398" t="n">
        <f aca="false">H83+acc_z*pas</f>
        <v>101.827931526876</v>
      </c>
      <c r="I84" s="397" t="n">
        <f aca="false">SQRT(vit_x^2+vit_z^2)</f>
        <v>103.68423125611</v>
      </c>
      <c r="J84" s="396" t="n">
        <f aca="false">J83+0.5*(vit_x+G83)*pas*(K83&gt;=0)</f>
        <v>7.40425358933527</v>
      </c>
      <c r="K84" s="398" t="n">
        <f aca="false">K83+0.5*(vit_z+H83)*pas</f>
        <v>39.899533157173</v>
      </c>
      <c r="L84" s="397" t="n">
        <f aca="false">SQRT(pos_x^2+pos_z^2)</f>
        <v>40.5807308630036</v>
      </c>
      <c r="M84" s="396" t="n">
        <f aca="false">IF(AND(L83&gt;L_rampe,G84&gt;0),ATAN2(G84,H84),$M$4)</f>
        <v>1.38128604594011</v>
      </c>
      <c r="N84" s="397" t="n">
        <f aca="false">DEGREES(Beta)</f>
        <v>79.1418607326816</v>
      </c>
      <c r="P84" s="399" t="n">
        <f aca="false">MATCH(t-pas/2-T_ini,CdP_t)</f>
        <v>7</v>
      </c>
      <c r="Q84" s="397" t="n">
        <f aca="false">(INDEX(CdP,2,i_P+1)-INDEX(CdP,2,i_P+0))/(INDEX(CdP,1,i_P+1)-INDEX(CdP,1,i_P+0))*(t-pas/2-T_ini-INDEX(CdP,1,i_P+0))+INDEX(CdP,2,i_P+0)</f>
        <v>1304.421375</v>
      </c>
      <c r="R84" s="396" t="n">
        <f aca="false">Poussee/(g*ISP)</f>
        <v>0.641034075612129</v>
      </c>
      <c r="S84" s="398" t="n">
        <f aca="false">S83-Débit*pas</f>
        <v>8.92353825058004</v>
      </c>
      <c r="T84" s="397" t="n">
        <f aca="false">m*g</f>
        <v>87.5399102381902</v>
      </c>
      <c r="U84" s="400" t="n">
        <f aca="false">IF(pos_xz&lt;L_rampe,Poids*COS(Beta),0)</f>
        <v>0</v>
      </c>
      <c r="V84" s="396" t="n">
        <f aca="false">Rho_moyen*(20000-Alt_rampe-pos_z)/(20000+Alt_rampe+pos_z)</f>
        <v>1.22012203860736</v>
      </c>
      <c r="W84" s="397" t="n">
        <f aca="false">1/2*Rho*Sref*Cx*vit_xz^2</f>
        <v>49.3578509979796</v>
      </c>
      <c r="Y84" s="401" t="str">
        <f aca="false">IF(AND(pos_z&lt;=0,K83&gt;0),"Impact balistique","") &amp; IF(AND(H85&lt;0,vit_z&gt;=0),"Apogée","") &amp; IF(AND(Poussee=0,Q83&gt;0),"Fin de propulsion","") &amp; IF(AND(L85&gt;L_rampe,pos_xz&lt;=L_rampe),"Sortie de rampe","")</f>
        <v/>
      </c>
      <c r="Z84" s="402" t="str">
        <f aca="false">IF(ABS(t-T_para)&lt;pas/2,"Para","")</f>
        <v/>
      </c>
      <c r="AA84" s="403" t="str">
        <f aca="false">IF(ABS(t-T_satellite)&lt;pas/2,"Satellite","")</f>
        <v/>
      </c>
      <c r="AC84" s="399" t="e">
        <f aca="false">IF(ABS(t-ROUND(t,0))&lt;0.001,t,NA())</f>
        <v>#N/A</v>
      </c>
      <c r="AD84" s="404" t="e">
        <f aca="false">IF(ABS(t-ROUND(t,0))&lt;0.001,pos_x,NA())</f>
        <v>#N/A</v>
      </c>
      <c r="AE84" s="405" t="n">
        <f aca="false">IF(t&lt;T_para, pos_z, NA())</f>
        <v>39.899533157173</v>
      </c>
      <c r="AG84" s="396" t="n">
        <f aca="false">IF(AND(L83&lt;L_rampe,Poussee&lt;Poids*SIN(M83)),0,(-W83+Poussee)/m-Poids*SIN(M83)/m)</f>
        <v>131.15020050164</v>
      </c>
      <c r="AH84" s="397" t="n">
        <f aca="false">IF(AND(L83&lt;L_rampe,Poussee&lt;Poids*SIN(M83)), g*SIN(M83), (-W83+Poussee)/m)</f>
        <v>140.784897111012</v>
      </c>
    </row>
    <row r="85" customFormat="false" ht="12.75" hidden="false" customHeight="false" outlineLevel="0" collapsed="false">
      <c r="A85" s="396" t="n">
        <f aca="false">IF(B84+0.01&lt;=T_ini+ROUNDUP(Temps_fin_propu,0), 0.01, IF(K84&gt;0, 0.1, 0.0001))</f>
        <v>0.01</v>
      </c>
      <c r="B85" s="397" t="n">
        <f aca="false">B84+pas</f>
        <v>0.810000000000001</v>
      </c>
      <c r="D85" s="396" t="n">
        <f aca="false">IF(AND(L84&lt;L_rampe,Poussee&lt;Poids*SIN(M84)),0,(-W84+Poussee)/m*COS(M84)-U84/m*SIN(M84))</f>
        <v>26.4817152306721</v>
      </c>
      <c r="E85" s="398" t="n">
        <f aca="false">IF(AND(L84&lt;L_rampe,Poussee&lt;Poids*SIN(M84)),0,(-W84+Poussee)/m*SIN(M84)+U84/m*COS(M84)-Poids/m)</f>
        <v>128.250746536435</v>
      </c>
      <c r="F85" s="397" t="n">
        <f aca="false">SQRT(acc_x^2+acc_z^2)</f>
        <v>130.95623402004</v>
      </c>
      <c r="G85" s="396" t="n">
        <f aca="false">G84+acc_x*pas</f>
        <v>19.7966417503395</v>
      </c>
      <c r="H85" s="398" t="n">
        <f aca="false">H84+acc_z*pas</f>
        <v>103.11043899224</v>
      </c>
      <c r="I85" s="397" t="n">
        <f aca="false">SQRT(vit_x^2+vit_z^2)</f>
        <v>104.993664826807</v>
      </c>
      <c r="J85" s="396" t="n">
        <f aca="false">J84+0.5*(vit_x+G84)*pas*(K84&gt;=0)</f>
        <v>7.60089592107714</v>
      </c>
      <c r="K85" s="398" t="n">
        <f aca="false">K84+0.5*(vit_z+H84)*pas</f>
        <v>40.9242250097686</v>
      </c>
      <c r="L85" s="397" t="n">
        <f aca="false">SQRT(pos_x^2+pos_z^2)</f>
        <v>41.6241013290764</v>
      </c>
      <c r="M85" s="396" t="n">
        <f aca="false">IF(AND(L84&gt;L_rampe,G85&gt;0),ATAN2(G85,H85),$M$4)</f>
        <v>1.38111003647708</v>
      </c>
      <c r="N85" s="397" t="n">
        <f aca="false">DEGREES(Beta)</f>
        <v>79.1317761332958</v>
      </c>
      <c r="P85" s="399" t="n">
        <f aca="false">MATCH(t-pas/2-T_ini,CdP_t)</f>
        <v>8</v>
      </c>
      <c r="Q85" s="397" t="n">
        <f aca="false">(INDEX(CdP,2,i_P+1)-INDEX(CdP,2,i_P+0))/(INDEX(CdP,1,i_P+1)-INDEX(CdP,1,i_P+0))*(t-pas/2-T_ini-INDEX(CdP,1,i_P+0))+INDEX(CdP,2,i_P+0)</f>
        <v>1302.907</v>
      </c>
      <c r="R85" s="396" t="n">
        <f aca="false">Poussee/(g*ISP)</f>
        <v>0.640289863659718</v>
      </c>
      <c r="S85" s="398" t="n">
        <f aca="false">S84-Débit*pas</f>
        <v>8.91713535194345</v>
      </c>
      <c r="T85" s="397" t="n">
        <f aca="false">m*g</f>
        <v>87.4770978025652</v>
      </c>
      <c r="U85" s="400" t="n">
        <f aca="false">IF(pos_xz&lt;L_rampe,Poids*COS(Beta),0)</f>
        <v>0</v>
      </c>
      <c r="V85" s="396" t="n">
        <f aca="false">Rho_moyen*(20000-Alt_rampe-pos_z)/(20000+Alt_rampe+pos_z)</f>
        <v>1.2199970195911</v>
      </c>
      <c r="W85" s="397" t="n">
        <f aca="false">1/2*Rho*Sref*Cx*vit_xz^2</f>
        <v>50.6072230151737</v>
      </c>
      <c r="Y85" s="401" t="str">
        <f aca="false">IF(AND(pos_z&lt;=0,K84&gt;0),"Impact balistique","") &amp; IF(AND(H86&lt;0,vit_z&gt;=0),"Apogée","") &amp; IF(AND(Poussee=0,Q84&gt;0),"Fin de propulsion","") &amp; IF(AND(L86&gt;L_rampe,pos_xz&lt;=L_rampe),"Sortie de rampe","")</f>
        <v/>
      </c>
      <c r="Z85" s="402" t="str">
        <f aca="false">IF(ABS(t-T_para)&lt;pas/2,"Para","")</f>
        <v/>
      </c>
      <c r="AA85" s="403" t="str">
        <f aca="false">IF(ABS(t-T_satellite)&lt;pas/2,"Satellite","")</f>
        <v/>
      </c>
      <c r="AC85" s="399" t="e">
        <f aca="false">IF(ABS(t-ROUND(t,0))&lt;0.001,t,NA())</f>
        <v>#N/A</v>
      </c>
      <c r="AD85" s="404" t="e">
        <f aca="false">IF(ABS(t-ROUND(t,0))&lt;0.001,pos_x,NA())</f>
        <v>#N/A</v>
      </c>
      <c r="AE85" s="405" t="n">
        <f aca="false">IF(t&lt;T_para, pos_z, NA())</f>
        <v>40.9242250097686</v>
      </c>
      <c r="AG85" s="396" t="n">
        <f aca="false">IF(AND(L84&lt;L_rampe,Poussee&lt;Poids*SIN(M84)),0,(-W84+Poussee)/m-Poids*SIN(M84)/m)</f>
        <v>130.943194438001</v>
      </c>
      <c r="AH85" s="397" t="n">
        <f aca="false">IF(AND(L84&lt;L_rampe,Poussee&lt;Poids*SIN(M84)), g*SIN(M84), (-W84+Poussee)/m)</f>
        <v>140.577562134774</v>
      </c>
    </row>
    <row r="86" customFormat="false" ht="12.75" hidden="false" customHeight="false" outlineLevel="0" collapsed="false">
      <c r="A86" s="396" t="n">
        <f aca="false">IF(B85+0.01&lt;=T_ini+ROUNDUP(Temps_fin_propu,0), 0.01, IF(K85&gt;0, 0.1, 0.0001))</f>
        <v>0.01</v>
      </c>
      <c r="B86" s="397" t="n">
        <f aca="false">B85+pas</f>
        <v>0.820000000000001</v>
      </c>
      <c r="D86" s="396" t="n">
        <f aca="false">IF(AND(L85&lt;L_rampe,Poussee&lt;Poids*SIN(M85)),0,(-W85+Poussee)/m*COS(M85)-U85/m*SIN(M85))</f>
        <v>26.4489488078269</v>
      </c>
      <c r="E86" s="398" t="n">
        <f aca="false">IF(AND(L85&lt;L_rampe,Poussee&lt;Poids*SIN(M85)),0,(-W85+Poussee)/m*SIN(M85)+U85/m*COS(M85)-Poids/m)</f>
        <v>127.948856115662</v>
      </c>
      <c r="F86" s="397" t="n">
        <f aca="false">SQRT(acc_x^2+acc_z^2)</f>
        <v>130.653957744668</v>
      </c>
      <c r="G86" s="396" t="n">
        <f aca="false">G85+acc_x*pas</f>
        <v>20.0611312384177</v>
      </c>
      <c r="H86" s="398" t="n">
        <f aca="false">H85+acc_z*pas</f>
        <v>104.389927553397</v>
      </c>
      <c r="I86" s="397" t="n">
        <f aca="false">SQRT(vit_x^2+vit_z^2)</f>
        <v>106.300075076025</v>
      </c>
      <c r="J86" s="396" t="n">
        <f aca="false">J85+0.5*(vit_x+G85)*pas*(K85&gt;=0)</f>
        <v>7.80018478602092</v>
      </c>
      <c r="K86" s="398" t="n">
        <f aca="false">K85+0.5*(vit_z+H85)*pas</f>
        <v>41.9617268424968</v>
      </c>
      <c r="L86" s="397" t="n">
        <f aca="false">SQRT(pos_x^2+pos_z^2)</f>
        <v>42.6805506325819</v>
      </c>
      <c r="M86" s="396" t="n">
        <f aca="false">IF(AND(L85&gt;L_rampe,G86&gt;0),ATAN2(G86,H86),$M$4)</f>
        <v>1.38093603061994</v>
      </c>
      <c r="N86" s="397" t="n">
        <f aca="false">DEGREES(Beta)</f>
        <v>79.1218063320711</v>
      </c>
      <c r="P86" s="399" t="n">
        <f aca="false">MATCH(t-pas/2-T_ini,CdP_t)</f>
        <v>8</v>
      </c>
      <c r="Q86" s="397" t="n">
        <f aca="false">(INDEX(CdP,2,i_P+1)-INDEX(CdP,2,i_P+0))/(INDEX(CdP,1,i_P+1)-INDEX(CdP,1,i_P+0))*(t-pas/2-T_ini-INDEX(CdP,1,i_P+0))+INDEX(CdP,2,i_P+0)</f>
        <v>1300.561</v>
      </c>
      <c r="R86" s="396" t="n">
        <f aca="false">Poussee/(g*ISP)</f>
        <v>0.639136964780408</v>
      </c>
      <c r="S86" s="398" t="n">
        <f aca="false">S85-Débit*pas</f>
        <v>8.91074398229564</v>
      </c>
      <c r="T86" s="397" t="n">
        <f aca="false">m*g</f>
        <v>87.4143984663202</v>
      </c>
      <c r="U86" s="400" t="n">
        <f aca="false">IF(pos_xz&lt;L_rampe,Poids*COS(Beta),0)</f>
        <v>0</v>
      </c>
      <c r="V86" s="396" t="n">
        <f aca="false">Rho_moyen*(20000-Alt_rampe-pos_z)/(20000+Alt_rampe+pos_z)</f>
        <v>1.21987045069912</v>
      </c>
      <c r="W86" s="397" t="n">
        <f aca="false">1/2*Rho*Sref*Cx*vit_xz^2</f>
        <v>51.8690627677097</v>
      </c>
      <c r="Y86" s="401" t="str">
        <f aca="false">IF(AND(pos_z&lt;=0,K85&gt;0),"Impact balistique","") &amp; IF(AND(H87&lt;0,vit_z&gt;=0),"Apogée","") &amp; IF(AND(Poussee=0,Q85&gt;0),"Fin de propulsion","") &amp; IF(AND(L87&gt;L_rampe,pos_xz&lt;=L_rampe),"Sortie de rampe","")</f>
        <v/>
      </c>
      <c r="Z86" s="402" t="str">
        <f aca="false">IF(ABS(t-T_para)&lt;pas/2,"Para","")</f>
        <v/>
      </c>
      <c r="AA86" s="403" t="str">
        <f aca="false">IF(ABS(t-T_satellite)&lt;pas/2,"Satellite","")</f>
        <v/>
      </c>
      <c r="AC86" s="399" t="e">
        <f aca="false">IF(ABS(t-ROUND(t,0))&lt;0.001,t,NA())</f>
        <v>#N/A</v>
      </c>
      <c r="AD86" s="404" t="e">
        <f aca="false">IF(ABS(t-ROUND(t,0))&lt;0.001,pos_x,NA())</f>
        <v>#N/A</v>
      </c>
      <c r="AE86" s="405" t="n">
        <f aca="false">IF(t&lt;T_para, pos_z, NA())</f>
        <v>41.9617268424968</v>
      </c>
      <c r="AG86" s="396" t="n">
        <f aca="false">IF(AND(L85&lt;L_rampe,Poussee&lt;Poids*SIN(M85)),0,(-W85+Poussee)/m-Poids*SIN(M85)/m)</f>
        <v>130.640863993925</v>
      </c>
      <c r="AH86" s="397" t="n">
        <f aca="false">IF(AND(L85&lt;L_rampe,Poussee&lt;Poids*SIN(M85)), g*SIN(M85), (-W85+Poussee)/m)</f>
        <v>140.274906278118</v>
      </c>
    </row>
    <row r="87" customFormat="false" ht="12.75" hidden="false" customHeight="false" outlineLevel="0" collapsed="false">
      <c r="A87" s="396" t="n">
        <f aca="false">IF(B86+0.01&lt;=T_ini+ROUNDUP(Temps_fin_propu,0), 0.01, IF(K86&gt;0, 0.1, 0.0001))</f>
        <v>0.01</v>
      </c>
      <c r="B87" s="397" t="n">
        <f aca="false">B86+pas</f>
        <v>0.830000000000001</v>
      </c>
      <c r="D87" s="396" t="n">
        <f aca="false">IF(AND(L86&lt;L_rampe,Poussee&lt;Poids*SIN(M86)),0,(-W86+Poussee)/m*COS(M86)-U86/m*SIN(M86))</f>
        <v>26.4154210835756</v>
      </c>
      <c r="E87" s="398" t="n">
        <f aca="false">IF(AND(L86&lt;L_rampe,Poussee&lt;Poids*SIN(M86)),0,(-W86+Poussee)/m*SIN(M86)+U86/m*COS(M86)-Poids/m)</f>
        <v>127.645054774091</v>
      </c>
      <c r="F87" s="397" t="n">
        <f aca="false">SQRT(acc_x^2+acc_z^2)</f>
        <v>130.349662367431</v>
      </c>
      <c r="G87" s="396" t="n">
        <f aca="false">G86+acc_x*pas</f>
        <v>20.3252854492535</v>
      </c>
      <c r="H87" s="398" t="n">
        <f aca="false">H86+acc_z*pas</f>
        <v>105.666378101138</v>
      </c>
      <c r="I87" s="397" t="n">
        <f aca="false">SQRT(vit_x^2+vit_z^2)</f>
        <v>107.603441811154</v>
      </c>
      <c r="J87" s="396" t="n">
        <f aca="false">J86+0.5*(vit_x+G86)*pas*(K86&gt;=0)</f>
        <v>8.00211686945928</v>
      </c>
      <c r="K87" s="398" t="n">
        <f aca="false">K86+0.5*(vit_z+H86)*pas</f>
        <v>43.0120083707695</v>
      </c>
      <c r="L87" s="397" t="n">
        <f aca="false">SQRT(pos_x^2+pos_z^2)</f>
        <v>43.7500484397404</v>
      </c>
      <c r="M87" s="396" t="n">
        <f aca="false">IF(AND(L86&gt;L_rampe,G87&gt;0),ATAN2(G87,H87),$M$4)</f>
        <v>1.38076397665139</v>
      </c>
      <c r="N87" s="397" t="n">
        <f aca="false">DEGREES(Beta)</f>
        <v>79.1119483658245</v>
      </c>
      <c r="P87" s="399" t="n">
        <f aca="false">MATCH(t-pas/2-T_ini,CdP_t)</f>
        <v>8</v>
      </c>
      <c r="Q87" s="397" t="n">
        <f aca="false">(INDEX(CdP,2,i_P+1)-INDEX(CdP,2,i_P+0))/(INDEX(CdP,1,i_P+1)-INDEX(CdP,1,i_P+0))*(t-pas/2-T_ini-INDEX(CdP,1,i_P+0))+INDEX(CdP,2,i_P+0)</f>
        <v>1298.215</v>
      </c>
      <c r="R87" s="396" t="n">
        <f aca="false">Poussee/(g*ISP)</f>
        <v>0.637984065901098</v>
      </c>
      <c r="S87" s="398" t="n">
        <f aca="false">S86-Débit*pas</f>
        <v>8.90436414163663</v>
      </c>
      <c r="T87" s="397" t="n">
        <f aca="false">m*g</f>
        <v>87.3518122294553</v>
      </c>
      <c r="U87" s="400" t="n">
        <f aca="false">IF(pos_xz&lt;L_rampe,Poids*COS(Beta),0)</f>
        <v>0</v>
      </c>
      <c r="V87" s="396" t="n">
        <f aca="false">Rho_moyen*(20000-Alt_rampe-pos_z)/(20000+Alt_rampe+pos_z)</f>
        <v>1.21974233610875</v>
      </c>
      <c r="W87" s="397" t="n">
        <f aca="false">1/2*Rho*Sref*Cx*vit_xz^2</f>
        <v>53.1432329107503</v>
      </c>
      <c r="Y87" s="401" t="str">
        <f aca="false">IF(AND(pos_z&lt;=0,K86&gt;0),"Impact balistique","") &amp; IF(AND(H88&lt;0,vit_z&gt;=0),"Apogée","") &amp; IF(AND(Poussee=0,Q86&gt;0),"Fin de propulsion","") &amp; IF(AND(L88&gt;L_rampe,pos_xz&lt;=L_rampe),"Sortie de rampe","")</f>
        <v/>
      </c>
      <c r="Z87" s="402" t="str">
        <f aca="false">IF(ABS(t-T_para)&lt;pas/2,"Para","")</f>
        <v/>
      </c>
      <c r="AA87" s="403" t="str">
        <f aca="false">IF(ABS(t-T_satellite)&lt;pas/2,"Satellite","")</f>
        <v/>
      </c>
      <c r="AC87" s="399" t="e">
        <f aca="false">IF(ABS(t-ROUND(t,0))&lt;0.001,t,NA())</f>
        <v>#N/A</v>
      </c>
      <c r="AD87" s="404" t="e">
        <f aca="false">IF(ABS(t-ROUND(t,0))&lt;0.001,pos_x,NA())</f>
        <v>#N/A</v>
      </c>
      <c r="AE87" s="405" t="n">
        <f aca="false">IF(t&lt;T_para, pos_z, NA())</f>
        <v>43.0120083707695</v>
      </c>
      <c r="AG87" s="396" t="n">
        <f aca="false">IF(AND(L86&lt;L_rampe,Poussee&lt;Poids*SIN(M86)),0,(-W86+Poussee)/m-Poids*SIN(M86)/m)</f>
        <v>130.336514245956</v>
      </c>
      <c r="AH87" s="397" t="n">
        <f aca="false">IF(AND(L86&lt;L_rampe,Poussee&lt;Poids*SIN(M86)), g*SIN(M86), (-W86+Poussee)/m)</f>
        <v>139.970234528528</v>
      </c>
    </row>
    <row r="88" customFormat="false" ht="12.75" hidden="false" customHeight="false" outlineLevel="0" collapsed="false">
      <c r="A88" s="396" t="n">
        <f aca="false">IF(B87+0.01&lt;=T_ini+ROUNDUP(Temps_fin_propu,0), 0.01, IF(K87&gt;0, 0.1, 0.0001))</f>
        <v>0.01</v>
      </c>
      <c r="B88" s="397" t="n">
        <f aca="false">B87+pas</f>
        <v>0.840000000000001</v>
      </c>
      <c r="D88" s="396" t="n">
        <f aca="false">IF(AND(L87&lt;L_rampe,Poussee&lt;Poids*SIN(M87)),0,(-W87+Poussee)/m*COS(M87)-U87/m*SIN(M87))</f>
        <v>26.3811422683165</v>
      </c>
      <c r="E88" s="398" t="n">
        <f aca="false">IF(AND(L87&lt;L_rampe,Poussee&lt;Poids*SIN(M87)),0,(-W87+Poussee)/m*SIN(M87)+U87/m*COS(M87)-Poids/m)</f>
        <v>127.339353234113</v>
      </c>
      <c r="F88" s="397" t="n">
        <f aca="false">SQRT(acc_x^2+acc_z^2)</f>
        <v>130.043360266733</v>
      </c>
      <c r="G88" s="396" t="n">
        <f aca="false">G87+acc_x*pas</f>
        <v>20.5890968719366</v>
      </c>
      <c r="H88" s="398" t="n">
        <f aca="false">H87+acc_z*pas</f>
        <v>106.939771633479</v>
      </c>
      <c r="I88" s="397" t="n">
        <f aca="false">SQRT(vit_x^2+vit_z^2)</f>
        <v>108.903744963259</v>
      </c>
      <c r="J88" s="396" t="n">
        <f aca="false">J87+0.5*(vit_x+G87)*pas*(K87&gt;=0)</f>
        <v>8.20668878106523</v>
      </c>
      <c r="K88" s="398" t="n">
        <f aca="false">K87+0.5*(vit_z+H87)*pas</f>
        <v>44.0750391194426</v>
      </c>
      <c r="L88" s="397" t="n">
        <f aca="false">SQRT(pos_x^2+pos_z^2)</f>
        <v>44.8325642154189</v>
      </c>
      <c r="M88" s="396" t="n">
        <f aca="false">IF(AND(L87&gt;L_rampe,G88&gt;0),ATAN2(G88,H88),$M$4)</f>
        <v>1.38059382479736</v>
      </c>
      <c r="N88" s="397" t="n">
        <f aca="false">DEGREES(Beta)</f>
        <v>79.1021993827127</v>
      </c>
      <c r="P88" s="399" t="n">
        <f aca="false">MATCH(t-pas/2-T_ini,CdP_t)</f>
        <v>8</v>
      </c>
      <c r="Q88" s="397" t="n">
        <f aca="false">(INDEX(CdP,2,i_P+1)-INDEX(CdP,2,i_P+0))/(INDEX(CdP,1,i_P+1)-INDEX(CdP,1,i_P+0))*(t-pas/2-T_ini-INDEX(CdP,1,i_P+0))+INDEX(CdP,2,i_P+0)</f>
        <v>1295.869</v>
      </c>
      <c r="R88" s="396" t="n">
        <f aca="false">Poussee/(g*ISP)</f>
        <v>0.636831167021787</v>
      </c>
      <c r="S88" s="398" t="n">
        <f aca="false">S87-Débit*pas</f>
        <v>8.89799582996641</v>
      </c>
      <c r="T88" s="397" t="n">
        <f aca="false">m*g</f>
        <v>87.2893390919705</v>
      </c>
      <c r="U88" s="400" t="n">
        <f aca="false">IF(pos_xz&lt;L_rampe,Poids*COS(Beta),0)</f>
        <v>0</v>
      </c>
      <c r="V88" s="396" t="n">
        <f aca="false">Rho_moyen*(20000-Alt_rampe-pos_z)/(20000+Alt_rampe+pos_z)</f>
        <v>1.2196126800248</v>
      </c>
      <c r="W88" s="397" t="n">
        <f aca="false">1/2*Rho*Sref*Cx*vit_xz^2</f>
        <v>54.4295954869136</v>
      </c>
      <c r="Y88" s="401" t="str">
        <f aca="false">IF(AND(pos_z&lt;=0,K87&gt;0),"Impact balistique","") &amp; IF(AND(H89&lt;0,vit_z&gt;=0),"Apogée","") &amp; IF(AND(Poussee=0,Q87&gt;0),"Fin de propulsion","") &amp; IF(AND(L89&gt;L_rampe,pos_xz&lt;=L_rampe),"Sortie de rampe","")</f>
        <v/>
      </c>
      <c r="Z88" s="402" t="str">
        <f aca="false">IF(ABS(t-T_para)&lt;pas/2,"Para","")</f>
        <v/>
      </c>
      <c r="AA88" s="403" t="str">
        <f aca="false">IF(ABS(t-T_satellite)&lt;pas/2,"Satellite","")</f>
        <v/>
      </c>
      <c r="AC88" s="399" t="e">
        <f aca="false">IF(ABS(t-ROUND(t,0))&lt;0.001,t,NA())</f>
        <v>#N/A</v>
      </c>
      <c r="AD88" s="404" t="e">
        <f aca="false">IF(ABS(t-ROUND(t,0))&lt;0.001,pos_x,NA())</f>
        <v>#N/A</v>
      </c>
      <c r="AE88" s="405" t="n">
        <f aca="false">IF(t&lt;T_para, pos_z, NA())</f>
        <v>44.0750391194426</v>
      </c>
      <c r="AG88" s="396" t="n">
        <f aca="false">IF(AND(L87&lt;L_rampe,Poussee&lt;Poids*SIN(M87)),0,(-W87+Poussee)/m-Poids*SIN(M87)/m)</f>
        <v>130.030157563424</v>
      </c>
      <c r="AH88" s="397" t="n">
        <f aca="false">IF(AND(L87&lt;L_rampe,Poussee&lt;Poids*SIN(M87)), g*SIN(M87), (-W87+Poussee)/m)</f>
        <v>139.663559169587</v>
      </c>
    </row>
    <row r="89" customFormat="false" ht="12.75" hidden="false" customHeight="false" outlineLevel="0" collapsed="false">
      <c r="A89" s="396" t="n">
        <f aca="false">IF(B88+0.01&lt;=T_ini+ROUNDUP(Temps_fin_propu,0), 0.01, IF(K88&gt;0, 0.1, 0.0001))</f>
        <v>0.01</v>
      </c>
      <c r="B89" s="397" t="n">
        <f aca="false">B88+pas</f>
        <v>0.850000000000001</v>
      </c>
      <c r="D89" s="396" t="n">
        <f aca="false">IF(AND(L88&lt;L_rampe,Poussee&lt;Poids*SIN(M88)),0,(-W88+Poussee)/m*COS(M88)-U88/m*SIN(M88))</f>
        <v>26.3461222970981</v>
      </c>
      <c r="E89" s="398" t="n">
        <f aca="false">IF(AND(L88&lt;L_rampe,Poussee&lt;Poids*SIN(M88)),0,(-W88+Poussee)/m*SIN(M88)+U88/m*COS(M88)-Poids/m)</f>
        <v>127.031762385393</v>
      </c>
      <c r="F89" s="397" t="n">
        <f aca="false">SQRT(acc_x^2+acc_z^2)</f>
        <v>129.735063937366</v>
      </c>
      <c r="G89" s="396" t="n">
        <f aca="false">G88+acc_x*pas</f>
        <v>20.8525580949076</v>
      </c>
      <c r="H89" s="398" t="n">
        <f aca="false">H88+acc_z*pas</f>
        <v>108.210089257333</v>
      </c>
      <c r="I89" s="397" t="n">
        <f aca="false">SQRT(vit_x^2+vit_z^2)</f>
        <v>110.200964588253</v>
      </c>
      <c r="J89" s="396" t="n">
        <f aca="false">J88+0.5*(vit_x+G88)*pas*(K88&gt;=0)</f>
        <v>8.41389705589945</v>
      </c>
      <c r="K89" s="398" t="n">
        <f aca="false">K88+0.5*(vit_z+H88)*pas</f>
        <v>45.1507884238966</v>
      </c>
      <c r="L89" s="397" t="n">
        <f aca="false">SQRT(pos_x^2+pos_z^2)</f>
        <v>45.9280672243755</v>
      </c>
      <c r="M89" s="396" t="n">
        <f aca="false">IF(AND(L88&gt;L_rampe,G89&gt;0),ATAN2(G89,H89),$M$4)</f>
        <v>1.38042552713022</v>
      </c>
      <c r="N89" s="397" t="n">
        <f aca="false">DEGREES(Beta)</f>
        <v>79.0925566366836</v>
      </c>
      <c r="P89" s="399" t="n">
        <f aca="false">MATCH(t-pas/2-T_ini,CdP_t)</f>
        <v>8</v>
      </c>
      <c r="Q89" s="397" t="n">
        <f aca="false">(INDEX(CdP,2,i_P+1)-INDEX(CdP,2,i_P+0))/(INDEX(CdP,1,i_P+1)-INDEX(CdP,1,i_P+0))*(t-pas/2-T_ini-INDEX(CdP,1,i_P+0))+INDEX(CdP,2,i_P+0)</f>
        <v>1293.523</v>
      </c>
      <c r="R89" s="396" t="n">
        <f aca="false">Poussee/(g*ISP)</f>
        <v>0.635678268142477</v>
      </c>
      <c r="S89" s="398" t="n">
        <f aca="false">S88-Débit*pas</f>
        <v>8.89163904728499</v>
      </c>
      <c r="T89" s="397" t="n">
        <f aca="false">m*g</f>
        <v>87.2269790538657</v>
      </c>
      <c r="U89" s="400" t="n">
        <f aca="false">IF(pos_xz&lt;L_rampe,Poids*COS(Beta),0)</f>
        <v>0</v>
      </c>
      <c r="V89" s="396" t="n">
        <f aca="false">Rho_moyen*(20000-Alt_rampe-pos_z)/(20000+Alt_rampe+pos_z)</f>
        <v>1.21948148667944</v>
      </c>
      <c r="W89" s="397" t="n">
        <f aca="false">1/2*Rho*Sref*Cx*vit_xz^2</f>
        <v>55.7280119429892</v>
      </c>
      <c r="Y89" s="401" t="str">
        <f aca="false">IF(AND(pos_z&lt;=0,K88&gt;0),"Impact balistique","") &amp; IF(AND(H90&lt;0,vit_z&gt;=0),"Apogée","") &amp; IF(AND(Poussee=0,Q88&gt;0),"Fin de propulsion","") &amp; IF(AND(L90&gt;L_rampe,pos_xz&lt;=L_rampe),"Sortie de rampe","")</f>
        <v/>
      </c>
      <c r="Z89" s="402" t="str">
        <f aca="false">IF(ABS(t-T_para)&lt;pas/2,"Para","")</f>
        <v/>
      </c>
      <c r="AA89" s="403" t="str">
        <f aca="false">IF(ABS(t-T_satellite)&lt;pas/2,"Satellite","")</f>
        <v/>
      </c>
      <c r="AC89" s="399" t="e">
        <f aca="false">IF(ABS(t-ROUND(t,0))&lt;0.001,t,NA())</f>
        <v>#N/A</v>
      </c>
      <c r="AD89" s="404" t="e">
        <f aca="false">IF(ABS(t-ROUND(t,0))&lt;0.001,pos_x,NA())</f>
        <v>#N/A</v>
      </c>
      <c r="AE89" s="405" t="n">
        <f aca="false">IF(t&lt;T_para, pos_z, NA())</f>
        <v>45.1507884238966</v>
      </c>
      <c r="AG89" s="396" t="n">
        <f aca="false">IF(AND(L88&lt;L_rampe,Poussee&lt;Poids*SIN(M88)),0,(-W88+Poussee)/m-Poids*SIN(M88)/m)</f>
        <v>129.721806432214</v>
      </c>
      <c r="AH89" s="397" t="n">
        <f aca="false">IF(AND(L88&lt;L_rampe,Poussee&lt;Poids*SIN(M88)), g*SIN(M88), (-W88+Poussee)/m)</f>
        <v>139.35489260458</v>
      </c>
    </row>
    <row r="90" customFormat="false" ht="12.75" hidden="false" customHeight="false" outlineLevel="0" collapsed="false">
      <c r="A90" s="396" t="n">
        <f aca="false">IF(B89+0.01&lt;=T_ini+ROUNDUP(Temps_fin_propu,0), 0.01, IF(K89&gt;0, 0.1, 0.0001))</f>
        <v>0.01</v>
      </c>
      <c r="B90" s="397" t="n">
        <f aca="false">B89+pas</f>
        <v>0.860000000000001</v>
      </c>
      <c r="D90" s="396" t="n">
        <f aca="false">IF(AND(L89&lt;L_rampe,Poussee&lt;Poids*SIN(M89)),0,(-W89+Poussee)/m*COS(M89)-U89/m*SIN(M89))</f>
        <v>26.3103708444249</v>
      </c>
      <c r="E90" s="398" t="n">
        <f aca="false">IF(AND(L89&lt;L_rampe,Poussee&lt;Poids*SIN(M89)),0,(-W89+Poussee)/m*SIN(M89)+U89/m*COS(M89)-Poids/m)</f>
        <v>126.722293280795</v>
      </c>
      <c r="F90" s="397" t="n">
        <f aca="false">SQRT(acc_x^2+acc_z^2)</f>
        <v>129.424785989064</v>
      </c>
      <c r="G90" s="396" t="n">
        <f aca="false">G89+acc_x*pas</f>
        <v>21.1156618033519</v>
      </c>
      <c r="H90" s="398" t="n">
        <f aca="false">H89+acc_z*pas</f>
        <v>109.477312190141</v>
      </c>
      <c r="I90" s="397" t="n">
        <f aca="false">SQRT(vit_x^2+vit_z^2)</f>
        <v>111.495080868042</v>
      </c>
      <c r="J90" s="396" t="n">
        <f aca="false">J89+0.5*(vit_x+G89)*pas*(K89&gt;=0)</f>
        <v>8.62373815539075</v>
      </c>
      <c r="K90" s="398" t="n">
        <f aca="false">K89+0.5*(vit_z+H89)*pas</f>
        <v>46.239225431134</v>
      </c>
      <c r="L90" s="397" t="n">
        <f aca="false">SQRT(pos_x^2+pos_z^2)</f>
        <v>47.0365265325149</v>
      </c>
      <c r="M90" s="396" t="n">
        <f aca="false">IF(AND(L89&gt;L_rampe,G90&gt;0),ATAN2(G90,H90),$M$4)</f>
        <v>1.38025903747788</v>
      </c>
      <c r="N90" s="397" t="n">
        <f aca="false">DEGREES(Beta)</f>
        <v>79.0830174822718</v>
      </c>
      <c r="P90" s="399" t="n">
        <f aca="false">MATCH(t-pas/2-T_ini,CdP_t)</f>
        <v>8</v>
      </c>
      <c r="Q90" s="397" t="n">
        <f aca="false">(INDEX(CdP,2,i_P+1)-INDEX(CdP,2,i_P+0))/(INDEX(CdP,1,i_P+1)-INDEX(CdP,1,i_P+0))*(t-pas/2-T_ini-INDEX(CdP,1,i_P+0))+INDEX(CdP,2,i_P+0)</f>
        <v>1291.177</v>
      </c>
      <c r="R90" s="396" t="n">
        <f aca="false">Poussee/(g*ISP)</f>
        <v>0.634525369263166</v>
      </c>
      <c r="S90" s="398" t="n">
        <f aca="false">S89-Débit*pas</f>
        <v>8.88529379359236</v>
      </c>
      <c r="T90" s="397" t="n">
        <f aca="false">m*g</f>
        <v>87.164732115141</v>
      </c>
      <c r="U90" s="400" t="n">
        <f aca="false">IF(pos_xz&lt;L_rampe,Poids*COS(Beta),0)</f>
        <v>0</v>
      </c>
      <c r="V90" s="396" t="n">
        <f aca="false">Rho_moyen*(20000-Alt_rampe-pos_z)/(20000+Alt_rampe+pos_z)</f>
        <v>1.21934876033194</v>
      </c>
      <c r="W90" s="397" t="n">
        <f aca="false">1/2*Rho*Sref*Cx*vit_xz^2</f>
        <v>57.0383431467024</v>
      </c>
      <c r="Y90" s="401" t="str">
        <f aca="false">IF(AND(pos_z&lt;=0,K89&gt;0),"Impact balistique","") &amp; IF(AND(H91&lt;0,vit_z&gt;=0),"Apogée","") &amp; IF(AND(Poussee=0,Q89&gt;0),"Fin de propulsion","") &amp; IF(AND(L91&gt;L_rampe,pos_xz&lt;=L_rampe),"Sortie de rampe","")</f>
        <v/>
      </c>
      <c r="Z90" s="402" t="str">
        <f aca="false">IF(ABS(t-T_para)&lt;pas/2,"Para","")</f>
        <v/>
      </c>
      <c r="AA90" s="403" t="str">
        <f aca="false">IF(ABS(t-T_satellite)&lt;pas/2,"Satellite","")</f>
        <v/>
      </c>
      <c r="AC90" s="399" t="e">
        <f aca="false">IF(ABS(t-ROUND(t,0))&lt;0.001,t,NA())</f>
        <v>#N/A</v>
      </c>
      <c r="AD90" s="404" t="e">
        <f aca="false">IF(ABS(t-ROUND(t,0))&lt;0.001,pos_x,NA())</f>
        <v>#N/A</v>
      </c>
      <c r="AE90" s="405" t="n">
        <f aca="false">IF(t&lt;T_para, pos_z, NA())</f>
        <v>46.239225431134</v>
      </c>
      <c r="AG90" s="396" t="n">
        <f aca="false">IF(AND(L89&lt;L_rampe,Poussee&lt;Poids*SIN(M89)),0,(-W89+Poussee)/m-Poids*SIN(M89)/m)</f>
        <v>129.411473453299</v>
      </c>
      <c r="AH90" s="397" t="n">
        <f aca="false">IF(AND(L89&lt;L_rampe,Poussee&lt;Poids*SIN(M89)), g*SIN(M89), (-W89+Poussee)/m)</f>
        <v>139.044247354877</v>
      </c>
    </row>
    <row r="91" customFormat="false" ht="12.75" hidden="false" customHeight="false" outlineLevel="0" collapsed="false">
      <c r="A91" s="396" t="n">
        <f aca="false">IF(B90+0.01&lt;=T_ini+ROUNDUP(Temps_fin_propu,0), 0.01, IF(K90&gt;0, 0.1, 0.0001))</f>
        <v>0.01</v>
      </c>
      <c r="B91" s="397" t="n">
        <f aca="false">B90+pas</f>
        <v>0.870000000000001</v>
      </c>
      <c r="D91" s="396" t="n">
        <f aca="false">IF(AND(L90&lt;L_rampe,Poussee&lt;Poids*SIN(M90)),0,(-W90+Poussee)/m*COS(M90)-U90/m*SIN(M90))</f>
        <v>26.2738973381257</v>
      </c>
      <c r="E91" s="398" t="n">
        <f aca="false">IF(AND(L90&lt;L_rampe,Poussee&lt;Poids*SIN(M90)),0,(-W90+Poussee)/m*SIN(M90)+U90/m*COS(M90)-Poids/m)</f>
        <v>126.41095713245</v>
      </c>
      <c r="F91" s="397" t="n">
        <f aca="false">SQRT(acc_x^2+acc_z^2)</f>
        <v>129.112539145028</v>
      </c>
      <c r="G91" s="396" t="n">
        <f aca="false">G90+acc_x*pas</f>
        <v>21.3784007767331</v>
      </c>
      <c r="H91" s="398" t="n">
        <f aca="false">H90+acc_z*pas</f>
        <v>110.741421761466</v>
      </c>
      <c r="I91" s="397" t="n">
        <f aca="false">SQRT(vit_x^2+vit_z^2)</f>
        <v>112.786074111662</v>
      </c>
      <c r="J91" s="396" t="n">
        <f aca="false">J90+0.5*(vit_x+G90)*pas*(K90&gt;=0)</f>
        <v>8.83620846829117</v>
      </c>
      <c r="K91" s="398" t="n">
        <f aca="false">K90+0.5*(vit_z+H90)*pas</f>
        <v>47.3403191008921</v>
      </c>
      <c r="L91" s="397" t="n">
        <f aca="false">SQRT(pos_x^2+pos_z^2)</f>
        <v>48.1579110081551</v>
      </c>
      <c r="M91" s="396" t="n">
        <f aca="false">IF(AND(L90&gt;L_rampe,G91&gt;0),ATAN2(G91,H91),$M$4)</f>
        <v>1.3800943113385</v>
      </c>
      <c r="N91" s="397" t="n">
        <f aca="false">DEGREES(Beta)</f>
        <v>79.0735793697099</v>
      </c>
      <c r="P91" s="399" t="n">
        <f aca="false">MATCH(t-pas/2-T_ini,CdP_t)</f>
        <v>8</v>
      </c>
      <c r="Q91" s="397" t="n">
        <f aca="false">(INDEX(CdP,2,i_P+1)-INDEX(CdP,2,i_P+0))/(INDEX(CdP,1,i_P+1)-INDEX(CdP,1,i_P+0))*(t-pas/2-T_ini-INDEX(CdP,1,i_P+0))+INDEX(CdP,2,i_P+0)</f>
        <v>1288.831</v>
      </c>
      <c r="R91" s="396" t="n">
        <f aca="false">Poussee/(g*ISP)</f>
        <v>0.633372470383856</v>
      </c>
      <c r="S91" s="398" t="n">
        <f aca="false">S90-Débit*pas</f>
        <v>8.87896006888852</v>
      </c>
      <c r="T91" s="397" t="n">
        <f aca="false">m*g</f>
        <v>87.1025982757964</v>
      </c>
      <c r="U91" s="400" t="n">
        <f aca="false">IF(pos_xz&lt;L_rampe,Poids*COS(Beta),0)</f>
        <v>0</v>
      </c>
      <c r="V91" s="396" t="n">
        <f aca="false">Rho_moyen*(20000-Alt_rampe-pos_z)/(20000+Alt_rampe+pos_z)</f>
        <v>1.21921450526848</v>
      </c>
      <c r="W91" s="397" t="n">
        <f aca="false">1/2*Rho*Sref*Cx*vit_xz^2</f>
        <v>58.3604494035237</v>
      </c>
      <c r="Y91" s="401" t="str">
        <f aca="false">IF(AND(pos_z&lt;=0,K90&gt;0),"Impact balistique","") &amp; IF(AND(H92&lt;0,vit_z&gt;=0),"Apogée","") &amp; IF(AND(Poussee=0,Q90&gt;0),"Fin de propulsion","") &amp; IF(AND(L92&gt;L_rampe,pos_xz&lt;=L_rampe),"Sortie de rampe","")</f>
        <v/>
      </c>
      <c r="Z91" s="402" t="str">
        <f aca="false">IF(ABS(t-T_para)&lt;pas/2,"Para","")</f>
        <v/>
      </c>
      <c r="AA91" s="403" t="str">
        <f aca="false">IF(ABS(t-T_satellite)&lt;pas/2,"Satellite","")</f>
        <v/>
      </c>
      <c r="AC91" s="399" t="e">
        <f aca="false">IF(ABS(t-ROUND(t,0))&lt;0.001,t,NA())</f>
        <v>#N/A</v>
      </c>
      <c r="AD91" s="404" t="e">
        <f aca="false">IF(ABS(t-ROUND(t,0))&lt;0.001,pos_x,NA())</f>
        <v>#N/A</v>
      </c>
      <c r="AE91" s="405" t="n">
        <f aca="false">IF(t&lt;T_para, pos_z, NA())</f>
        <v>47.3403191008921</v>
      </c>
      <c r="AG91" s="396" t="n">
        <f aca="false">IF(AND(L90&lt;L_rampe,Poussee&lt;Poids*SIN(M90)),0,(-W90+Poussee)/m-Poids*SIN(M90)/m)</f>
        <v>129.099171341266</v>
      </c>
      <c r="AH91" s="397" t="n">
        <f aca="false">IF(AND(L90&lt;L_rampe,Poussee&lt;Poids*SIN(M90)), g*SIN(M90), (-W90+Poussee)/m)</f>
        <v>138.731636058309</v>
      </c>
    </row>
    <row r="92" customFormat="false" ht="12.75" hidden="false" customHeight="false" outlineLevel="0" collapsed="false">
      <c r="A92" s="396" t="n">
        <f aca="false">IF(B91+0.01&lt;=T_ini+ROUNDUP(Temps_fin_propu,0), 0.01, IF(K91&gt;0, 0.1, 0.0001))</f>
        <v>0.01</v>
      </c>
      <c r="B92" s="397" t="n">
        <f aca="false">B91+pas</f>
        <v>0.880000000000001</v>
      </c>
      <c r="D92" s="396" t="n">
        <f aca="false">IF(AND(L91&lt;L_rampe,Poussee&lt;Poids*SIN(M91)),0,(-W91+Poussee)/m*COS(M91)-U91/m*SIN(M91))</f>
        <v>26.2367109723555</v>
      </c>
      <c r="E92" s="398" t="n">
        <f aca="false">IF(AND(L91&lt;L_rampe,Poussee&lt;Poids*SIN(M91)),0,(-W91+Poussee)/m*SIN(M91)+U91/m*COS(M91)-Poids/m)</f>
        <v>126.097765307938</v>
      </c>
      <c r="F92" s="397" t="n">
        <f aca="false">SQRT(acc_x^2+acc_z^2)</f>
        <v>128.79833624043</v>
      </c>
      <c r="G92" s="396" t="n">
        <f aca="false">G91+acc_x*pas</f>
        <v>21.6407678864567</v>
      </c>
      <c r="H92" s="398" t="n">
        <f aca="false">H91+acc_z*pas</f>
        <v>112.002399414545</v>
      </c>
      <c r="I92" s="397" t="n">
        <f aca="false">SQRT(vit_x^2+vit_z^2)</f>
        <v>114.073924756408</v>
      </c>
      <c r="J92" s="396" t="n">
        <f aca="false">J91+0.5*(vit_x+G91)*pas*(K91&gt;=0)</f>
        <v>9.05130431160712</v>
      </c>
      <c r="K92" s="398" t="n">
        <f aca="false">K91+0.5*(vit_z+H91)*pas</f>
        <v>48.4540382067721</v>
      </c>
      <c r="L92" s="397" t="n">
        <f aca="false">SQRT(pos_x^2+pos_z^2)</f>
        <v>49.2921893233061</v>
      </c>
      <c r="M92" s="396" t="n">
        <f aca="false">IF(AND(L91&gt;L_rampe,G92&gt;0),ATAN2(G92,H92),$M$4)</f>
        <v>1.37993130580031</v>
      </c>
      <c r="N92" s="397" t="n">
        <f aca="false">DEGREES(Beta)</f>
        <v>79.0642398403346</v>
      </c>
      <c r="P92" s="399" t="n">
        <f aca="false">MATCH(t-pas/2-T_ini,CdP_t)</f>
        <v>8</v>
      </c>
      <c r="Q92" s="397" t="n">
        <f aca="false">(INDEX(CdP,2,i_P+1)-INDEX(CdP,2,i_P+0))/(INDEX(CdP,1,i_P+1)-INDEX(CdP,1,i_P+0))*(t-pas/2-T_ini-INDEX(CdP,1,i_P+0))+INDEX(CdP,2,i_P+0)</f>
        <v>1286.485</v>
      </c>
      <c r="R92" s="396" t="n">
        <f aca="false">Poussee/(g*ISP)</f>
        <v>0.632219571504545</v>
      </c>
      <c r="S92" s="398" t="n">
        <f aca="false">S91-Débit*pas</f>
        <v>8.87263787317347</v>
      </c>
      <c r="T92" s="397" t="n">
        <f aca="false">m*g</f>
        <v>87.0405775358318</v>
      </c>
      <c r="U92" s="400" t="n">
        <f aca="false">IF(pos_xz&lt;L_rampe,Poids*COS(Beta),0)</f>
        <v>0</v>
      </c>
      <c r="V92" s="396" t="n">
        <f aca="false">Rho_moyen*(20000-Alt_rampe-pos_z)/(20000+Alt_rampe+pos_z)</f>
        <v>1.21907872580198</v>
      </c>
      <c r="W92" s="397" t="n">
        <f aca="false">1/2*Rho*Sref*Cx*vit_xz^2</f>
        <v>59.6941904735192</v>
      </c>
      <c r="Y92" s="401" t="str">
        <f aca="false">IF(AND(pos_z&lt;=0,K91&gt;0),"Impact balistique","") &amp; IF(AND(H93&lt;0,vit_z&gt;=0),"Apogée","") &amp; IF(AND(Poussee=0,Q91&gt;0),"Fin de propulsion","") &amp; IF(AND(L93&gt;L_rampe,pos_xz&lt;=L_rampe),"Sortie de rampe","")</f>
        <v/>
      </c>
      <c r="Z92" s="402" t="str">
        <f aca="false">IF(ABS(t-T_para)&lt;pas/2,"Para","")</f>
        <v/>
      </c>
      <c r="AA92" s="403" t="str">
        <f aca="false">IF(ABS(t-T_satellite)&lt;pas/2,"Satellite","")</f>
        <v/>
      </c>
      <c r="AC92" s="399" t="e">
        <f aca="false">IF(ABS(t-ROUND(t,0))&lt;0.001,t,NA())</f>
        <v>#N/A</v>
      </c>
      <c r="AD92" s="404" t="e">
        <f aca="false">IF(ABS(t-ROUND(t,0))&lt;0.001,pos_x,NA())</f>
        <v>#N/A</v>
      </c>
      <c r="AE92" s="405" t="n">
        <f aca="false">IF(t&lt;T_para, pos_z, NA())</f>
        <v>48.4540382067721</v>
      </c>
      <c r="AG92" s="396" t="n">
        <f aca="false">IF(AND(L91&lt;L_rampe,Poussee&lt;Poids*SIN(M91)),0,(-W91+Poussee)/m-Poids*SIN(M91)/m)</f>
        <v>128.784912922801</v>
      </c>
      <c r="AH92" s="397" t="n">
        <f aca="false">IF(AND(L91&lt;L_rampe,Poussee&lt;Poids*SIN(M91)), g*SIN(M91), (-W91+Poussee)/m)</f>
        <v>138.41707146752</v>
      </c>
    </row>
    <row r="93" customFormat="false" ht="12.75" hidden="false" customHeight="false" outlineLevel="0" collapsed="false">
      <c r="A93" s="396" t="n">
        <f aca="false">IF(B92+0.01&lt;=T_ini+ROUNDUP(Temps_fin_propu,0), 0.01, IF(K92&gt;0, 0.1, 0.0001))</f>
        <v>0.01</v>
      </c>
      <c r="B93" s="397" t="n">
        <f aca="false">B92+pas</f>
        <v>0.890000000000001</v>
      </c>
      <c r="D93" s="396" t="n">
        <f aca="false">IF(AND(L92&lt;L_rampe,Poussee&lt;Poids*SIN(M92)),0,(-W92+Poussee)/m*COS(M92)-U92/m*SIN(M92))</f>
        <v>26.1988207197922</v>
      </c>
      <c r="E93" s="398" t="n">
        <f aca="false">IF(AND(L92&lt;L_rampe,Poussee&lt;Poids*SIN(M92)),0,(-W92+Poussee)/m*SIN(M92)+U92/m*COS(M92)-Poids/m)</f>
        <v>125.782729326605</v>
      </c>
      <c r="F93" s="397" t="n">
        <f aca="false">SQRT(acc_x^2+acc_z^2)</f>
        <v>128.482190220894</v>
      </c>
      <c r="G93" s="396" t="n">
        <f aca="false">G92+acc_x*pas</f>
        <v>21.9027560936546</v>
      </c>
      <c r="H93" s="398" t="n">
        <f aca="false">H92+acc_z*pas</f>
        <v>113.260226707811</v>
      </c>
      <c r="I93" s="397" t="n">
        <f aca="false">SQRT(vit_x^2+vit_z^2)</f>
        <v>115.358613368933</v>
      </c>
      <c r="J93" s="396" t="n">
        <f aca="false">J92+0.5*(vit_x+G92)*pas*(K92&gt;=0)</f>
        <v>9.26902193150768</v>
      </c>
      <c r="K93" s="398" t="n">
        <f aca="false">K92+0.5*(vit_z+H92)*pas</f>
        <v>49.5803513373839</v>
      </c>
      <c r="L93" s="397" t="n">
        <f aca="false">SQRT(pos_x^2+pos_z^2)</f>
        <v>50.4393299549587</v>
      </c>
      <c r="M93" s="396" t="n">
        <f aca="false">IF(AND(L92&gt;L_rampe,G93&gt;0),ATAN2(G93,H93),$M$4)</f>
        <v>1.37976997946622</v>
      </c>
      <c r="N93" s="397" t="n">
        <f aca="false">DEGREES(Beta)</f>
        <v>79.0549965222668</v>
      </c>
      <c r="P93" s="399" t="n">
        <f aca="false">MATCH(t-pas/2-T_ini,CdP_t)</f>
        <v>8</v>
      </c>
      <c r="Q93" s="397" t="n">
        <f aca="false">(INDEX(CdP,2,i_P+1)-INDEX(CdP,2,i_P+0))/(INDEX(CdP,1,i_P+1)-INDEX(CdP,1,i_P+0))*(t-pas/2-T_ini-INDEX(CdP,1,i_P+0))+INDEX(CdP,2,i_P+0)</f>
        <v>1284.139</v>
      </c>
      <c r="R93" s="396" t="n">
        <f aca="false">Poussee/(g*ISP)</f>
        <v>0.631066672625235</v>
      </c>
      <c r="S93" s="398" t="n">
        <f aca="false">S92-Débit*pas</f>
        <v>8.86632720644722</v>
      </c>
      <c r="T93" s="397" t="n">
        <f aca="false">m*g</f>
        <v>86.9786698952472</v>
      </c>
      <c r="U93" s="400" t="n">
        <f aca="false">IF(pos_xz&lt;L_rampe,Poids*COS(Beta),0)</f>
        <v>0</v>
      </c>
      <c r="V93" s="396" t="n">
        <f aca="false">Rho_moyen*(20000-Alt_rampe-pos_z)/(20000+Alt_rampe+pos_z)</f>
        <v>1.21894142627187</v>
      </c>
      <c r="W93" s="397" t="n">
        <f aca="false">1/2*Rho*Sref*Cx*vit_xz^2</f>
        <v>61.0394255882391</v>
      </c>
      <c r="Y93" s="401" t="str">
        <f aca="false">IF(AND(pos_z&lt;=0,K92&gt;0),"Impact balistique","") &amp; IF(AND(H94&lt;0,vit_z&gt;=0),"Apogée","") &amp; IF(AND(Poussee=0,Q92&gt;0),"Fin de propulsion","") &amp; IF(AND(L94&gt;L_rampe,pos_xz&lt;=L_rampe),"Sortie de rampe","")</f>
        <v/>
      </c>
      <c r="Z93" s="402" t="str">
        <f aca="false">IF(ABS(t-T_para)&lt;pas/2,"Para","")</f>
        <v/>
      </c>
      <c r="AA93" s="403" t="str">
        <f aca="false">IF(ABS(t-T_satellite)&lt;pas/2,"Satellite","")</f>
        <v/>
      </c>
      <c r="AC93" s="399" t="e">
        <f aca="false">IF(ABS(t-ROUND(t,0))&lt;0.001,t,NA())</f>
        <v>#N/A</v>
      </c>
      <c r="AD93" s="404" t="e">
        <f aca="false">IF(ABS(t-ROUND(t,0))&lt;0.001,pos_x,NA())</f>
        <v>#N/A</v>
      </c>
      <c r="AE93" s="405" t="n">
        <f aca="false">IF(t&lt;T_para, pos_z, NA())</f>
        <v>49.5803513373839</v>
      </c>
      <c r="AG93" s="396" t="n">
        <f aca="false">IF(AND(L92&lt;L_rampe,Poussee&lt;Poids*SIN(M92)),0,(-W92+Poussee)/m-Poids*SIN(M92)/m)</f>
        <v>128.468711135168</v>
      </c>
      <c r="AH93" s="397" t="n">
        <f aca="false">IF(AND(L92&lt;L_rampe,Poussee&lt;Poids*SIN(M92)), g*SIN(M92), (-W92+Poussee)/m)</f>
        <v>138.100566448316</v>
      </c>
    </row>
    <row r="94" customFormat="false" ht="12.75" hidden="false" customHeight="false" outlineLevel="0" collapsed="false">
      <c r="A94" s="396" t="n">
        <f aca="false">IF(B93+0.01&lt;=T_ini+ROUNDUP(Temps_fin_propu,0), 0.01, IF(K93&gt;0, 0.1, 0.0001))</f>
        <v>0.01</v>
      </c>
      <c r="B94" s="397" t="n">
        <f aca="false">B93+pas</f>
        <v>0.900000000000001</v>
      </c>
      <c r="D94" s="396" t="n">
        <f aca="false">IF(AND(L93&lt;L_rampe,Poussee&lt;Poids*SIN(M93)),0,(-W93+Poussee)/m*COS(M93)-U93/m*SIN(M93))</f>
        <v>26.1602353430852</v>
      </c>
      <c r="E94" s="398" t="n">
        <f aca="false">IF(AND(L93&lt;L_rampe,Poussee&lt;Poids*SIN(M93)),0,(-W93+Poussee)/m*SIN(M93)+U93/m*COS(M93)-Poids/m)</f>
        <v>125.465860855973</v>
      </c>
      <c r="F94" s="397" t="n">
        <f aca="false">SQRT(acc_x^2+acc_z^2)</f>
        <v>128.164114140956</v>
      </c>
      <c r="G94" s="396" t="n">
        <f aca="false">G93+acc_x*pas</f>
        <v>22.1643584470855</v>
      </c>
      <c r="H94" s="398" t="n">
        <f aca="false">H93+acc_z*pas</f>
        <v>114.514885316371</v>
      </c>
      <c r="I94" s="397" t="n">
        <f aca="false">SQRT(vit_x^2+vit_z^2)</f>
        <v>116.640120646339</v>
      </c>
      <c r="J94" s="396" t="n">
        <f aca="false">J93+0.5*(vit_x+G93)*pas*(K93&gt;=0)</f>
        <v>9.48935750421138</v>
      </c>
      <c r="K94" s="398" t="n">
        <f aca="false">K93+0.5*(vit_z+H93)*pas</f>
        <v>50.7192268975048</v>
      </c>
      <c r="L94" s="397" t="n">
        <f aca="false">SQRT(pos_x^2+pos_z^2)</f>
        <v>51.5993011863853</v>
      </c>
      <c r="M94" s="396" t="n">
        <f aca="false">IF(AND(L93&gt;L_rampe,G94&gt;0),ATAN2(G94,H94),$M$4)</f>
        <v>1.3796102923828</v>
      </c>
      <c r="N94" s="397" t="n">
        <f aca="false">DEGREES(Beta)</f>
        <v>79.0458471263439</v>
      </c>
      <c r="P94" s="399" t="n">
        <f aca="false">MATCH(t-pas/2-T_ini,CdP_t)</f>
        <v>8</v>
      </c>
      <c r="Q94" s="397" t="n">
        <f aca="false">(INDEX(CdP,2,i_P+1)-INDEX(CdP,2,i_P+0))/(INDEX(CdP,1,i_P+1)-INDEX(CdP,1,i_P+0))*(t-pas/2-T_ini-INDEX(CdP,1,i_P+0))+INDEX(CdP,2,i_P+0)</f>
        <v>1281.793</v>
      </c>
      <c r="R94" s="396" t="n">
        <f aca="false">Poussee/(g*ISP)</f>
        <v>0.629913773745924</v>
      </c>
      <c r="S94" s="398" t="n">
        <f aca="false">S93-Débit*pas</f>
        <v>8.86002806870976</v>
      </c>
      <c r="T94" s="397" t="n">
        <f aca="false">m*g</f>
        <v>86.9168753540428</v>
      </c>
      <c r="U94" s="400" t="n">
        <f aca="false">IF(pos_xz&lt;L_rampe,Poids*COS(Beta),0)</f>
        <v>0</v>
      </c>
      <c r="V94" s="396" t="n">
        <f aca="false">Rho_moyen*(20000-Alt_rampe-pos_z)/(20000+Alt_rampe+pos_z)</f>
        <v>1.21880261104389</v>
      </c>
      <c r="W94" s="397" t="n">
        <f aca="false">1/2*Rho*Sref*Cx*vit_xz^2</f>
        <v>62.3960134676401</v>
      </c>
      <c r="Y94" s="401" t="str">
        <f aca="false">IF(AND(pos_z&lt;=0,K93&gt;0),"Impact balistique","") &amp; IF(AND(H95&lt;0,vit_z&gt;=0),"Apogée","") &amp; IF(AND(Poussee=0,Q93&gt;0),"Fin de propulsion","") &amp; IF(AND(L95&gt;L_rampe,pos_xz&lt;=L_rampe),"Sortie de rampe","")</f>
        <v/>
      </c>
      <c r="Z94" s="402" t="str">
        <f aca="false">IF(ABS(t-T_para)&lt;pas/2,"Para","")</f>
        <v/>
      </c>
      <c r="AA94" s="403" t="str">
        <f aca="false">IF(ABS(t-T_satellite)&lt;pas/2,"Satellite","")</f>
        <v/>
      </c>
      <c r="AC94" s="399" t="e">
        <f aca="false">IF(ABS(t-ROUND(t,0))&lt;0.001,t,NA())</f>
        <v>#N/A</v>
      </c>
      <c r="AD94" s="404" t="e">
        <f aca="false">IF(ABS(t-ROUND(t,0))&lt;0.001,pos_x,NA())</f>
        <v>#N/A</v>
      </c>
      <c r="AE94" s="405" t="n">
        <f aca="false">IF(t&lt;T_para, pos_z, NA())</f>
        <v>50.7192268975048</v>
      </c>
      <c r="AG94" s="396" t="n">
        <f aca="false">IF(AND(L93&lt;L_rampe,Poussee&lt;Poids*SIN(M93)),0,(-W93+Poussee)/m-Poids*SIN(M93)/m)</f>
        <v>128.150579024658</v>
      </c>
      <c r="AH94" s="397" t="n">
        <f aca="false">IF(AND(L93&lt;L_rampe,Poussee&lt;Poids*SIN(M93)), g*SIN(M93), (-W93+Poussee)/m)</f>
        <v>137.782133977995</v>
      </c>
    </row>
    <row r="95" customFormat="false" ht="12.75" hidden="false" customHeight="false" outlineLevel="0" collapsed="false">
      <c r="A95" s="396" t="n">
        <f aca="false">IF(B94+0.01&lt;=T_ini+ROUNDUP(Temps_fin_propu,0), 0.01, IF(K94&gt;0, 0.1, 0.0001))</f>
        <v>0.01</v>
      </c>
      <c r="B95" s="397" t="n">
        <f aca="false">B94+pas</f>
        <v>0.910000000000001</v>
      </c>
      <c r="D95" s="396" t="n">
        <f aca="false">IF(AND(L94&lt;L_rampe,Poussee&lt;Poids*SIN(M94)),0,(-W94+Poussee)/m*COS(M94)-U94/m*SIN(M94))</f>
        <v>26.1131243007336</v>
      </c>
      <c r="E95" s="398" t="n">
        <f aca="false">IF(AND(L94&lt;L_rampe,Poussee&lt;Poids*SIN(M94)),0,(-W94+Poussee)/m*SIN(M94)+U94/m*COS(M94)-Poids/m)</f>
        <v>125.106670008279</v>
      </c>
      <c r="F95" s="397" t="n">
        <f aca="false">SQRT(acc_x^2+acc_z^2)</f>
        <v>127.802872195056</v>
      </c>
      <c r="G95" s="396" t="n">
        <f aca="false">G94+acc_x*pas</f>
        <v>22.4254896900928</v>
      </c>
      <c r="H95" s="398" t="n">
        <f aca="false">H94+acc_z*pas</f>
        <v>115.765952016453</v>
      </c>
      <c r="I95" s="397" t="n">
        <f aca="false">SQRT(vit_x^2+vit_z^2)</f>
        <v>117.918014883716</v>
      </c>
      <c r="J95" s="396" t="n">
        <f aca="false">J94+0.5*(vit_x+G94)*pas*(K94&gt;=0)</f>
        <v>9.71230674489727</v>
      </c>
      <c r="K95" s="398" t="n">
        <f aca="false">K94+0.5*(vit_z+H94)*pas</f>
        <v>51.8706310841689</v>
      </c>
      <c r="L95" s="397" t="n">
        <f aca="false">SQRT(pos_x^2+pos_z^2)</f>
        <v>52.7720690458213</v>
      </c>
      <c r="M95" s="396" t="n">
        <f aca="false">IF(AND(L94&gt;L_rampe,G95&gt;0),ATAN2(G95,H95),$M$4)</f>
        <v>1.37945220542039</v>
      </c>
      <c r="N95" s="397" t="n">
        <f aca="false">DEGREES(Beta)</f>
        <v>79.0367894106018</v>
      </c>
      <c r="P95" s="399" t="n">
        <f aca="false">MATCH(t-pas/2-T_ini,CdP_t)</f>
        <v>9</v>
      </c>
      <c r="Q95" s="397" t="n">
        <f aca="false">(INDEX(CdP,2,i_P+1)-INDEX(CdP,2,i_P+0))/(INDEX(CdP,1,i_P+1)-INDEX(CdP,1,i_P+0))*(t-pas/2-T_ini-INDEX(CdP,1,i_P+0))+INDEX(CdP,2,i_P+0)</f>
        <v>1279.082</v>
      </c>
      <c r="R95" s="396" t="n">
        <f aca="false">Poussee/(g*ISP)</f>
        <v>0.628581502278827</v>
      </c>
      <c r="S95" s="398" t="n">
        <f aca="false">S94-Débit*pas</f>
        <v>8.85374225368697</v>
      </c>
      <c r="T95" s="397" t="n">
        <f aca="false">m*g</f>
        <v>86.8552115086692</v>
      </c>
      <c r="U95" s="400" t="n">
        <f aca="false">IF(pos_xz&lt;L_rampe,Poids*COS(Beta),0)</f>
        <v>0</v>
      </c>
      <c r="V95" s="396" t="n">
        <f aca="false">Rho_moyen*(20000-Alt_rampe-pos_z)/(20000+Alt_rampe+pos_z)</f>
        <v>1.21866228475665</v>
      </c>
      <c r="W95" s="397" t="n">
        <f aca="false">1/2*Rho*Sref*Cx*vit_xz^2</f>
        <v>63.763366199746</v>
      </c>
      <c r="Y95" s="401" t="str">
        <f aca="false">IF(AND(pos_z&lt;=0,K94&gt;0),"Impact balistique","") &amp; IF(AND(H96&lt;0,vit_z&gt;=0),"Apogée","") &amp; IF(AND(Poussee=0,Q94&gt;0),"Fin de propulsion","") &amp; IF(AND(L96&gt;L_rampe,pos_xz&lt;=L_rampe),"Sortie de rampe","")</f>
        <v/>
      </c>
      <c r="Z95" s="402" t="str">
        <f aca="false">IF(ABS(t-T_para)&lt;pas/2,"Para","")</f>
        <v/>
      </c>
      <c r="AA95" s="403" t="str">
        <f aca="false">IF(ABS(t-T_satellite)&lt;pas/2,"Satellite","")</f>
        <v/>
      </c>
      <c r="AC95" s="399" t="e">
        <f aca="false">IF(ABS(t-ROUND(t,0))&lt;0.001,t,NA())</f>
        <v>#N/A</v>
      </c>
      <c r="AD95" s="404" t="e">
        <f aca="false">IF(ABS(t-ROUND(t,0))&lt;0.001,pos_x,NA())</f>
        <v>#N/A</v>
      </c>
      <c r="AE95" s="405" t="n">
        <f aca="false">IF(t&lt;T_para, pos_z, NA())</f>
        <v>51.8706310841689</v>
      </c>
      <c r="AG95" s="396" t="n">
        <f aca="false">IF(AND(L94&lt;L_rampe,Poussee&lt;Poids*SIN(M94)),0,(-W94+Poussee)/m-Poids*SIN(M94)/m)</f>
        <v>127.789276390411</v>
      </c>
      <c r="AH95" s="397" t="n">
        <f aca="false">IF(AND(L94&lt;L_rampe,Poussee&lt;Poids*SIN(M94)), g*SIN(M94), (-W94+Poussee)/m)</f>
        <v>137.420533789053</v>
      </c>
    </row>
    <row r="96" customFormat="false" ht="12.75" hidden="false" customHeight="false" outlineLevel="0" collapsed="false">
      <c r="A96" s="396" t="n">
        <f aca="false">IF(B95+0.01&lt;=T_ini+ROUNDUP(Temps_fin_propu,0), 0.01, IF(K95&gt;0, 0.1, 0.0001))</f>
        <v>0.01</v>
      </c>
      <c r="B96" s="397" t="n">
        <f aca="false">B95+pas</f>
        <v>0.920000000000001</v>
      </c>
      <c r="D96" s="396" t="n">
        <f aca="false">IF(AND(L95&lt;L_rampe,Poussee&lt;Poids*SIN(M95)),0,(-W95+Poussee)/m*COS(M95)-U95/m*SIN(M95))</f>
        <v>26.0574644911542</v>
      </c>
      <c r="E96" s="398" t="n">
        <f aca="false">IF(AND(L95&lt;L_rampe,Poussee&lt;Poids*SIN(M95)),0,(-W95+Poussee)/m*SIN(M95)+U95/m*COS(M95)-Poids/m)</f>
        <v>124.705108728531</v>
      </c>
      <c r="F96" s="397" t="n">
        <f aca="false">SQRT(acc_x^2+acc_z^2)</f>
        <v>127.398412857863</v>
      </c>
      <c r="G96" s="396" t="n">
        <f aca="false">G95+acc_x*pas</f>
        <v>22.6860643350043</v>
      </c>
      <c r="H96" s="398" t="n">
        <f aca="false">H95+acc_z*pas</f>
        <v>117.013003103739</v>
      </c>
      <c r="I96" s="397" t="n">
        <f aca="false">SQRT(vit_x^2+vit_z^2)</f>
        <v>119.191863859777</v>
      </c>
      <c r="J96" s="396" t="n">
        <f aca="false">J95+0.5*(vit_x+G95)*pas*(K95&gt;=0)</f>
        <v>9.93786451502275</v>
      </c>
      <c r="K96" s="398" t="n">
        <f aca="false">K95+0.5*(vit_z+H95)*pas</f>
        <v>53.0345258597699</v>
      </c>
      <c r="L96" s="397" t="n">
        <f aca="false">SQRT(pos_x^2+pos_z^2)</f>
        <v>53.9575952419078</v>
      </c>
      <c r="M96" s="396" t="n">
        <f aca="false">IF(AND(L95&gt;L_rampe,G96&gt;0),ATAN2(G96,H96),$M$4)</f>
        <v>1.37929568025407</v>
      </c>
      <c r="N96" s="397" t="n">
        <f aca="false">DEGREES(Beta)</f>
        <v>79.0278211791843</v>
      </c>
      <c r="P96" s="399" t="n">
        <f aca="false">MATCH(t-pas/2-T_ini,CdP_t)</f>
        <v>9</v>
      </c>
      <c r="Q96" s="397" t="n">
        <f aca="false">(INDEX(CdP,2,i_P+1)-INDEX(CdP,2,i_P+0))/(INDEX(CdP,1,i_P+1)-INDEX(CdP,1,i_P+0))*(t-pas/2-T_ini-INDEX(CdP,1,i_P+0))+INDEX(CdP,2,i_P+0)</f>
        <v>1276.006</v>
      </c>
      <c r="R96" s="396" t="n">
        <f aca="false">Poussee/(g*ISP)</f>
        <v>0.627069858223943</v>
      </c>
      <c r="S96" s="398" t="n">
        <f aca="false">S95-Débit*pas</f>
        <v>8.84747155510473</v>
      </c>
      <c r="T96" s="397" t="n">
        <f aca="false">m*g</f>
        <v>86.7936959555774</v>
      </c>
      <c r="U96" s="400" t="n">
        <f aca="false">IF(pos_xz&lt;L_rampe,Poids*COS(Beta),0)</f>
        <v>0</v>
      </c>
      <c r="V96" s="396" t="n">
        <f aca="false">Rho_moyen*(20000-Alt_rampe-pos_z)/(20000+Alt_rampe+pos_z)</f>
        <v>1.21852045256847</v>
      </c>
      <c r="W96" s="397" t="n">
        <f aca="false">1/2*Rho*Sref*Cx*vit_xz^2</f>
        <v>65.1408756349481</v>
      </c>
      <c r="Y96" s="401" t="str">
        <f aca="false">IF(AND(pos_z&lt;=0,K95&gt;0),"Impact balistique","") &amp; IF(AND(H97&lt;0,vit_z&gt;=0),"Apogée","") &amp; IF(AND(Poussee=0,Q95&gt;0),"Fin de propulsion","") &amp; IF(AND(L97&gt;L_rampe,pos_xz&lt;=L_rampe),"Sortie de rampe","")</f>
        <v/>
      </c>
      <c r="Z96" s="402" t="str">
        <f aca="false">IF(ABS(t-T_para)&lt;pas/2,"Para","")</f>
        <v/>
      </c>
      <c r="AA96" s="403" t="str">
        <f aca="false">IF(ABS(t-T_satellite)&lt;pas/2,"Satellite","")</f>
        <v/>
      </c>
      <c r="AC96" s="399" t="e">
        <f aca="false">IF(ABS(t-ROUND(t,0))&lt;0.001,t,NA())</f>
        <v>#N/A</v>
      </c>
      <c r="AD96" s="404" t="e">
        <f aca="false">IF(ABS(t-ROUND(t,0))&lt;0.001,pos_x,NA())</f>
        <v>#N/A</v>
      </c>
      <c r="AE96" s="405" t="n">
        <f aca="false">IF(t&lt;T_para, pos_z, NA())</f>
        <v>53.0345258597699</v>
      </c>
      <c r="AG96" s="396" t="n">
        <f aca="false">IF(AND(L95&lt;L_rampe,Poussee&lt;Poids*SIN(M95)),0,(-W95+Poussee)/m-Poids*SIN(M95)/m)</f>
        <v>127.384751595275</v>
      </c>
      <c r="AH96" s="397" t="n">
        <f aca="false">IF(AND(L95&lt;L_rampe,Poussee&lt;Poids*SIN(M95)), g*SIN(M95), (-W95+Poussee)/m)</f>
        <v>137.015714178909</v>
      </c>
    </row>
    <row r="97" customFormat="false" ht="12.75" hidden="false" customHeight="false" outlineLevel="0" collapsed="false">
      <c r="A97" s="396" t="n">
        <f aca="false">IF(B96+0.01&lt;=T_ini+ROUNDUP(Temps_fin_propu,0), 0.01, IF(K96&gt;0, 0.1, 0.0001))</f>
        <v>0.01</v>
      </c>
      <c r="B97" s="397" t="n">
        <f aca="false">B96+pas</f>
        <v>0.930000000000001</v>
      </c>
      <c r="D97" s="396" t="n">
        <f aca="false">IF(AND(L96&lt;L_rampe,Poussee&lt;Poids*SIN(M96)),0,(-W96+Poussee)/m*COS(M96)-U96/m*SIN(M96))</f>
        <v>26.0010965094366</v>
      </c>
      <c r="E97" s="398" t="n">
        <f aca="false">IF(AND(L96&lt;L_rampe,Poussee&lt;Poids*SIN(M96)),0,(-W96+Poussee)/m*SIN(M96)+U96/m*COS(M96)-Poids/m)</f>
        <v>124.301688199034</v>
      </c>
      <c r="F97" s="397" t="n">
        <f aca="false">SQRT(acc_x^2+acc_z^2)</f>
        <v>126.991994664321</v>
      </c>
      <c r="G97" s="396" t="n">
        <f aca="false">G96+acc_x*pas</f>
        <v>22.9460753000987</v>
      </c>
      <c r="H97" s="398" t="n">
        <f aca="false">H96+acc_z*pas</f>
        <v>118.256019985729</v>
      </c>
      <c r="I97" s="397" t="n">
        <f aca="false">SQRT(vit_x^2+vit_z^2)</f>
        <v>120.461647982015</v>
      </c>
      <c r="J97" s="396" t="n">
        <f aca="false">J96+0.5*(vit_x+G96)*pas*(K96&gt;=0)</f>
        <v>10.1660252131983</v>
      </c>
      <c r="K97" s="398" t="n">
        <f aca="false">K96+0.5*(vit_z+H96)*pas</f>
        <v>54.2108709752172</v>
      </c>
      <c r="L97" s="397" t="n">
        <f aca="false">SQRT(pos_x^2+pos_z^2)</f>
        <v>55.1558392242112</v>
      </c>
      <c r="M97" s="396" t="n">
        <f aca="false">IF(AND(L96&gt;L_rampe,G97&gt;0),ATAN2(G97,H97),$M$4)</f>
        <v>1.37914067987614</v>
      </c>
      <c r="N97" s="397" t="n">
        <f aca="false">DEGREES(Beta)</f>
        <v>79.0189403117056</v>
      </c>
      <c r="P97" s="399" t="n">
        <f aca="false">MATCH(t-pas/2-T_ini,CdP_t)</f>
        <v>9</v>
      </c>
      <c r="Q97" s="397" t="n">
        <f aca="false">(INDEX(CdP,2,i_P+1)-INDEX(CdP,2,i_P+0))/(INDEX(CdP,1,i_P+1)-INDEX(CdP,1,i_P+0))*(t-pas/2-T_ini-INDEX(CdP,1,i_P+0))+INDEX(CdP,2,i_P+0)</f>
        <v>1272.93</v>
      </c>
      <c r="R97" s="396" t="n">
        <f aca="false">Poussee/(g*ISP)</f>
        <v>0.625558214169058</v>
      </c>
      <c r="S97" s="398" t="n">
        <f aca="false">S96-Débit*pas</f>
        <v>8.84121597296304</v>
      </c>
      <c r="T97" s="397" t="n">
        <f aca="false">m*g</f>
        <v>86.7323286947675</v>
      </c>
      <c r="U97" s="400" t="n">
        <f aca="false">IF(pos_xz&lt;L_rampe,Poids*COS(Beta),0)</f>
        <v>0</v>
      </c>
      <c r="V97" s="396" t="n">
        <f aca="false">Rho_moyen*(20000-Alt_rampe-pos_z)/(20000+Alt_rampe+pos_z)</f>
        <v>1.21837711991044</v>
      </c>
      <c r="W97" s="397" t="n">
        <f aca="false">1/2*Rho*Sref*Cx*vit_xz^2</f>
        <v>66.5283698581737</v>
      </c>
      <c r="Y97" s="401" t="str">
        <f aca="false">IF(AND(pos_z&lt;=0,K96&gt;0),"Impact balistique","") &amp; IF(AND(H98&lt;0,vit_z&gt;=0),"Apogée","") &amp; IF(AND(Poussee=0,Q96&gt;0),"Fin de propulsion","") &amp; IF(AND(L98&gt;L_rampe,pos_xz&lt;=L_rampe),"Sortie de rampe","")</f>
        <v/>
      </c>
      <c r="Z97" s="402" t="str">
        <f aca="false">IF(ABS(t-T_para)&lt;pas/2,"Para","")</f>
        <v/>
      </c>
      <c r="AA97" s="403" t="str">
        <f aca="false">IF(ABS(t-T_satellite)&lt;pas/2,"Satellite","")</f>
        <v/>
      </c>
      <c r="AC97" s="399" t="e">
        <f aca="false">IF(ABS(t-ROUND(t,0))&lt;0.001,t,NA())</f>
        <v>#N/A</v>
      </c>
      <c r="AD97" s="404" t="e">
        <f aca="false">IF(ABS(t-ROUND(t,0))&lt;0.001,pos_x,NA())</f>
        <v>#N/A</v>
      </c>
      <c r="AE97" s="405" t="n">
        <f aca="false">IF(t&lt;T_para, pos_z, NA())</f>
        <v>54.2108709752172</v>
      </c>
      <c r="AG97" s="396" t="n">
        <f aca="false">IF(AND(L96&lt;L_rampe,Poussee&lt;Poids*SIN(M96)),0,(-W96+Poussee)/m-Poids*SIN(M96)/m)</f>
        <v>126.9782675186</v>
      </c>
      <c r="AH97" s="397" t="n">
        <f aca="false">IF(AND(L96&lt;L_rampe,Poussee&lt;Poids*SIN(M96)), g*SIN(M96), (-W96+Poussee)/m)</f>
        <v>136.608937962667</v>
      </c>
    </row>
    <row r="98" customFormat="false" ht="12.75" hidden="false" customHeight="false" outlineLevel="0" collapsed="false">
      <c r="A98" s="396" t="n">
        <f aca="false">IF(B97+0.01&lt;=T_ini+ROUNDUP(Temps_fin_propu,0), 0.01, IF(K97&gt;0, 0.1, 0.0001))</f>
        <v>0.01</v>
      </c>
      <c r="B98" s="397" t="n">
        <f aca="false">B97+pas</f>
        <v>0.940000000000001</v>
      </c>
      <c r="D98" s="396" t="n">
        <f aca="false">IF(AND(L97&lt;L_rampe,Poussee&lt;Poids*SIN(M97)),0,(-W97+Poussee)/m*COS(M97)-U97/m*SIN(M97))</f>
        <v>25.9440296096967</v>
      </c>
      <c r="E98" s="398" t="n">
        <f aca="false">IF(AND(L97&lt;L_rampe,Poussee&lt;Poids*SIN(M97)),0,(-W97+Poussee)/m*SIN(M97)+U97/m*COS(M97)-Poids/m)</f>
        <v>123.896424471702</v>
      </c>
      <c r="F98" s="397" t="n">
        <f aca="false">SQRT(acc_x^2+acc_z^2)</f>
        <v>126.583635076818</v>
      </c>
      <c r="G98" s="396" t="n">
        <f aca="false">G97+acc_x*pas</f>
        <v>23.2055155961957</v>
      </c>
      <c r="H98" s="398" t="n">
        <f aca="false">H97+acc_z*pas</f>
        <v>119.494984230446</v>
      </c>
      <c r="I98" s="397" t="n">
        <f aca="false">SQRT(vit_x^2+vit_z^2)</f>
        <v>121.72734783244</v>
      </c>
      <c r="J98" s="396" t="n">
        <f aca="false">J97+0.5*(vit_x+G97)*pas*(K97&gt;=0)</f>
        <v>10.3967831676797</v>
      </c>
      <c r="K98" s="398" t="n">
        <f aca="false">K97+0.5*(vit_z+H97)*pas</f>
        <v>55.3996259962981</v>
      </c>
      <c r="L98" s="397" t="n">
        <f aca="false">SQRT(pos_x^2+pos_z^2)</f>
        <v>56.3667602472012</v>
      </c>
      <c r="M98" s="396" t="n">
        <f aca="false">IF(AND(L97&gt;L_rampe,G98&gt;0),ATAN2(G98,H98),$M$4)</f>
        <v>1.37898716853586</v>
      </c>
      <c r="N98" s="397" t="n">
        <f aca="false">DEGREES(Beta)</f>
        <v>79.0101447598003</v>
      </c>
      <c r="P98" s="399" t="n">
        <f aca="false">MATCH(t-pas/2-T_ini,CdP_t)</f>
        <v>9</v>
      </c>
      <c r="Q98" s="397" t="n">
        <f aca="false">(INDEX(CdP,2,i_P+1)-INDEX(CdP,2,i_P+0))/(INDEX(CdP,1,i_P+1)-INDEX(CdP,1,i_P+0))*(t-pas/2-T_ini-INDEX(CdP,1,i_P+0))+INDEX(CdP,2,i_P+0)</f>
        <v>1269.854</v>
      </c>
      <c r="R98" s="396" t="n">
        <f aca="false">Poussee/(g*ISP)</f>
        <v>0.624046570114174</v>
      </c>
      <c r="S98" s="398" t="n">
        <f aca="false">S97-Débit*pas</f>
        <v>8.8349755072619</v>
      </c>
      <c r="T98" s="397" t="n">
        <f aca="false">m*g</f>
        <v>86.6711097262392</v>
      </c>
      <c r="U98" s="400" t="n">
        <f aca="false">IF(pos_xz&lt;L_rampe,Poids*COS(Beta),0)</f>
        <v>0</v>
      </c>
      <c r="V98" s="396" t="n">
        <f aca="false">Rho_moyen*(20000-Alt_rampe-pos_z)/(20000+Alt_rampe+pos_z)</f>
        <v>1.21823229223939</v>
      </c>
      <c r="W98" s="397" t="n">
        <f aca="false">1/2*Rho*Sref*Cx*vit_xz^2</f>
        <v>67.925676715691</v>
      </c>
      <c r="Y98" s="401" t="str">
        <f aca="false">IF(AND(pos_z&lt;=0,K97&gt;0),"Impact balistique","") &amp; IF(AND(H99&lt;0,vit_z&gt;=0),"Apogée","") &amp; IF(AND(Poussee=0,Q97&gt;0),"Fin de propulsion","") &amp; IF(AND(L99&gt;L_rampe,pos_xz&lt;=L_rampe),"Sortie de rampe","")</f>
        <v/>
      </c>
      <c r="Z98" s="402" t="str">
        <f aca="false">IF(ABS(t-T_para)&lt;pas/2,"Para","")</f>
        <v/>
      </c>
      <c r="AA98" s="403" t="str">
        <f aca="false">IF(ABS(t-T_satellite)&lt;pas/2,"Satellite","")</f>
        <v/>
      </c>
      <c r="AC98" s="399" t="e">
        <f aca="false">IF(ABS(t-ROUND(t,0))&lt;0.001,t,NA())</f>
        <v>#N/A</v>
      </c>
      <c r="AD98" s="404" t="e">
        <f aca="false">IF(ABS(t-ROUND(t,0))&lt;0.001,pos_x,NA())</f>
        <v>#N/A</v>
      </c>
      <c r="AE98" s="405" t="n">
        <f aca="false">IF(t&lt;T_para, pos_z, NA())</f>
        <v>55.3996259962981</v>
      </c>
      <c r="AG98" s="396" t="n">
        <f aca="false">IF(AND(L97&lt;L_rampe,Poussee&lt;Poids*SIN(M97)),0,(-W97+Poussee)/m-Poids*SIN(M97)/m)</f>
        <v>126.56984161278</v>
      </c>
      <c r="AH98" s="397" t="n">
        <f aca="false">IF(AND(L97&lt;L_rampe,Poussee&lt;Poids*SIN(M97)), g*SIN(M97), (-W97+Poussee)/m)</f>
        <v>136.20022253064</v>
      </c>
    </row>
    <row r="99" customFormat="false" ht="12.75" hidden="false" customHeight="false" outlineLevel="0" collapsed="false">
      <c r="A99" s="396" t="n">
        <f aca="false">IF(B98+0.01&lt;=T_ini+ROUNDUP(Temps_fin_propu,0), 0.01, IF(K98&gt;0, 0.1, 0.0001))</f>
        <v>0.01</v>
      </c>
      <c r="B99" s="397" t="n">
        <f aca="false">B98+pas</f>
        <v>0.950000000000001</v>
      </c>
      <c r="D99" s="396" t="n">
        <f aca="false">IF(AND(L98&lt;L_rampe,Poussee&lt;Poids*SIN(M98)),0,(-W98+Poussee)/m*COS(M98)-U98/m*SIN(M98))</f>
        <v>25.8862728647155</v>
      </c>
      <c r="E99" s="398" t="n">
        <f aca="false">IF(AND(L98&lt;L_rampe,Poussee&lt;Poids*SIN(M98)),0,(-W98+Poussee)/m*SIN(M98)+U98/m*COS(M98)-Poids/m)</f>
        <v>123.489333726561</v>
      </c>
      <c r="F99" s="397" t="n">
        <f aca="false">SQRT(acc_x^2+acc_z^2)</f>
        <v>126.173351651831</v>
      </c>
      <c r="G99" s="396" t="n">
        <f aca="false">G98+acc_x*pas</f>
        <v>23.4643783248428</v>
      </c>
      <c r="H99" s="398" t="n">
        <f aca="false">H98+acc_z*pas</f>
        <v>120.729877567712</v>
      </c>
      <c r="I99" s="397" t="n">
        <f aca="false">SQRT(vit_x^2+vit_z^2)</f>
        <v>122.988944168515</v>
      </c>
      <c r="J99" s="396" t="n">
        <f aca="false">J98+0.5*(vit_x+G98)*pas*(K98&gt;=0)</f>
        <v>10.6301326372849</v>
      </c>
      <c r="K99" s="398" t="n">
        <f aca="false">K98+0.5*(vit_z+H98)*pas</f>
        <v>56.6007503052889</v>
      </c>
      <c r="L99" s="397" t="n">
        <f aca="false">SQRT(pos_x^2+pos_z^2)</f>
        <v>57.5903173720021</v>
      </c>
      <c r="M99" s="396" t="n">
        <f aca="false">IF(AND(L98&gt;L_rampe,G99&gt;0),ATAN2(G99,H99),$M$4)</f>
        <v>1.37883511168273</v>
      </c>
      <c r="N99" s="397" t="n">
        <f aca="false">DEGREES(Beta)</f>
        <v>79.0014325438702</v>
      </c>
      <c r="P99" s="399" t="n">
        <f aca="false">MATCH(t-pas/2-T_ini,CdP_t)</f>
        <v>9</v>
      </c>
      <c r="Q99" s="397" t="n">
        <f aca="false">(INDEX(CdP,2,i_P+1)-INDEX(CdP,2,i_P+0))/(INDEX(CdP,1,i_P+1)-INDEX(CdP,1,i_P+0))*(t-pas/2-T_ini-INDEX(CdP,1,i_P+0))+INDEX(CdP,2,i_P+0)</f>
        <v>1266.778</v>
      </c>
      <c r="R99" s="396" t="n">
        <f aca="false">Poussee/(g*ISP)</f>
        <v>0.622534926059289</v>
      </c>
      <c r="S99" s="398" t="n">
        <f aca="false">S98-Débit*pas</f>
        <v>8.82875015800131</v>
      </c>
      <c r="T99" s="397" t="n">
        <f aca="false">m*g</f>
        <v>86.6100390499928</v>
      </c>
      <c r="U99" s="400" t="n">
        <f aca="false">IF(pos_xz&lt;L_rampe,Poids*COS(Beta),0)</f>
        <v>0</v>
      </c>
      <c r="V99" s="396" t="n">
        <f aca="false">Rho_moyen*(20000-Alt_rampe-pos_z)/(20000+Alt_rampe+pos_z)</f>
        <v>1.21808597503763</v>
      </c>
      <c r="W99" s="397" t="n">
        <f aca="false">1/2*Rho*Sref*Cx*vit_xz^2</f>
        <v>69.3326238363411</v>
      </c>
      <c r="Y99" s="401" t="str">
        <f aca="false">IF(AND(pos_z&lt;=0,K98&gt;0),"Impact balistique","") &amp; IF(AND(H100&lt;0,vit_z&gt;=0),"Apogée","") &amp; IF(AND(Poussee=0,Q98&gt;0),"Fin de propulsion","") &amp; IF(AND(L100&gt;L_rampe,pos_xz&lt;=L_rampe),"Sortie de rampe","")</f>
        <v/>
      </c>
      <c r="Z99" s="402" t="str">
        <f aca="false">IF(ABS(t-T_para)&lt;pas/2,"Para","")</f>
        <v/>
      </c>
      <c r="AA99" s="403" t="str">
        <f aca="false">IF(ABS(t-T_satellite)&lt;pas/2,"Satellite","")</f>
        <v/>
      </c>
      <c r="AC99" s="399" t="e">
        <f aca="false">IF(ABS(t-ROUND(t,0))&lt;0.001,t,NA())</f>
        <v>#N/A</v>
      </c>
      <c r="AD99" s="404" t="e">
        <f aca="false">IF(ABS(t-ROUND(t,0))&lt;0.001,pos_x,NA())</f>
        <v>#N/A</v>
      </c>
      <c r="AE99" s="405" t="n">
        <f aca="false">IF(t&lt;T_para, pos_z, NA())</f>
        <v>56.6007503052889</v>
      </c>
      <c r="AG99" s="396" t="n">
        <f aca="false">IF(AND(L98&lt;L_rampe,Poussee&lt;Poids*SIN(M98)),0,(-W98+Poussee)/m-Poids*SIN(M98)/m)</f>
        <v>126.159491424331</v>
      </c>
      <c r="AH99" s="397" t="n">
        <f aca="false">IF(AND(L98&lt;L_rampe,Poussee&lt;Poids*SIN(M98)), g*SIN(M98), (-W98+Poussee)/m)</f>
        <v>135.789585369319</v>
      </c>
    </row>
    <row r="100" customFormat="false" ht="12.75" hidden="false" customHeight="false" outlineLevel="0" collapsed="false">
      <c r="A100" s="396" t="n">
        <f aca="false">IF(B99+0.01&lt;=T_ini+ROUNDUP(Temps_fin_propu,0), 0.01, IF(K99&gt;0, 0.1, 0.0001))</f>
        <v>0.01</v>
      </c>
      <c r="B100" s="397" t="n">
        <f aca="false">B99+pas</f>
        <v>0.960000000000001</v>
      </c>
      <c r="D100" s="396" t="n">
        <f aca="false">IF(AND(L99&lt;L_rampe,Poussee&lt;Poids*SIN(M99)),0,(-W99+Poussee)/m*COS(M99)-U99/m*SIN(M99))</f>
        <v>25.827835174739</v>
      </c>
      <c r="E100" s="398" t="n">
        <f aca="false">IF(AND(L99&lt;L_rampe,Poussee&lt;Poids*SIN(M99)),0,(-W99+Poussee)/m*SIN(M99)+U99/m*COS(M99)-Poids/m)</f>
        <v>123.080432267873</v>
      </c>
      <c r="F100" s="397" t="n">
        <f aca="false">SQRT(acc_x^2+acc_z^2)</f>
        <v>125.76116203765</v>
      </c>
      <c r="G100" s="396" t="n">
        <f aca="false">G99+acc_x*pas</f>
        <v>23.7226566765902</v>
      </c>
      <c r="H100" s="398" t="n">
        <f aca="false">H99+acc_z*pas</f>
        <v>121.960681890391</v>
      </c>
      <c r="I100" s="397" t="n">
        <f aca="false">SQRT(vit_x^2+vit_z^2)</f>
        <v>124.246417924077</v>
      </c>
      <c r="J100" s="396" t="n">
        <f aca="false">J99+0.5*(vit_x+G99)*pas*(K99&gt;=0)</f>
        <v>10.8660678122921</v>
      </c>
      <c r="K100" s="398" t="n">
        <f aca="false">K99+0.5*(vit_z+H99)*pas</f>
        <v>57.8142031025794</v>
      </c>
      <c r="L100" s="397" t="n">
        <f aca="false">SQRT(pos_x^2+pos_z^2)</f>
        <v>58.8264694681538</v>
      </c>
      <c r="M100" s="396" t="n">
        <f aca="false">IF(AND(L99&gt;L_rampe,G100&gt;0),ATAN2(G100,H100),$M$4)</f>
        <v>1.37868447591285</v>
      </c>
      <c r="N100" s="397" t="n">
        <f aca="false">DEGREES(Beta)</f>
        <v>78.992801750012</v>
      </c>
      <c r="P100" s="399" t="n">
        <f aca="false">MATCH(t-pas/2-T_ini,CdP_t)</f>
        <v>9</v>
      </c>
      <c r="Q100" s="397" t="n">
        <f aca="false">(INDEX(CdP,2,i_P+1)-INDEX(CdP,2,i_P+0))/(INDEX(CdP,1,i_P+1)-INDEX(CdP,1,i_P+0))*(t-pas/2-T_ini-INDEX(CdP,1,i_P+0))+INDEX(CdP,2,i_P+0)</f>
        <v>1263.702</v>
      </c>
      <c r="R100" s="396" t="n">
        <f aca="false">Poussee/(g*ISP)</f>
        <v>0.621023282004405</v>
      </c>
      <c r="S100" s="398" t="n">
        <f aca="false">S99-Débit*pas</f>
        <v>8.82253992518126</v>
      </c>
      <c r="T100" s="397" t="n">
        <f aca="false">m*g</f>
        <v>86.5491166660282</v>
      </c>
      <c r="U100" s="400" t="n">
        <f aca="false">IF(pos_xz&lt;L_rampe,Poids*COS(Beta),0)</f>
        <v>0</v>
      </c>
      <c r="V100" s="396" t="n">
        <f aca="false">Rho_moyen*(20000-Alt_rampe-pos_z)/(20000+Alt_rampe+pos_z)</f>
        <v>1.21793817381261</v>
      </c>
      <c r="W100" s="397" t="n">
        <f aca="false">1/2*Rho*Sref*Cx*vit_xz^2</f>
        <v>70.7490386527241</v>
      </c>
      <c r="Y100" s="401" t="str">
        <f aca="false">IF(AND(pos_z&lt;=0,K99&gt;0),"Impact balistique","") &amp; IF(AND(H101&lt;0,vit_z&gt;=0),"Apogée","") &amp; IF(AND(Poussee=0,Q99&gt;0),"Fin de propulsion","") &amp; IF(AND(L101&gt;L_rampe,pos_xz&lt;=L_rampe),"Sortie de rampe","")</f>
        <v/>
      </c>
      <c r="Z100" s="402" t="str">
        <f aca="false">IF(ABS(t-T_para)&lt;pas/2,"Para","")</f>
        <v/>
      </c>
      <c r="AA100" s="403" t="str">
        <f aca="false">IF(ABS(t-T_satellite)&lt;pas/2,"Satellite","")</f>
        <v/>
      </c>
      <c r="AC100" s="399" t="e">
        <f aca="false">IF(ABS(t-ROUND(t,0))&lt;0.001,t,NA())</f>
        <v>#N/A</v>
      </c>
      <c r="AD100" s="404" t="e">
        <f aca="false">IF(ABS(t-ROUND(t,0))&lt;0.001,pos_x,NA())</f>
        <v>#N/A</v>
      </c>
      <c r="AE100" s="405" t="n">
        <f aca="false">IF(t&lt;T_para, pos_z, NA())</f>
        <v>57.8142031025794</v>
      </c>
      <c r="AG100" s="396" t="n">
        <f aca="false">IF(AND(L99&lt;L_rampe,Poussee&lt;Poids*SIN(M99)),0,(-W99+Poussee)/m-Poids*SIN(M99)/m)</f>
        <v>125.747234591614</v>
      </c>
      <c r="AH100" s="397" t="n">
        <f aca="false">IF(AND(L99&lt;L_rampe,Poussee&lt;Poids*SIN(M99)), g*SIN(M99), (-W99+Poussee)/m)</f>
        <v>135.377044059012</v>
      </c>
    </row>
    <row r="101" customFormat="false" ht="12.75" hidden="false" customHeight="false" outlineLevel="0" collapsed="false">
      <c r="A101" s="396" t="n">
        <f aca="false">IF(B100+0.01&lt;=T_ini+ROUNDUP(Temps_fin_propu,0), 0.01, IF(K100&gt;0, 0.1, 0.0001))</f>
        <v>0.01</v>
      </c>
      <c r="B101" s="397" t="n">
        <f aca="false">B100+pas</f>
        <v>0.970000000000001</v>
      </c>
      <c r="D101" s="396" t="n">
        <f aca="false">IF(AND(L100&lt;L_rampe,Poussee&lt;Poids*SIN(M100)),0,(-W100+Poussee)/m*COS(M100)-U100/m*SIN(M100))</f>
        <v>25.7687252757572</v>
      </c>
      <c r="E101" s="398" t="n">
        <f aca="false">IF(AND(L100&lt;L_rampe,Poussee&lt;Poids*SIN(M100)),0,(-W100+Poussee)/m*SIN(M100)+U100/m*COS(M100)-Poids/m)</f>
        <v>122.669736520354</v>
      </c>
      <c r="F101" s="397" t="n">
        <f aca="false">SQRT(acc_x^2+acc_z^2)</f>
        <v>125.347083972108</v>
      </c>
      <c r="G101" s="396" t="n">
        <f aca="false">G100+acc_x*pas</f>
        <v>23.9803439293478</v>
      </c>
      <c r="H101" s="398" t="n">
        <f aca="false">H100+acc_z*pas</f>
        <v>123.187379255594</v>
      </c>
      <c r="I101" s="397" t="n">
        <f aca="false">SQRT(vit_x^2+vit_z^2)</f>
        <v>125.499750210235</v>
      </c>
      <c r="J101" s="396" t="n">
        <f aca="false">J100+0.5*(vit_x+G100)*pas*(K100&gt;=0)</f>
        <v>11.1045828153218</v>
      </c>
      <c r="K101" s="398" t="n">
        <f aca="false">K100+0.5*(vit_z+H100)*pas</f>
        <v>59.0399434083093</v>
      </c>
      <c r="L101" s="397" t="n">
        <f aca="false">SQRT(pos_x^2+pos_z^2)</f>
        <v>60.0751752153808</v>
      </c>
      <c r="M101" s="396" t="n">
        <f aca="false">IF(AND(L100&gt;L_rampe,G101&gt;0),ATAN2(G101,H101),$M$4)</f>
        <v>1.37853522891823</v>
      </c>
      <c r="N101" s="397" t="n">
        <f aca="false">DEGREES(Beta)</f>
        <v>78.9842505271157</v>
      </c>
      <c r="P101" s="399" t="n">
        <f aca="false">MATCH(t-pas/2-T_ini,CdP_t)</f>
        <v>9</v>
      </c>
      <c r="Q101" s="397" t="n">
        <f aca="false">(INDEX(CdP,2,i_P+1)-INDEX(CdP,2,i_P+0))/(INDEX(CdP,1,i_P+1)-INDEX(CdP,1,i_P+0))*(t-pas/2-T_ini-INDEX(CdP,1,i_P+0))+INDEX(CdP,2,i_P+0)</f>
        <v>1260.626</v>
      </c>
      <c r="R101" s="396" t="n">
        <f aca="false">Poussee/(g*ISP)</f>
        <v>0.619511637949521</v>
      </c>
      <c r="S101" s="398" t="n">
        <f aca="false">S100-Débit*pas</f>
        <v>8.81634480880177</v>
      </c>
      <c r="T101" s="397" t="n">
        <f aca="false">m*g</f>
        <v>86.4883425743454</v>
      </c>
      <c r="U101" s="400" t="n">
        <f aca="false">IF(pos_xz&lt;L_rampe,Poids*COS(Beta),0)</f>
        <v>0</v>
      </c>
      <c r="V101" s="396" t="n">
        <f aca="false">Rho_moyen*(20000-Alt_rampe-pos_z)/(20000+Alt_rampe+pos_z)</f>
        <v>1.2177888940967</v>
      </c>
      <c r="W101" s="397" t="n">
        <f aca="false">1/2*Rho*Sref*Cx*vit_xz^2</f>
        <v>72.1747484223336</v>
      </c>
      <c r="Y101" s="401" t="str">
        <f aca="false">IF(AND(pos_z&lt;=0,K100&gt;0),"Impact balistique","") &amp; IF(AND(H102&lt;0,vit_z&gt;=0),"Apogée","") &amp; IF(AND(Poussee=0,Q100&gt;0),"Fin de propulsion","") &amp; IF(AND(L102&gt;L_rampe,pos_xz&lt;=L_rampe),"Sortie de rampe","")</f>
        <v/>
      </c>
      <c r="Z101" s="402" t="str">
        <f aca="false">IF(ABS(t-T_para)&lt;pas/2,"Para","")</f>
        <v/>
      </c>
      <c r="AA101" s="403" t="str">
        <f aca="false">IF(ABS(t-T_satellite)&lt;pas/2,"Satellite","")</f>
        <v/>
      </c>
      <c r="AC101" s="399" t="e">
        <f aca="false">IF(ABS(t-ROUND(t,0))&lt;0.001,t,NA())</f>
        <v>#N/A</v>
      </c>
      <c r="AD101" s="404" t="e">
        <f aca="false">IF(ABS(t-ROUND(t,0))&lt;0.001,pos_x,NA())</f>
        <v>#N/A</v>
      </c>
      <c r="AE101" s="405" t="n">
        <f aca="false">IF(t&lt;T_para, pos_z, NA())</f>
        <v>59.0399434083093</v>
      </c>
      <c r="AG101" s="396" t="n">
        <f aca="false">IF(AND(L100&lt;L_rampe,Poussee&lt;Poids*SIN(M100)),0,(-W100+Poussee)/m-Poids*SIN(M100)/m)</f>
        <v>125.333088842551</v>
      </c>
      <c r="AH101" s="397" t="n">
        <f aca="false">IF(AND(L100&lt;L_rampe,Poussee&lt;Poids*SIN(M100)), g*SIN(M100), (-W100+Poussee)/m)</f>
        <v>134.96261627147</v>
      </c>
    </row>
    <row r="102" customFormat="false" ht="12.75" hidden="false" customHeight="false" outlineLevel="0" collapsed="false">
      <c r="A102" s="396" t="n">
        <f aca="false">IF(B101+0.01&lt;=T_ini+ROUNDUP(Temps_fin_propu,0), 0.01, IF(K101&gt;0, 0.1, 0.0001))</f>
        <v>0.01</v>
      </c>
      <c r="B102" s="397" t="n">
        <f aca="false">B101+pas</f>
        <v>0.980000000000001</v>
      </c>
      <c r="D102" s="396" t="n">
        <f aca="false">IF(AND(L101&lt;L_rampe,Poussee&lt;Poids*SIN(M101)),0,(-W101+Poussee)/m*COS(M101)-U101/m*SIN(M101))</f>
        <v>25.7089517472969</v>
      </c>
      <c r="E102" s="398" t="n">
        <f aca="false">IF(AND(L101&lt;L_rampe,Poussee&lt;Poids*SIN(M101)),0,(-W101+Poussee)/m*SIN(M101)+U101/m*COS(M101)-Poids/m)</f>
        <v>122.257263025454</v>
      </c>
      <c r="F102" s="397" t="n">
        <f aca="false">SQRT(acc_x^2+acc_z^2)</f>
        <v>124.931135280281</v>
      </c>
      <c r="G102" s="396" t="n">
        <f aca="false">G101+acc_x*pas</f>
        <v>24.2374334468208</v>
      </c>
      <c r="H102" s="398" t="n">
        <f aca="false">H101+acc_z*pas</f>
        <v>124.409951885849</v>
      </c>
      <c r="I102" s="397" t="n">
        <f aca="false">SQRT(vit_x^2+vit_z^2)</f>
        <v>126.74892231624</v>
      </c>
      <c r="J102" s="396" t="n">
        <f aca="false">J101+0.5*(vit_x+G101)*pas*(K101&gt;=0)</f>
        <v>11.3456717022026</v>
      </c>
      <c r="K102" s="398" t="n">
        <f aca="false">K101+0.5*(vit_z+H101)*pas</f>
        <v>60.2779300640165</v>
      </c>
      <c r="L102" s="397" t="n">
        <f aca="false">SQRT(pos_x^2+pos_z^2)</f>
        <v>61.3363931053712</v>
      </c>
      <c r="M102" s="396" t="n">
        <f aca="false">IF(AND(L101&gt;L_rampe,G102&gt;0),ATAN2(G102,H102),$M$4)</f>
        <v>1.37838733943901</v>
      </c>
      <c r="N102" s="397" t="n">
        <f aca="false">DEGREES(Beta)</f>
        <v>78.9757770841215</v>
      </c>
      <c r="P102" s="399" t="n">
        <f aca="false">MATCH(t-pas/2-T_ini,CdP_t)</f>
        <v>9</v>
      </c>
      <c r="Q102" s="397" t="n">
        <f aca="false">(INDEX(CdP,2,i_P+1)-INDEX(CdP,2,i_P+0))/(INDEX(CdP,1,i_P+1)-INDEX(CdP,1,i_P+0))*(t-pas/2-T_ini-INDEX(CdP,1,i_P+0))+INDEX(CdP,2,i_P+0)</f>
        <v>1257.55</v>
      </c>
      <c r="R102" s="396" t="n">
        <f aca="false">Poussee/(g*ISP)</f>
        <v>0.617999993894636</v>
      </c>
      <c r="S102" s="398" t="n">
        <f aca="false">S101-Débit*pas</f>
        <v>8.81016480886282</v>
      </c>
      <c r="T102" s="397" t="n">
        <f aca="false">m*g</f>
        <v>86.4277167749443</v>
      </c>
      <c r="U102" s="400" t="n">
        <f aca="false">IF(pos_xz&lt;L_rampe,Poids*COS(Beta),0)</f>
        <v>0</v>
      </c>
      <c r="V102" s="396" t="n">
        <f aca="false">Rho_moyen*(20000-Alt_rampe-pos_z)/(20000+Alt_rampe+pos_z)</f>
        <v>1.21763814144691</v>
      </c>
      <c r="W102" s="397" t="n">
        <f aca="false">1/2*Rho*Sref*Cx*vit_xz^2</f>
        <v>73.6095802486356</v>
      </c>
      <c r="Y102" s="401" t="str">
        <f aca="false">IF(AND(pos_z&lt;=0,K101&gt;0),"Impact balistique","") &amp; IF(AND(H103&lt;0,vit_z&gt;=0),"Apogée","") &amp; IF(AND(Poussee=0,Q101&gt;0),"Fin de propulsion","") &amp; IF(AND(L103&gt;L_rampe,pos_xz&lt;=L_rampe),"Sortie de rampe","")</f>
        <v/>
      </c>
      <c r="Z102" s="402" t="str">
        <f aca="false">IF(ABS(t-T_para)&lt;pas/2,"Para","")</f>
        <v/>
      </c>
      <c r="AA102" s="403" t="str">
        <f aca="false">IF(ABS(t-T_satellite)&lt;pas/2,"Satellite","")</f>
        <v/>
      </c>
      <c r="AC102" s="399" t="e">
        <f aca="false">IF(ABS(t-ROUND(t,0))&lt;0.001,t,NA())</f>
        <v>#N/A</v>
      </c>
      <c r="AD102" s="404" t="e">
        <f aca="false">IF(ABS(t-ROUND(t,0))&lt;0.001,pos_x,NA())</f>
        <v>#N/A</v>
      </c>
      <c r="AE102" s="405" t="n">
        <f aca="false">IF(t&lt;T_para, pos_z, NA())</f>
        <v>60.2779300640165</v>
      </c>
      <c r="AG102" s="396" t="n">
        <f aca="false">IF(AND(L101&lt;L_rampe,Poussee&lt;Poids*SIN(M101)),0,(-W101+Poussee)/m-Poids*SIN(M101)/m)</f>
        <v>124.917071992325</v>
      </c>
      <c r="AH102" s="397" t="n">
        <f aca="false">IF(AND(L101&lt;L_rampe,Poussee&lt;Poids*SIN(M101)), g*SIN(M101), (-W101+Poussee)/m)</f>
        <v>134.546319767504</v>
      </c>
    </row>
    <row r="103" customFormat="false" ht="12.75" hidden="false" customHeight="false" outlineLevel="0" collapsed="false">
      <c r="A103" s="396" t="n">
        <f aca="false">IF(B102+0.01&lt;=T_ini+ROUNDUP(Temps_fin_propu,0), 0.01, IF(K102&gt;0, 0.1, 0.0001))</f>
        <v>0.01</v>
      </c>
      <c r="B103" s="397" t="n">
        <f aca="false">B102+pas</f>
        <v>0.990000000000001</v>
      </c>
      <c r="D103" s="396" t="n">
        <f aca="false">IF(AND(L102&lt;L_rampe,Poussee&lt;Poids*SIN(M102)),0,(-W102+Poussee)/m*COS(M102)-U102/m*SIN(M102))</f>
        <v>25.6485230197606</v>
      </c>
      <c r="E103" s="398" t="n">
        <f aca="false">IF(AND(L102&lt;L_rampe,Poussee&lt;Poids*SIN(M102)),0,(-W102+Poussee)/m*SIN(M102)+U102/m*COS(M102)-Poids/m)</f>
        <v>121.843028437714</v>
      </c>
      <c r="F103" s="397" t="n">
        <f aca="false">SQRT(acc_x^2+acc_z^2)</f>
        <v>124.513333872195</v>
      </c>
      <c r="G103" s="396" t="n">
        <f aca="false">G102+acc_x*pas</f>
        <v>24.4939186770184</v>
      </c>
      <c r="H103" s="398" t="n">
        <f aca="false">H102+acc_z*pas</f>
        <v>125.628382170226</v>
      </c>
      <c r="I103" s="397" t="n">
        <f aca="false">SQRT(vit_x^2+vit_z^2)</f>
        <v>127.993915710336</v>
      </c>
      <c r="J103" s="396" t="n">
        <f aca="false">J102+0.5*(vit_x+G102)*pas*(K102&gt;=0)</f>
        <v>11.5893284628218</v>
      </c>
      <c r="K103" s="398" t="n">
        <f aca="false">K102+0.5*(vit_z+H102)*pas</f>
        <v>61.5281217342969</v>
      </c>
      <c r="L103" s="397" t="n">
        <f aca="false">SQRT(pos_x^2+pos_z^2)</f>
        <v>62.6100814435633</v>
      </c>
      <c r="M103" s="396" t="n">
        <f aca="false">IF(AND(L102&gt;L_rampe,G103&gt;0),ATAN2(G103,H103),$M$4)</f>
        <v>1.37824077721808</v>
      </c>
      <c r="N103" s="397" t="n">
        <f aca="false">DEGREES(Beta)</f>
        <v>78.9673796874261</v>
      </c>
      <c r="P103" s="399" t="n">
        <f aca="false">MATCH(t-pas/2-T_ini,CdP_t)</f>
        <v>9</v>
      </c>
      <c r="Q103" s="397" t="n">
        <f aca="false">(INDEX(CdP,2,i_P+1)-INDEX(CdP,2,i_P+0))/(INDEX(CdP,1,i_P+1)-INDEX(CdP,1,i_P+0))*(t-pas/2-T_ini-INDEX(CdP,1,i_P+0))+INDEX(CdP,2,i_P+0)</f>
        <v>1254.474</v>
      </c>
      <c r="R103" s="396" t="n">
        <f aca="false">Poussee/(g*ISP)</f>
        <v>0.616488349839752</v>
      </c>
      <c r="S103" s="398" t="n">
        <f aca="false">S102-Débit*pas</f>
        <v>8.80399992536442</v>
      </c>
      <c r="T103" s="397" t="n">
        <f aca="false">m*g</f>
        <v>86.367239267825</v>
      </c>
      <c r="U103" s="400" t="n">
        <f aca="false">IF(pos_xz&lt;L_rampe,Poids*COS(Beta),0)</f>
        <v>0</v>
      </c>
      <c r="V103" s="396" t="n">
        <f aca="false">Rho_moyen*(20000-Alt_rampe-pos_z)/(20000+Alt_rampe+pos_z)</f>
        <v>1.21748592144455</v>
      </c>
      <c r="W103" s="397" t="n">
        <f aca="false">1/2*Rho*Sref*Cx*vit_xz^2</f>
        <v>75.0533611020885</v>
      </c>
      <c r="Y103" s="401" t="str">
        <f aca="false">IF(AND(pos_z&lt;=0,K102&gt;0),"Impact balistique","") &amp; IF(AND(H104&lt;0,vit_z&gt;=0),"Apogée","") &amp; IF(AND(Poussee=0,Q102&gt;0),"Fin de propulsion","") &amp; IF(AND(L104&gt;L_rampe,pos_xz&lt;=L_rampe),"Sortie de rampe","")</f>
        <v/>
      </c>
      <c r="Z103" s="402" t="str">
        <f aca="false">IF(ABS(t-T_para)&lt;pas/2,"Para","")</f>
        <v/>
      </c>
      <c r="AA103" s="403" t="str">
        <f aca="false">IF(ABS(t-T_satellite)&lt;pas/2,"Satellite","")</f>
        <v/>
      </c>
      <c r="AC103" s="399" t="e">
        <f aca="false">IF(ABS(t-ROUND(t,0))&lt;0.001,t,NA())</f>
        <v>#N/A</v>
      </c>
      <c r="AD103" s="404" t="e">
        <f aca="false">IF(ABS(t-ROUND(t,0))&lt;0.001,pos_x,NA())</f>
        <v>#N/A</v>
      </c>
      <c r="AE103" s="405" t="n">
        <f aca="false">IF(t&lt;T_para, pos_z, NA())</f>
        <v>61.5281217342969</v>
      </c>
      <c r="AG103" s="396" t="n">
        <f aca="false">IF(AND(L102&lt;L_rampe,Poussee&lt;Poids*SIN(M102)),0,(-W102+Poussee)/m-Poids*SIN(M102)/m)</f>
        <v>124.499201941072</v>
      </c>
      <c r="AH103" s="397" t="n">
        <f aca="false">IF(AND(L102&lt;L_rampe,Poussee&lt;Poids*SIN(M102)), g*SIN(M102), (-W102+Poussee)/m)</f>
        <v>134.128172394604</v>
      </c>
    </row>
    <row r="104" customFormat="false" ht="12.75" hidden="false" customHeight="false" outlineLevel="0" collapsed="false">
      <c r="A104" s="396" t="n">
        <f aca="false">IF(B103+0.01&lt;=T_ini+ROUNDUP(Temps_fin_propu,0), 0.01, IF(K103&gt;0, 0.1, 0.0001))</f>
        <v>0.01</v>
      </c>
      <c r="B104" s="397" t="n">
        <f aca="false">B103+pas</f>
        <v>1</v>
      </c>
      <c r="D104" s="396" t="n">
        <f aca="false">IF(AND(L103&lt;L_rampe,Poussee&lt;Poids*SIN(M103)),0,(-W103+Poussee)/m*COS(M103)-U103/m*SIN(M103))</f>
        <v>25.587447381341</v>
      </c>
      <c r="E104" s="398" t="n">
        <f aca="false">IF(AND(L103&lt;L_rampe,Poussee&lt;Poids*SIN(M103)),0,(-W103+Poussee)/m*SIN(M103)+U103/m*COS(M103)-Poids/m)</f>
        <v>121.427049521181</v>
      </c>
      <c r="F104" s="397" t="n">
        <f aca="false">SQRT(acc_x^2+acc_z^2)</f>
        <v>124.093697740507</v>
      </c>
      <c r="G104" s="396" t="n">
        <f aca="false">G103+acc_x*pas</f>
        <v>24.7497931508318</v>
      </c>
      <c r="H104" s="398" t="n">
        <f aca="false">H103+acc_z*pas</f>
        <v>126.842652665438</v>
      </c>
      <c r="I104" s="397" t="n">
        <f aca="false">SQRT(vit_x^2+vit_z^2)</f>
        <v>129.234712040588</v>
      </c>
      <c r="J104" s="396" t="n">
        <f aca="false">J103+0.5*(vit_x+G103)*pas*(K103&gt;=0)</f>
        <v>11.8355470219611</v>
      </c>
      <c r="K104" s="398" t="n">
        <f aca="false">K103+0.5*(vit_z+H103)*pas</f>
        <v>62.7904769084752</v>
      </c>
      <c r="L104" s="397" t="n">
        <f aca="false">SQRT(pos_x^2+pos_z^2)</f>
        <v>63.8961983509411</v>
      </c>
      <c r="M104" s="396" t="n">
        <f aca="false">IF(AND(L103&gt;L_rampe,G104&gt;0),ATAN2(G104,H104),$M$4)</f>
        <v>1.3780955129583</v>
      </c>
      <c r="N104" s="397" t="n">
        <f aca="false">DEGREES(Beta)</f>
        <v>78.9590566584266</v>
      </c>
      <c r="P104" s="399" t="n">
        <f aca="false">MATCH(t-pas/2-T_ini,CdP_t)</f>
        <v>9</v>
      </c>
      <c r="Q104" s="397" t="n">
        <f aca="false">(INDEX(CdP,2,i_P+1)-INDEX(CdP,2,i_P+0))/(INDEX(CdP,1,i_P+1)-INDEX(CdP,1,i_P+0))*(t-pas/2-T_ini-INDEX(CdP,1,i_P+0))+INDEX(CdP,2,i_P+0)</f>
        <v>1251.398</v>
      </c>
      <c r="R104" s="396" t="n">
        <f aca="false">Poussee/(g*ISP)</f>
        <v>0.614976705784867</v>
      </c>
      <c r="S104" s="398" t="n">
        <f aca="false">S103-Débit*pas</f>
        <v>8.79785015830658</v>
      </c>
      <c r="T104" s="397" t="n">
        <f aca="false">m*g</f>
        <v>86.3069100529875</v>
      </c>
      <c r="U104" s="400" t="n">
        <f aca="false">IF(pos_xz&lt;L_rampe,Poids*COS(Beta),0)</f>
        <v>0</v>
      </c>
      <c r="V104" s="396" t="n">
        <f aca="false">Rho_moyen*(20000-Alt_rampe-pos_z)/(20000+Alt_rampe+pos_z)</f>
        <v>1.21733223969503</v>
      </c>
      <c r="W104" s="397" t="n">
        <f aca="false">1/2*Rho*Sref*Cx*vit_xz^2</f>
        <v>76.505917841097</v>
      </c>
      <c r="Y104" s="401" t="str">
        <f aca="false">IF(AND(pos_z&lt;=0,K103&gt;0),"Impact balistique","") &amp; IF(AND(H105&lt;0,vit_z&gt;=0),"Apogée","") &amp; IF(AND(Poussee=0,Q103&gt;0),"Fin de propulsion","") &amp; IF(AND(L105&gt;L_rampe,pos_xz&lt;=L_rampe),"Sortie de rampe","")</f>
        <v/>
      </c>
      <c r="Z104" s="402" t="str">
        <f aca="false">IF(ABS(t-T_para)&lt;pas/2,"Para","")</f>
        <v/>
      </c>
      <c r="AA104" s="403" t="str">
        <f aca="false">IF(ABS(t-T_satellite)&lt;pas/2,"Satellite","")</f>
        <v/>
      </c>
      <c r="AC104" s="399" t="n">
        <f aca="false">IF(ABS(t-ROUND(t,0))&lt;0.001,t,NA())</f>
        <v>1</v>
      </c>
      <c r="AD104" s="404" t="n">
        <f aca="false">IF(ABS(t-ROUND(t,0))&lt;0.001,pos_x,NA())</f>
        <v>11.8355470219611</v>
      </c>
      <c r="AE104" s="405" t="n">
        <f aca="false">IF(t&lt;T_para, pos_z, NA())</f>
        <v>62.7904769084752</v>
      </c>
      <c r="AG104" s="396" t="n">
        <f aca="false">IF(AND(L103&lt;L_rampe,Poussee&lt;Poids*SIN(M103)),0,(-W103+Poussee)/m-Poids*SIN(M103)/m)</f>
        <v>124.079496671563</v>
      </c>
      <c r="AH104" s="397" t="n">
        <f aca="false">IF(AND(L103&lt;L_rampe,Poussee&lt;Poids*SIN(M103)), g*SIN(M103), (-W103+Poussee)/m)</f>
        <v>133.708192084546</v>
      </c>
    </row>
    <row r="105" customFormat="false" ht="12.75" hidden="false" customHeight="false" outlineLevel="0" collapsed="false">
      <c r="A105" s="396" t="n">
        <f aca="false">IF(B104+0.01&lt;=T_ini+ROUNDUP(Temps_fin_propu,0), 0.01, IF(K104&gt;0, 0.1, 0.0001))</f>
        <v>0.01</v>
      </c>
      <c r="B105" s="397" t="n">
        <f aca="false">B104+pas</f>
        <v>1.01</v>
      </c>
      <c r="D105" s="396" t="n">
        <f aca="false">IF(AND(L104&lt;L_rampe,Poussee&lt;Poids*SIN(M104)),0,(-W104+Poussee)/m*COS(M104)-U104/m*SIN(M104))</f>
        <v>25.5244687398949</v>
      </c>
      <c r="E105" s="398" t="n">
        <f aca="false">IF(AND(L104&lt;L_rampe,Poussee&lt;Poids*SIN(M104)),0,(-W104+Poussee)/m*SIN(M104)+U104/m*COS(M104)-Poids/m)</f>
        <v>121.002863893996</v>
      </c>
      <c r="F105" s="397" t="n">
        <f aca="false">SQRT(acc_x^2+acc_z^2)</f>
        <v>123.665644279253</v>
      </c>
      <c r="G105" s="396" t="n">
        <f aca="false">G104+acc_x*pas</f>
        <v>25.0050378382307</v>
      </c>
      <c r="H105" s="398" t="n">
        <f aca="false">H104+acc_z*pas</f>
        <v>128.052681304378</v>
      </c>
      <c r="I105" s="397" t="n">
        <f aca="false">SQRT(vit_x^2+vit_z^2)</f>
        <v>130.471227121277</v>
      </c>
      <c r="J105" s="396" t="n">
        <f aca="false">J104+0.5*(vit_x+G104)*pas*(K104&gt;=0)</f>
        <v>12.0843211769064</v>
      </c>
      <c r="K105" s="398" t="n">
        <f aca="false">K104+0.5*(vit_z+H104)*pas</f>
        <v>64.0649535783243</v>
      </c>
      <c r="L105" s="397" t="n">
        <f aca="false">SQRT(pos_x^2+pos_z^2)</f>
        <v>65.1947014357722</v>
      </c>
      <c r="M105" s="396" t="n">
        <f aca="false">IF(AND(L104&gt;L_rampe,G105&gt;0),ATAN2(G105,H105),$M$4)</f>
        <v>1.37795151820902</v>
      </c>
      <c r="N105" s="397" t="n">
        <f aca="false">DEGREES(Beta)</f>
        <v>78.9508063670213</v>
      </c>
      <c r="P105" s="399" t="n">
        <f aca="false">MATCH(t-pas/2-T_ini,CdP_t)</f>
        <v>10</v>
      </c>
      <c r="Q105" s="397" t="n">
        <f aca="false">(INDEX(CdP,2,i_P+1)-INDEX(CdP,2,i_P+0))/(INDEX(CdP,1,i_P+1)-INDEX(CdP,1,i_P+0))*(t-pas/2-T_ini-INDEX(CdP,1,i_P+0))+INDEX(CdP,2,i_P+0)</f>
        <v>1248.264</v>
      </c>
      <c r="R105" s="396" t="n">
        <f aca="false">Poussee/(g*ISP)</f>
        <v>0.613436558688636</v>
      </c>
      <c r="S105" s="398" t="n">
        <f aca="false">S104-Débit*pas</f>
        <v>8.79171579271969</v>
      </c>
      <c r="T105" s="397" t="n">
        <f aca="false">m*g</f>
        <v>86.2467319265802</v>
      </c>
      <c r="U105" s="400" t="n">
        <f aca="false">IF(pos_xz&lt;L_rampe,Poids*COS(Beta),0)</f>
        <v>0</v>
      </c>
      <c r="V105" s="396" t="n">
        <f aca="false">Rho_moyen*(20000-Alt_rampe-pos_z)/(20000+Alt_rampe+pos_z)</f>
        <v>1.21717710186694</v>
      </c>
      <c r="W105" s="397" t="n">
        <f aca="false">1/2*Rho*Sref*Cx*vit_xz^2</f>
        <v>77.9669983376246</v>
      </c>
      <c r="Y105" s="401" t="str">
        <f aca="false">IF(AND(pos_z&lt;=0,K104&gt;0),"Impact balistique","") &amp; IF(AND(H106&lt;0,vit_z&gt;=0),"Apogée","") &amp; IF(AND(Poussee=0,Q104&gt;0),"Fin de propulsion","") &amp; IF(AND(L106&gt;L_rampe,pos_xz&lt;=L_rampe),"Sortie de rampe","")</f>
        <v/>
      </c>
      <c r="Z105" s="402" t="str">
        <f aca="false">IF(ABS(t-T_para)&lt;pas/2,"Para","")</f>
        <v/>
      </c>
      <c r="AA105" s="403" t="str">
        <f aca="false">IF(ABS(t-T_satellite)&lt;pas/2,"Satellite","")</f>
        <v/>
      </c>
      <c r="AC105" s="399" t="e">
        <f aca="false">IF(ABS(t-ROUND(t,0))&lt;0.001,t,NA())</f>
        <v>#N/A</v>
      </c>
      <c r="AD105" s="404" t="e">
        <f aca="false">IF(ABS(t-ROUND(t,0))&lt;0.001,pos_x,NA())</f>
        <v>#N/A</v>
      </c>
      <c r="AE105" s="405" t="n">
        <f aca="false">IF(t&lt;T_para, pos_z, NA())</f>
        <v>64.0649535783243</v>
      </c>
      <c r="AG105" s="396" t="n">
        <f aca="false">IF(AND(L104&lt;L_rampe,Poussee&lt;Poids*SIN(M104)),0,(-W104+Poussee)/m-Poids*SIN(M104)/m)</f>
        <v>123.651372806153</v>
      </c>
      <c r="AH105" s="397" t="n">
        <f aca="false">IF(AND(L104&lt;L_rampe,Poussee&lt;Poids*SIN(M104)), g*SIN(M104), (-W104+Poussee)/m)</f>
        <v>133.279795410268</v>
      </c>
    </row>
    <row r="106" customFormat="false" ht="12.75" hidden="false" customHeight="false" outlineLevel="0" collapsed="false">
      <c r="A106" s="396" t="n">
        <f aca="false">IF(B105+0.01&lt;=T_ini+ROUNDUP(Temps_fin_propu,0), 0.01, IF(K105&gt;0, 0.1, 0.0001))</f>
        <v>0.01</v>
      </c>
      <c r="B106" s="397" t="n">
        <f aca="false">B105+pas</f>
        <v>1.02</v>
      </c>
      <c r="D106" s="396" t="n">
        <f aca="false">IF(AND(L105&lt;L_rampe,Poussee&lt;Poids*SIN(M105)),0,(-W105+Poussee)/m*COS(M105)-U105/m*SIN(M105))</f>
        <v>25.4595905884436</v>
      </c>
      <c r="E106" s="398" t="n">
        <f aca="false">IF(AND(L105&lt;L_rampe,Poussee&lt;Poids*SIN(M105)),0,(-W105+Poussee)/m*SIN(M105)+U105/m*COS(M105)-Poids/m)</f>
        <v>120.570480159776</v>
      </c>
      <c r="F106" s="397" t="n">
        <f aca="false">SQRT(acc_x^2+acc_z^2)</f>
        <v>123.229182578195</v>
      </c>
      <c r="G106" s="396" t="n">
        <f aca="false">G105+acc_x*pas</f>
        <v>25.2596337441152</v>
      </c>
      <c r="H106" s="398" t="n">
        <f aca="false">H105+acc_z*pas</f>
        <v>129.258386105975</v>
      </c>
      <c r="I106" s="397" t="n">
        <f aca="false">SQRT(vit_x^2+vit_z^2)</f>
        <v>131.703376857271</v>
      </c>
      <c r="J106" s="396" t="n">
        <f aca="false">J105+0.5*(vit_x+G105)*pas*(K105&gt;=0)</f>
        <v>12.3356445348181</v>
      </c>
      <c r="K106" s="398" t="n">
        <f aca="false">K105+0.5*(vit_z+H105)*pas</f>
        <v>65.3515089153761</v>
      </c>
      <c r="L106" s="397" t="n">
        <f aca="false">SQRT(pos_x^2+pos_z^2)</f>
        <v>66.5055474648985</v>
      </c>
      <c r="M106" s="396" t="n">
        <f aca="false">IF(AND(L105&gt;L_rampe,G106&gt;0),ATAN2(G106,H106),$M$4)</f>
        <v>1.37780876533273</v>
      </c>
      <c r="N106" s="397" t="n">
        <f aca="false">DEGREES(Beta)</f>
        <v>78.9426272296965</v>
      </c>
      <c r="P106" s="399" t="n">
        <f aca="false">MATCH(t-pas/2-T_ini,CdP_t)</f>
        <v>10</v>
      </c>
      <c r="Q106" s="397" t="n">
        <f aca="false">(INDEX(CdP,2,i_P+1)-INDEX(CdP,2,i_P+0))/(INDEX(CdP,1,i_P+1)-INDEX(CdP,1,i_P+0))*(t-pas/2-T_ini-INDEX(CdP,1,i_P+0))+INDEX(CdP,2,i_P+0)</f>
        <v>1245.072</v>
      </c>
      <c r="R106" s="396" t="n">
        <f aca="false">Poussee/(g*ISP)</f>
        <v>0.611867908551057</v>
      </c>
      <c r="S106" s="398" t="n">
        <f aca="false">S105-Débit*pas</f>
        <v>8.78559711363418</v>
      </c>
      <c r="T106" s="397" t="n">
        <f aca="false">m*g</f>
        <v>86.1867076847513</v>
      </c>
      <c r="U106" s="400" t="n">
        <f aca="false">IF(pos_xz&lt;L_rampe,Poids*COS(Beta),0)</f>
        <v>0</v>
      </c>
      <c r="V106" s="396" t="n">
        <f aca="false">Rho_moyen*(20000-Alt_rampe-pos_z)/(20000+Alt_rampe+pos_z)</f>
        <v>1.21702051373127</v>
      </c>
      <c r="W106" s="397" t="n">
        <f aca="false">1/2*Rho*Sref*Cx*vit_xz^2</f>
        <v>79.4363473494231</v>
      </c>
      <c r="Y106" s="401" t="str">
        <f aca="false">IF(AND(pos_z&lt;=0,K105&gt;0),"Impact balistique","") &amp; IF(AND(H107&lt;0,vit_z&gt;=0),"Apogée","") &amp; IF(AND(Poussee=0,Q105&gt;0),"Fin de propulsion","") &amp; IF(AND(L107&gt;L_rampe,pos_xz&lt;=L_rampe),"Sortie de rampe","")</f>
        <v/>
      </c>
      <c r="Z106" s="402" t="str">
        <f aca="false">IF(ABS(t-T_para)&lt;pas/2,"Para","")</f>
        <v/>
      </c>
      <c r="AA106" s="403" t="str">
        <f aca="false">IF(ABS(t-T_satellite)&lt;pas/2,"Satellite","")</f>
        <v/>
      </c>
      <c r="AC106" s="399" t="e">
        <f aca="false">IF(ABS(t-ROUND(t,0))&lt;0.001,t,NA())</f>
        <v>#N/A</v>
      </c>
      <c r="AD106" s="404" t="e">
        <f aca="false">IF(ABS(t-ROUND(t,0))&lt;0.001,pos_x,NA())</f>
        <v>#N/A</v>
      </c>
      <c r="AE106" s="405" t="n">
        <f aca="false">IF(t&lt;T_para, pos_z, NA())</f>
        <v>65.3515089153761</v>
      </c>
      <c r="AG106" s="396" t="n">
        <f aca="false">IF(AND(L105&lt;L_rampe,Poussee&lt;Poids*SIN(M105)),0,(-W105+Poussee)/m-Poids*SIN(M105)/m)</f>
        <v>123.214839404265</v>
      </c>
      <c r="AH106" s="397" t="n">
        <f aca="false">IF(AND(L105&lt;L_rampe,Poussee&lt;Poids*SIN(M105)), g*SIN(M105), (-W105+Poussee)/m)</f>
        <v>132.842991383155</v>
      </c>
    </row>
    <row r="107" customFormat="false" ht="12.75" hidden="false" customHeight="false" outlineLevel="0" collapsed="false">
      <c r="A107" s="396" t="n">
        <f aca="false">IF(B106+0.01&lt;=T_ini+ROUNDUP(Temps_fin_propu,0), 0.01, IF(K106&gt;0, 0.1, 0.0001))</f>
        <v>0.01</v>
      </c>
      <c r="B107" s="397" t="n">
        <f aca="false">B106+pas</f>
        <v>1.03</v>
      </c>
      <c r="D107" s="396" t="n">
        <f aca="false">IF(AND(L106&lt;L_rampe,Poussee&lt;Poids*SIN(M106)),0,(-W106+Poussee)/m*COS(M106)-U106/m*SIN(M106))</f>
        <v>25.3940842938942</v>
      </c>
      <c r="E107" s="398" t="n">
        <f aca="false">IF(AND(L106&lt;L_rampe,Poussee&lt;Poids*SIN(M106)),0,(-W106+Poussee)/m*SIN(M106)+U106/m*COS(M106)-Poids/m)</f>
        <v>120.136395332536</v>
      </c>
      <c r="F107" s="397" t="n">
        <f aca="false">SQRT(acc_x^2+acc_z^2)</f>
        <v>122.79093207815</v>
      </c>
      <c r="G107" s="396" t="n">
        <f aca="false">G106+acc_x*pas</f>
        <v>25.5135745870541</v>
      </c>
      <c r="H107" s="398" t="n">
        <f aca="false">H106+acc_z*pas</f>
        <v>130.459750059301</v>
      </c>
      <c r="I107" s="397" t="n">
        <f aca="false">SQRT(vit_x^2+vit_z^2)</f>
        <v>132.931143355289</v>
      </c>
      <c r="J107" s="396" t="n">
        <f aca="false">J106+0.5*(vit_x+G106)*pas*(K106&gt;=0)</f>
        <v>12.589510576474</v>
      </c>
      <c r="K107" s="398" t="n">
        <f aca="false">K106+0.5*(vit_z+H106)*pas</f>
        <v>66.6500995962024</v>
      </c>
      <c r="L107" s="397" t="n">
        <f aca="false">SQRT(pos_x^2+pos_z^2)</f>
        <v>67.8286926951925</v>
      </c>
      <c r="M107" s="396" t="n">
        <f aca="false">IF(AND(L106&gt;L_rampe,G107&gt;0),ATAN2(G107,H107),$M$4)</f>
        <v>1.37766722754362</v>
      </c>
      <c r="N107" s="397" t="n">
        <f aca="false">DEGREES(Beta)</f>
        <v>78.9345177117388</v>
      </c>
      <c r="P107" s="399" t="n">
        <f aca="false">MATCH(t-pas/2-T_ini,CdP_t)</f>
        <v>10</v>
      </c>
      <c r="Q107" s="397" t="n">
        <f aca="false">(INDEX(CdP,2,i_P+1)-INDEX(CdP,2,i_P+0))/(INDEX(CdP,1,i_P+1)-INDEX(CdP,1,i_P+0))*(t-pas/2-T_ini-INDEX(CdP,1,i_P+0))+INDEX(CdP,2,i_P+0)</f>
        <v>1241.88</v>
      </c>
      <c r="R107" s="396" t="n">
        <f aca="false">Poussee/(g*ISP)</f>
        <v>0.610299258413479</v>
      </c>
      <c r="S107" s="398" t="n">
        <f aca="false">S106-Débit*pas</f>
        <v>8.77949412105004</v>
      </c>
      <c r="T107" s="397" t="n">
        <f aca="false">m*g</f>
        <v>86.1268373275009</v>
      </c>
      <c r="U107" s="400" t="n">
        <f aca="false">IF(pos_xz&lt;L_rampe,Poids*COS(Beta),0)</f>
        <v>0</v>
      </c>
      <c r="V107" s="396" t="n">
        <f aca="false">Rho_moyen*(20000-Alt_rampe-pos_z)/(20000+Alt_rampe+pos_z)</f>
        <v>1.21686248112165</v>
      </c>
      <c r="W107" s="397" t="n">
        <f aca="false">1/2*Rho*Sref*Cx*vit_xz^2</f>
        <v>80.9137870442876</v>
      </c>
      <c r="Y107" s="401" t="str">
        <f aca="false">IF(AND(pos_z&lt;=0,K106&gt;0),"Impact balistique","") &amp; IF(AND(H108&lt;0,vit_z&gt;=0),"Apogée","") &amp; IF(AND(Poussee=0,Q106&gt;0),"Fin de propulsion","") &amp; IF(AND(L108&gt;L_rampe,pos_xz&lt;=L_rampe),"Sortie de rampe","")</f>
        <v/>
      </c>
      <c r="Z107" s="402" t="str">
        <f aca="false">IF(ABS(t-T_para)&lt;pas/2,"Para","")</f>
        <v/>
      </c>
      <c r="AA107" s="403" t="str">
        <f aca="false">IF(ABS(t-T_satellite)&lt;pas/2,"Satellite","")</f>
        <v/>
      </c>
      <c r="AC107" s="399" t="e">
        <f aca="false">IF(ABS(t-ROUND(t,0))&lt;0.001,t,NA())</f>
        <v>#N/A</v>
      </c>
      <c r="AD107" s="404" t="e">
        <f aca="false">IF(ABS(t-ROUND(t,0))&lt;0.001,pos_x,NA())</f>
        <v>#N/A</v>
      </c>
      <c r="AE107" s="405" t="n">
        <f aca="false">IF(t&lt;T_para, pos_z, NA())</f>
        <v>66.6500995962024</v>
      </c>
      <c r="AG107" s="396" t="n">
        <f aca="false">IF(AND(L106&lt;L_rampe,Poussee&lt;Poids*SIN(M106)),0,(-W106+Poussee)/m-Poids*SIN(M106)/m)</f>
        <v>122.776516651717</v>
      </c>
      <c r="AH107" s="397" t="n">
        <f aca="false">IF(AND(L106&lt;L_rampe,Poussee&lt;Poids*SIN(M106)), g*SIN(M106), (-W106+Poussee)/m)</f>
        <v>132.404400142311</v>
      </c>
    </row>
    <row r="108" customFormat="false" ht="12.75" hidden="false" customHeight="false" outlineLevel="0" collapsed="false">
      <c r="A108" s="396" t="n">
        <f aca="false">IF(B107+0.01&lt;=T_ini+ROUNDUP(Temps_fin_propu,0), 0.01, IF(K107&gt;0, 0.1, 0.0001))</f>
        <v>0.01</v>
      </c>
      <c r="B108" s="397" t="n">
        <f aca="false">B107+pas</f>
        <v>1.04</v>
      </c>
      <c r="D108" s="396" t="n">
        <f aca="false">IF(AND(L107&lt;L_rampe,Poussee&lt;Poids*SIN(M107)),0,(-W107+Poussee)/m*COS(M107)-U107/m*SIN(M107))</f>
        <v>25.3279578221158</v>
      </c>
      <c r="E108" s="398" t="n">
        <f aca="false">IF(AND(L107&lt;L_rampe,Poussee&lt;Poids*SIN(M107)),0,(-W107+Poussee)/m*SIN(M107)+U107/m*COS(M107)-Poids/m)</f>
        <v>119.700627204012</v>
      </c>
      <c r="F108" s="397" t="n">
        <f aca="false">SQRT(acc_x^2+acc_z^2)</f>
        <v>122.350911727183</v>
      </c>
      <c r="G108" s="396" t="n">
        <f aca="false">G107+acc_x*pas</f>
        <v>25.7668541652753</v>
      </c>
      <c r="H108" s="398" t="n">
        <f aca="false">H107+acc_z*pas</f>
        <v>131.656756331341</v>
      </c>
      <c r="I108" s="397" t="n">
        <f aca="false">SQRT(vit_x^2+vit_z^2)</f>
        <v>134.154508911421</v>
      </c>
      <c r="J108" s="396" t="n">
        <f aca="false">J107+0.5*(vit_x+G107)*pas*(K107&gt;=0)</f>
        <v>12.8459127202356</v>
      </c>
      <c r="K108" s="398" t="n">
        <f aca="false">K107+0.5*(vit_z+H107)*pas</f>
        <v>67.9606821281556</v>
      </c>
      <c r="L108" s="397" t="n">
        <f aca="false">SQRT(pos_x^2+pos_z^2)</f>
        <v>69.1640932055075</v>
      </c>
      <c r="M108" s="396" t="n">
        <f aca="false">IF(AND(L107&gt;L_rampe,G108&gt;0),ATAN2(G108,H108),$M$4)</f>
        <v>1.37752687887259</v>
      </c>
      <c r="N108" s="397" t="n">
        <f aca="false">DEGREES(Beta)</f>
        <v>78.9264763252284</v>
      </c>
      <c r="P108" s="399" t="n">
        <f aca="false">MATCH(t-pas/2-T_ini,CdP_t)</f>
        <v>10</v>
      </c>
      <c r="Q108" s="397" t="n">
        <f aca="false">(INDEX(CdP,2,i_P+1)-INDEX(CdP,2,i_P+0))/(INDEX(CdP,1,i_P+1)-INDEX(CdP,1,i_P+0))*(t-pas/2-T_ini-INDEX(CdP,1,i_P+0))+INDEX(CdP,2,i_P+0)</f>
        <v>1238.688</v>
      </c>
      <c r="R108" s="396" t="n">
        <f aca="false">Poussee/(g*ISP)</f>
        <v>0.608730608275901</v>
      </c>
      <c r="S108" s="398" t="n">
        <f aca="false">S107-Débit*pas</f>
        <v>8.77340681496729</v>
      </c>
      <c r="T108" s="397" t="n">
        <f aca="false">m*g</f>
        <v>86.0671208548291</v>
      </c>
      <c r="U108" s="400" t="n">
        <f aca="false">IF(pos_xz&lt;L_rampe,Poids*COS(Beta),0)</f>
        <v>0</v>
      </c>
      <c r="V108" s="396" t="n">
        <f aca="false">Rho_moyen*(20000-Alt_rampe-pos_z)/(20000+Alt_rampe+pos_z)</f>
        <v>1.21670300989466</v>
      </c>
      <c r="W108" s="397" t="n">
        <f aca="false">1/2*Rho*Sref*Cx*vit_xz^2</f>
        <v>82.3991396009912</v>
      </c>
      <c r="Y108" s="401" t="str">
        <f aca="false">IF(AND(pos_z&lt;=0,K107&gt;0),"Impact balistique","") &amp; IF(AND(H109&lt;0,vit_z&gt;=0),"Apogée","") &amp; IF(AND(Poussee=0,Q107&gt;0),"Fin de propulsion","") &amp; IF(AND(L109&gt;L_rampe,pos_xz&lt;=L_rampe),"Sortie de rampe","")</f>
        <v/>
      </c>
      <c r="Z108" s="402" t="str">
        <f aca="false">IF(ABS(t-T_para)&lt;pas/2,"Para","")</f>
        <v/>
      </c>
      <c r="AA108" s="403" t="str">
        <f aca="false">IF(ABS(t-T_satellite)&lt;pas/2,"Satellite","")</f>
        <v/>
      </c>
      <c r="AC108" s="399" t="e">
        <f aca="false">IF(ABS(t-ROUND(t,0))&lt;0.001,t,NA())</f>
        <v>#N/A</v>
      </c>
      <c r="AD108" s="404" t="e">
        <f aca="false">IF(ABS(t-ROUND(t,0))&lt;0.001,pos_x,NA())</f>
        <v>#N/A</v>
      </c>
      <c r="AE108" s="405" t="n">
        <f aca="false">IF(t&lt;T_para, pos_z, NA())</f>
        <v>67.9606821281556</v>
      </c>
      <c r="AG108" s="396" t="n">
        <f aca="false">IF(AND(L107&lt;L_rampe,Poussee&lt;Poids*SIN(M107)),0,(-W107+Poussee)/m-Poids*SIN(M107)/m)</f>
        <v>122.336423486139</v>
      </c>
      <c r="AH108" s="397" t="n">
        <f aca="false">IF(AND(L107&lt;L_rampe,Poussee&lt;Poids*SIN(M107)), g*SIN(M107), (-W107+Poussee)/m)</f>
        <v>131.964040580059</v>
      </c>
    </row>
    <row r="109" customFormat="false" ht="12.75" hidden="false" customHeight="false" outlineLevel="0" collapsed="false">
      <c r="A109" s="396" t="n">
        <f aca="false">IF(B108+0.01&lt;=T_ini+ROUNDUP(Temps_fin_propu,0), 0.01, IF(K108&gt;0, 0.1, 0.0001))</f>
        <v>0.01</v>
      </c>
      <c r="B109" s="397" t="n">
        <f aca="false">B108+pas</f>
        <v>1.05</v>
      </c>
      <c r="D109" s="396" t="n">
        <f aca="false">IF(AND(L108&lt;L_rampe,Poussee&lt;Poids*SIN(M108)),0,(-W108+Poussee)/m*COS(M108)-U108/m*SIN(M108))</f>
        <v>25.2612190234331</v>
      </c>
      <c r="E109" s="398" t="n">
        <f aca="false">IF(AND(L108&lt;L_rampe,Poussee&lt;Poids*SIN(M108)),0,(-W108+Poussee)/m*SIN(M108)+U108/m*COS(M108)-Poids/m)</f>
        <v>119.263193656787</v>
      </c>
      <c r="F109" s="397" t="n">
        <f aca="false">SQRT(acc_x^2+acc_z^2)</f>
        <v>121.909140542316</v>
      </c>
      <c r="G109" s="396" t="n">
        <f aca="false">G108+acc_x*pas</f>
        <v>26.0194663555096</v>
      </c>
      <c r="H109" s="398" t="n">
        <f aca="false">H108+acc_z*pas</f>
        <v>132.849388267909</v>
      </c>
      <c r="I109" s="397" t="n">
        <f aca="false">SQRT(vit_x^2+vit_z^2)</f>
        <v>135.373456011816</v>
      </c>
      <c r="J109" s="396" t="n">
        <f aca="false">J108+0.5*(vit_x+G108)*pas*(K108&gt;=0)</f>
        <v>13.1048443228395</v>
      </c>
      <c r="K109" s="398" t="n">
        <f aca="false">K108+0.5*(vit_z+H108)*pas</f>
        <v>69.2832128511519</v>
      </c>
      <c r="L109" s="397" t="n">
        <f aca="false">SQRT(pos_x^2+pos_z^2)</f>
        <v>70.5117048985761</v>
      </c>
      <c r="M109" s="396" t="n">
        <f aca="false">IF(AND(L108&gt;L_rampe,G109&gt;0),ATAN2(G109,H109),$M$4)</f>
        <v>1.37738769413402</v>
      </c>
      <c r="N109" s="397" t="n">
        <f aca="false">DEGREES(Beta)</f>
        <v>78.9185016271355</v>
      </c>
      <c r="P109" s="399" t="n">
        <f aca="false">MATCH(t-pas/2-T_ini,CdP_t)</f>
        <v>10</v>
      </c>
      <c r="Q109" s="397" t="n">
        <f aca="false">(INDEX(CdP,2,i_P+1)-INDEX(CdP,2,i_P+0))/(INDEX(CdP,1,i_P+1)-INDEX(CdP,1,i_P+0))*(t-pas/2-T_ini-INDEX(CdP,1,i_P+0))+INDEX(CdP,2,i_P+0)</f>
        <v>1235.496</v>
      </c>
      <c r="R109" s="396" t="n">
        <f aca="false">Poussee/(g*ISP)</f>
        <v>0.607161958138322</v>
      </c>
      <c r="S109" s="398" t="n">
        <f aca="false">S108-Débit*pas</f>
        <v>8.7673351953859</v>
      </c>
      <c r="T109" s="397" t="n">
        <f aca="false">m*g</f>
        <v>86.0075582667357</v>
      </c>
      <c r="U109" s="400" t="n">
        <f aca="false">IF(pos_xz&lt;L_rampe,Poids*COS(Beta),0)</f>
        <v>0</v>
      </c>
      <c r="V109" s="396" t="n">
        <f aca="false">Rho_moyen*(20000-Alt_rampe-pos_z)/(20000+Alt_rampe+pos_z)</f>
        <v>1.21654210592949</v>
      </c>
      <c r="W109" s="397" t="n">
        <f aca="false">1/2*Rho*Sref*Cx*vit_xz^2</f>
        <v>83.8922272304698</v>
      </c>
      <c r="Y109" s="401" t="str">
        <f aca="false">IF(AND(pos_z&lt;=0,K108&gt;0),"Impact balistique","") &amp; IF(AND(H110&lt;0,vit_z&gt;=0),"Apogée","") &amp; IF(AND(Poussee=0,Q108&gt;0),"Fin de propulsion","") &amp; IF(AND(L110&gt;L_rampe,pos_xz&lt;=L_rampe),"Sortie de rampe","")</f>
        <v/>
      </c>
      <c r="Z109" s="402" t="str">
        <f aca="false">IF(ABS(t-T_para)&lt;pas/2,"Para","")</f>
        <v/>
      </c>
      <c r="AA109" s="403" t="str">
        <f aca="false">IF(ABS(t-T_satellite)&lt;pas/2,"Satellite","")</f>
        <v/>
      </c>
      <c r="AC109" s="399" t="e">
        <f aca="false">IF(ABS(t-ROUND(t,0))&lt;0.001,t,NA())</f>
        <v>#N/A</v>
      </c>
      <c r="AD109" s="404" t="e">
        <f aca="false">IF(ABS(t-ROUND(t,0))&lt;0.001,pos_x,NA())</f>
        <v>#N/A</v>
      </c>
      <c r="AE109" s="405" t="n">
        <f aca="false">IF(t&lt;T_para, pos_z, NA())</f>
        <v>69.2832128511519</v>
      </c>
      <c r="AG109" s="396" t="n">
        <f aca="false">IF(AND(L108&lt;L_rampe,Poussee&lt;Poids*SIN(M108)),0,(-W108+Poussee)/m-Poids*SIN(M108)/m)</f>
        <v>121.89457891408</v>
      </c>
      <c r="AH109" s="397" t="n">
        <f aca="false">IF(AND(L108&lt;L_rampe,Poussee&lt;Poids*SIN(M108)), g*SIN(M108), (-W108+Poussee)/m)</f>
        <v>131.521931658991</v>
      </c>
    </row>
    <row r="110" customFormat="false" ht="12.75" hidden="false" customHeight="false" outlineLevel="0" collapsed="false">
      <c r="A110" s="396" t="n">
        <f aca="false">IF(B109+0.01&lt;=T_ini+ROUNDUP(Temps_fin_propu,0), 0.01, IF(K109&gt;0, 0.1, 0.0001))</f>
        <v>0.01</v>
      </c>
      <c r="B110" s="397" t="n">
        <f aca="false">B109+pas</f>
        <v>1.06</v>
      </c>
      <c r="D110" s="396" t="n">
        <f aca="false">IF(AND(L109&lt;L_rampe,Poussee&lt;Poids*SIN(M109)),0,(-W109+Poussee)/m*COS(M109)-U109/m*SIN(M109))</f>
        <v>25.1938756375871</v>
      </c>
      <c r="E110" s="398" t="n">
        <f aca="false">IF(AND(L109&lt;L_rampe,Poussee&lt;Poids*SIN(M109)),0,(-W109+Poussee)/m*SIN(M109)+U109/m*COS(M109)-Poids/m)</f>
        <v>118.824112660904</v>
      </c>
      <c r="F110" s="397" t="n">
        <f aca="false">SQRT(acc_x^2+acc_z^2)</f>
        <v>121.465637607075</v>
      </c>
      <c r="G110" s="396" t="n">
        <f aca="false">G109+acc_x*pas</f>
        <v>26.2714051118855</v>
      </c>
      <c r="H110" s="398" t="n">
        <f aca="false">H109+acc_z*pas</f>
        <v>134.037629394518</v>
      </c>
      <c r="I110" s="397" t="n">
        <f aca="false">SQRT(vit_x^2+vit_z^2)</f>
        <v>136.587967333345</v>
      </c>
      <c r="J110" s="396" t="n">
        <f aca="false">J109+0.5*(vit_x+G109)*pas*(K109&gt;=0)</f>
        <v>13.3662986801765</v>
      </c>
      <c r="K110" s="398" t="n">
        <f aca="false">K109+0.5*(vit_z+H109)*pas</f>
        <v>70.617647939464</v>
      </c>
      <c r="L110" s="397" t="n">
        <f aca="false">SQRT(pos_x^2+pos_z^2)</f>
        <v>71.8714835029149</v>
      </c>
      <c r="M110" s="396" t="n">
        <f aca="false">IF(AND(L109&gt;L_rampe,G110&gt;0),ATAN2(G110,H110),$M$4)</f>
        <v>1.3772496488942</v>
      </c>
      <c r="N110" s="397" t="n">
        <f aca="false">DEGREES(Beta)</f>
        <v>78.9105922175119</v>
      </c>
      <c r="P110" s="399" t="n">
        <f aca="false">MATCH(t-pas/2-T_ini,CdP_t)</f>
        <v>10</v>
      </c>
      <c r="Q110" s="397" t="n">
        <f aca="false">(INDEX(CdP,2,i_P+1)-INDEX(CdP,2,i_P+0))/(INDEX(CdP,1,i_P+1)-INDEX(CdP,1,i_P+0))*(t-pas/2-T_ini-INDEX(CdP,1,i_P+0))+INDEX(CdP,2,i_P+0)</f>
        <v>1232.304</v>
      </c>
      <c r="R110" s="396" t="n">
        <f aca="false">Poussee/(g*ISP)</f>
        <v>0.605593308000744</v>
      </c>
      <c r="S110" s="398" t="n">
        <f aca="false">S109-Débit*pas</f>
        <v>8.76127926230589</v>
      </c>
      <c r="T110" s="397" t="n">
        <f aca="false">m*g</f>
        <v>85.9481495632208</v>
      </c>
      <c r="U110" s="400" t="n">
        <f aca="false">IF(pos_xz&lt;L_rampe,Poids*COS(Beta),0)</f>
        <v>0</v>
      </c>
      <c r="V110" s="396" t="n">
        <f aca="false">Rho_moyen*(20000-Alt_rampe-pos_z)/(20000+Alt_rampe+pos_z)</f>
        <v>1.21637977512768</v>
      </c>
      <c r="W110" s="397" t="n">
        <f aca="false">1/2*Rho*Sref*Cx*vit_xz^2</f>
        <v>85.3928721969041</v>
      </c>
      <c r="Y110" s="401" t="str">
        <f aca="false">IF(AND(pos_z&lt;=0,K109&gt;0),"Impact balistique","") &amp; IF(AND(H111&lt;0,vit_z&gt;=0),"Apogée","") &amp; IF(AND(Poussee=0,Q109&gt;0),"Fin de propulsion","") &amp; IF(AND(L111&gt;L_rampe,pos_xz&lt;=L_rampe),"Sortie de rampe","")</f>
        <v/>
      </c>
      <c r="Z110" s="402" t="str">
        <f aca="false">IF(ABS(t-T_para)&lt;pas/2,"Para","")</f>
        <v/>
      </c>
      <c r="AA110" s="403" t="str">
        <f aca="false">IF(ABS(t-T_satellite)&lt;pas/2,"Satellite","")</f>
        <v/>
      </c>
      <c r="AC110" s="399" t="e">
        <f aca="false">IF(ABS(t-ROUND(t,0))&lt;0.001,t,NA())</f>
        <v>#N/A</v>
      </c>
      <c r="AD110" s="404" t="e">
        <f aca="false">IF(ABS(t-ROUND(t,0))&lt;0.001,pos_x,NA())</f>
        <v>#N/A</v>
      </c>
      <c r="AE110" s="405" t="n">
        <f aca="false">IF(t&lt;T_para, pos_z, NA())</f>
        <v>70.617647939464</v>
      </c>
      <c r="AG110" s="396" t="n">
        <f aca="false">IF(AND(L109&lt;L_rampe,Poussee&lt;Poids*SIN(M109)),0,(-W109+Poussee)/m-Poids*SIN(M109)/m)</f>
        <v>121.451002008549</v>
      </c>
      <c r="AH110" s="397" t="n">
        <f aca="false">IF(AND(L109&lt;L_rampe,Poussee&lt;Poids*SIN(M109)), g*SIN(M109), (-W109+Poussee)/m)</f>
        <v>131.07809240945</v>
      </c>
    </row>
    <row r="111" customFormat="false" ht="12.75" hidden="false" customHeight="false" outlineLevel="0" collapsed="false">
      <c r="A111" s="396" t="n">
        <f aca="false">IF(B110+0.01&lt;=T_ini+ROUNDUP(Temps_fin_propu,0), 0.01, IF(K110&gt;0, 0.1, 0.0001))</f>
        <v>0.01</v>
      </c>
      <c r="B111" s="397" t="n">
        <f aca="false">B110+pas</f>
        <v>1.07</v>
      </c>
      <c r="D111" s="396" t="n">
        <f aca="false">IF(AND(L110&lt;L_rampe,Poussee&lt;Poids*SIN(M110)),0,(-W110+Poussee)/m*COS(M110)-U110/m*SIN(M110))</f>
        <v>25.1259352984189</v>
      </c>
      <c r="E111" s="398" t="n">
        <f aca="false">IF(AND(L110&lt;L_rampe,Poussee&lt;Poids*SIN(M110)),0,(-W110+Poussee)/m*SIN(M110)+U110/m*COS(M110)-Poids/m)</f>
        <v>118.383402270534</v>
      </c>
      <c r="F111" s="397" t="n">
        <f aca="false">SQRT(acc_x^2+acc_z^2)</f>
        <v>121.020422069035</v>
      </c>
      <c r="G111" s="396" t="n">
        <f aca="false">G110+acc_x*pas</f>
        <v>26.5226644648697</v>
      </c>
      <c r="H111" s="398" t="n">
        <f aca="false">H110+acc_z*pas</f>
        <v>135.221463417223</v>
      </c>
      <c r="I111" s="397" t="n">
        <f aca="false">SQRT(vit_x^2+vit_z^2)</f>
        <v>137.798025744244</v>
      </c>
      <c r="J111" s="396" t="n">
        <f aca="false">J110+0.5*(vit_x+G110)*pas*(K110&gt;=0)</f>
        <v>13.6302690280603</v>
      </c>
      <c r="K111" s="398" t="n">
        <f aca="false">K110+0.5*(vit_z+H110)*pas</f>
        <v>71.9639434035227</v>
      </c>
      <c r="L111" s="397" t="n">
        <f aca="false">SQRT(pos_x^2+pos_z^2)</f>
        <v>73.2433845747363</v>
      </c>
      <c r="M111" s="396" t="n">
        <f aca="false">IF(AND(L110&gt;L_rampe,G111&gt;0),ATAN2(G111,H111),$M$4)</f>
        <v>1.37711271944136</v>
      </c>
      <c r="N111" s="397" t="n">
        <f aca="false">DEGREES(Beta)</f>
        <v>78.9027467377736</v>
      </c>
      <c r="P111" s="399" t="n">
        <f aca="false">MATCH(t-pas/2-T_ini,CdP_t)</f>
        <v>10</v>
      </c>
      <c r="Q111" s="397" t="n">
        <f aca="false">(INDEX(CdP,2,i_P+1)-INDEX(CdP,2,i_P+0))/(INDEX(CdP,1,i_P+1)-INDEX(CdP,1,i_P+0))*(t-pas/2-T_ini-INDEX(CdP,1,i_P+0))+INDEX(CdP,2,i_P+0)</f>
        <v>1229.112</v>
      </c>
      <c r="R111" s="396" t="n">
        <f aca="false">Poussee/(g*ISP)</f>
        <v>0.604024657863166</v>
      </c>
      <c r="S111" s="398" t="n">
        <f aca="false">S110-Débit*pas</f>
        <v>8.75523901572726</v>
      </c>
      <c r="T111" s="397" t="n">
        <f aca="false">m*g</f>
        <v>85.8888947442845</v>
      </c>
      <c r="U111" s="400" t="n">
        <f aca="false">IF(pos_xz&lt;L_rampe,Poids*COS(Beta),0)</f>
        <v>0</v>
      </c>
      <c r="V111" s="396" t="n">
        <f aca="false">Rho_moyen*(20000-Alt_rampe-pos_z)/(20000+Alt_rampe+pos_z)</f>
        <v>1.21621602341277</v>
      </c>
      <c r="W111" s="397" t="n">
        <f aca="false">1/2*Rho*Sref*Cx*vit_xz^2</f>
        <v>86.9008968386965</v>
      </c>
      <c r="Y111" s="401" t="str">
        <f aca="false">IF(AND(pos_z&lt;=0,K110&gt;0),"Impact balistique","") &amp; IF(AND(H112&lt;0,vit_z&gt;=0),"Apogée","") &amp; IF(AND(Poussee=0,Q110&gt;0),"Fin de propulsion","") &amp; IF(AND(L112&gt;L_rampe,pos_xz&lt;=L_rampe),"Sortie de rampe","")</f>
        <v/>
      </c>
      <c r="Z111" s="402" t="str">
        <f aca="false">IF(ABS(t-T_para)&lt;pas/2,"Para","")</f>
        <v/>
      </c>
      <c r="AA111" s="403" t="str">
        <f aca="false">IF(ABS(t-T_satellite)&lt;pas/2,"Satellite","")</f>
        <v/>
      </c>
      <c r="AC111" s="399" t="e">
        <f aca="false">IF(ABS(t-ROUND(t,0))&lt;0.001,t,NA())</f>
        <v>#N/A</v>
      </c>
      <c r="AD111" s="404" t="e">
        <f aca="false">IF(ABS(t-ROUND(t,0))&lt;0.001,pos_x,NA())</f>
        <v>#N/A</v>
      </c>
      <c r="AE111" s="405" t="n">
        <f aca="false">IF(t&lt;T_para, pos_z, NA())</f>
        <v>71.9639434035227</v>
      </c>
      <c r="AG111" s="396" t="n">
        <f aca="false">IF(AND(L110&lt;L_rampe,Poussee&lt;Poids*SIN(M110)),0,(-W110+Poussee)/m-Poids*SIN(M110)/m)</f>
        <v>121.005711906548</v>
      </c>
      <c r="AH111" s="397" t="n">
        <f aca="false">IF(AND(L110&lt;L_rampe,Poussee&lt;Poids*SIN(M110)), g*SIN(M110), (-W110+Poussee)/m)</f>
        <v>130.632541927023</v>
      </c>
    </row>
    <row r="112" customFormat="false" ht="12.75" hidden="false" customHeight="false" outlineLevel="0" collapsed="false">
      <c r="A112" s="396" t="n">
        <f aca="false">IF(B111+0.01&lt;=T_ini+ROUNDUP(Temps_fin_propu,0), 0.01, IF(K111&gt;0, 0.1, 0.0001))</f>
        <v>0.01</v>
      </c>
      <c r="B112" s="397" t="n">
        <f aca="false">B111+pas</f>
        <v>1.08</v>
      </c>
      <c r="D112" s="396" t="n">
        <f aca="false">IF(AND(L111&lt;L_rampe,Poussee&lt;Poids*SIN(M111)),0,(-W111+Poussee)/m*COS(M111)-U111/m*SIN(M111))</f>
        <v>25.0574055382928</v>
      </c>
      <c r="E112" s="398" t="n">
        <f aca="false">IF(AND(L111&lt;L_rampe,Poussee&lt;Poids*SIN(M111)),0,(-W111+Poussee)/m*SIN(M111)+U111/m*COS(M111)-Poids/m)</f>
        <v>117.941080620679</v>
      </c>
      <c r="F112" s="397" t="n">
        <f aca="false">SQRT(acc_x^2+acc_z^2)</f>
        <v>120.573513137355</v>
      </c>
      <c r="G112" s="396" t="n">
        <f aca="false">G111+acc_x*pas</f>
        <v>26.7732385202526</v>
      </c>
      <c r="H112" s="398" t="n">
        <f aca="false">H111+acc_z*pas</f>
        <v>136.40087422343</v>
      </c>
      <c r="I112" s="397" t="n">
        <f aca="false">SQRT(vit_x^2+vit_z^2)</f>
        <v>139.00361430473</v>
      </c>
      <c r="J112" s="396" t="n">
        <f aca="false">J111+0.5*(vit_x+G111)*pas*(K111&gt;=0)</f>
        <v>13.8967485429859</v>
      </c>
      <c r="K112" s="398" t="n">
        <f aca="false">K111+0.5*(vit_z+H111)*pas</f>
        <v>73.322055091726</v>
      </c>
      <c r="L112" s="397" t="n">
        <f aca="false">SQRT(pos_x^2+pos_z^2)</f>
        <v>74.6273634998657</v>
      </c>
      <c r="M112" s="396" t="n">
        <f aca="false">IF(AND(L111&gt;L_rampe,G112&gt;0),ATAN2(G112,H112),$M$4)</f>
        <v>1.3769768827572</v>
      </c>
      <c r="N112" s="397" t="n">
        <f aca="false">DEGREES(Beta)</f>
        <v>78.8949638690678</v>
      </c>
      <c r="P112" s="399" t="n">
        <f aca="false">MATCH(t-pas/2-T_ini,CdP_t)</f>
        <v>10</v>
      </c>
      <c r="Q112" s="397" t="n">
        <f aca="false">(INDEX(CdP,2,i_P+1)-INDEX(CdP,2,i_P+0))/(INDEX(CdP,1,i_P+1)-INDEX(CdP,1,i_P+0))*(t-pas/2-T_ini-INDEX(CdP,1,i_P+0))+INDEX(CdP,2,i_P+0)</f>
        <v>1225.92</v>
      </c>
      <c r="R112" s="396" t="n">
        <f aca="false">Poussee/(g*ISP)</f>
        <v>0.602456007725587</v>
      </c>
      <c r="S112" s="398" t="n">
        <f aca="false">S111-Débit*pas</f>
        <v>8.74921445565001</v>
      </c>
      <c r="T112" s="397" t="n">
        <f aca="false">m*g</f>
        <v>85.8297938099266</v>
      </c>
      <c r="U112" s="400" t="n">
        <f aca="false">IF(pos_xz&lt;L_rampe,Poids*COS(Beta),0)</f>
        <v>0</v>
      </c>
      <c r="V112" s="396" t="n">
        <f aca="false">Rho_moyen*(20000-Alt_rampe-pos_z)/(20000+Alt_rampe+pos_z)</f>
        <v>1.21605085673006</v>
      </c>
      <c r="W112" s="397" t="n">
        <f aca="false">1/2*Rho*Sref*Cx*vit_xz^2</f>
        <v>88.4161235893387</v>
      </c>
      <c r="Y112" s="401" t="str">
        <f aca="false">IF(AND(pos_z&lt;=0,K111&gt;0),"Impact balistique","") &amp; IF(AND(H113&lt;0,vit_z&gt;=0),"Apogée","") &amp; IF(AND(Poussee=0,Q111&gt;0),"Fin de propulsion","") &amp; IF(AND(L113&gt;L_rampe,pos_xz&lt;=L_rampe),"Sortie de rampe","")</f>
        <v/>
      </c>
      <c r="Z112" s="402" t="str">
        <f aca="false">IF(ABS(t-T_para)&lt;pas/2,"Para","")</f>
        <v/>
      </c>
      <c r="AA112" s="403" t="str">
        <f aca="false">IF(ABS(t-T_satellite)&lt;pas/2,"Satellite","")</f>
        <v/>
      </c>
      <c r="AC112" s="399" t="e">
        <f aca="false">IF(ABS(t-ROUND(t,0))&lt;0.001,t,NA())</f>
        <v>#N/A</v>
      </c>
      <c r="AD112" s="404" t="e">
        <f aca="false">IF(ABS(t-ROUND(t,0))&lt;0.001,pos_x,NA())</f>
        <v>#N/A</v>
      </c>
      <c r="AE112" s="405" t="n">
        <f aca="false">IF(t&lt;T_para, pos_z, NA())</f>
        <v>73.322055091726</v>
      </c>
      <c r="AG112" s="396" t="n">
        <f aca="false">IF(AND(L111&lt;L_rampe,Poussee&lt;Poids*SIN(M111)),0,(-W111+Poussee)/m-Poids*SIN(M111)/m)</f>
        <v>120.558727806615</v>
      </c>
      <c r="AH112" s="397" t="n">
        <f aca="false">IF(AND(L111&lt;L_rampe,Poussee&lt;Poids*SIN(M111)), g*SIN(M111), (-W111+Poussee)/m)</f>
        <v>130.18529937002</v>
      </c>
    </row>
    <row r="113" customFormat="false" ht="12.75" hidden="false" customHeight="false" outlineLevel="0" collapsed="false">
      <c r="A113" s="396" t="n">
        <f aca="false">IF(B112+0.01&lt;=T_ini+ROUNDUP(Temps_fin_propu,0), 0.01, IF(K112&gt;0, 0.1, 0.0001))</f>
        <v>0.01</v>
      </c>
      <c r="B113" s="397" t="n">
        <f aca="false">B112+pas</f>
        <v>1.09</v>
      </c>
      <c r="D113" s="396" t="n">
        <f aca="false">IF(AND(L112&lt;L_rampe,Poussee&lt;Poids*SIN(M112)),0,(-W112+Poussee)/m*COS(M112)-U112/m*SIN(M112))</f>
        <v>24.9882937922768</v>
      </c>
      <c r="E113" s="398" t="n">
        <f aca="false">IF(AND(L112&lt;L_rampe,Poussee&lt;Poids*SIN(M112)),0,(-W112+Poussee)/m*SIN(M112)+U112/m*COS(M112)-Poids/m)</f>
        <v>117.497165923919</v>
      </c>
      <c r="F113" s="397" t="n">
        <f aca="false">SQRT(acc_x^2+acc_z^2)</f>
        <v>120.124930080321</v>
      </c>
      <c r="G113" s="396" t="n">
        <f aca="false">G112+acc_x*pas</f>
        <v>27.0231214581753</v>
      </c>
      <c r="H113" s="398" t="n">
        <f aca="false">H112+acc_z*pas</f>
        <v>137.575845882669</v>
      </c>
      <c r="I113" s="397" t="n">
        <f aca="false">SQRT(vit_x^2+vit_z^2)</f>
        <v>140.204716267589</v>
      </c>
      <c r="J113" s="396" t="n">
        <f aca="false">J112+0.5*(vit_x+G112)*pas*(K112&gt;=0)</f>
        <v>14.165730342878</v>
      </c>
      <c r="K113" s="398" t="n">
        <f aca="false">K112+0.5*(vit_z+H112)*pas</f>
        <v>74.6919386922565</v>
      </c>
      <c r="L113" s="397" t="n">
        <f aca="false">SQRT(pos_x^2+pos_z^2)</f>
        <v>76.0233754956654</v>
      </c>
      <c r="M113" s="396" t="n">
        <f aca="false">IF(AND(L112&gt;L_rampe,G113&gt;0),ATAN2(G113,H113),$M$4)</f>
        <v>1.37684211648971</v>
      </c>
      <c r="N113" s="397" t="n">
        <f aca="false">DEGREES(Beta)</f>
        <v>78.8872423307203</v>
      </c>
      <c r="P113" s="399" t="n">
        <f aca="false">MATCH(t-pas/2-T_ini,CdP_t)</f>
        <v>10</v>
      </c>
      <c r="Q113" s="397" t="n">
        <f aca="false">(INDEX(CdP,2,i_P+1)-INDEX(CdP,2,i_P+0))/(INDEX(CdP,1,i_P+1)-INDEX(CdP,1,i_P+0))*(t-pas/2-T_ini-INDEX(CdP,1,i_P+0))+INDEX(CdP,2,i_P+0)</f>
        <v>1222.728</v>
      </c>
      <c r="R113" s="396" t="n">
        <f aca="false">Poussee/(g*ISP)</f>
        <v>0.600887357588009</v>
      </c>
      <c r="S113" s="398" t="n">
        <f aca="false">S112-Débit*pas</f>
        <v>8.74320558207413</v>
      </c>
      <c r="T113" s="397" t="n">
        <f aca="false">m*g</f>
        <v>85.7708467601472</v>
      </c>
      <c r="U113" s="400" t="n">
        <f aca="false">IF(pos_xz&lt;L_rampe,Poids*COS(Beta),0)</f>
        <v>0</v>
      </c>
      <c r="V113" s="396" t="n">
        <f aca="false">Rho_moyen*(20000-Alt_rampe-pos_z)/(20000+Alt_rampe+pos_z)</f>
        <v>1.21588428104626</v>
      </c>
      <c r="W113" s="397" t="n">
        <f aca="false">1/2*Rho*Sref*Cx*vit_xz^2</f>
        <v>89.9383749981661</v>
      </c>
      <c r="Y113" s="401" t="str">
        <f aca="false">IF(AND(pos_z&lt;=0,K112&gt;0),"Impact balistique","") &amp; IF(AND(H114&lt;0,vit_z&gt;=0),"Apogée","") &amp; IF(AND(Poussee=0,Q112&gt;0),"Fin de propulsion","") &amp; IF(AND(L114&gt;L_rampe,pos_xz&lt;=L_rampe),"Sortie de rampe","")</f>
        <v/>
      </c>
      <c r="Z113" s="402" t="str">
        <f aca="false">IF(ABS(t-T_para)&lt;pas/2,"Para","")</f>
        <v/>
      </c>
      <c r="AA113" s="403" t="str">
        <f aca="false">IF(ABS(t-T_satellite)&lt;pas/2,"Satellite","")</f>
        <v/>
      </c>
      <c r="AC113" s="399" t="e">
        <f aca="false">IF(ABS(t-ROUND(t,0))&lt;0.001,t,NA())</f>
        <v>#N/A</v>
      </c>
      <c r="AD113" s="404" t="e">
        <f aca="false">IF(ABS(t-ROUND(t,0))&lt;0.001,pos_x,NA())</f>
        <v>#N/A</v>
      </c>
      <c r="AE113" s="405" t="n">
        <f aca="false">IF(t&lt;T_para, pos_z, NA())</f>
        <v>74.6919386922565</v>
      </c>
      <c r="AG113" s="396" t="n">
        <f aca="false">IF(AND(L112&lt;L_rampe,Poussee&lt;Poids*SIN(M112)),0,(-W112+Poussee)/m-Poids*SIN(M112)/m)</f>
        <v>120.110068966347</v>
      </c>
      <c r="AH113" s="397" t="n">
        <f aca="false">IF(AND(L112&lt;L_rampe,Poussee&lt;Poids*SIN(M112)), g*SIN(M112), (-W112+Poussee)/m)</f>
        <v>129.736383956966</v>
      </c>
    </row>
    <row r="114" customFormat="false" ht="12.75" hidden="false" customHeight="false" outlineLevel="0" collapsed="false">
      <c r="A114" s="396" t="n">
        <f aca="false">IF(B113+0.01&lt;=T_ini+ROUNDUP(Temps_fin_propu,0), 0.01, IF(K113&gt;0, 0.1, 0.0001))</f>
        <v>0.01</v>
      </c>
      <c r="B114" s="397" t="n">
        <f aca="false">B113+pas</f>
        <v>1.1</v>
      </c>
      <c r="D114" s="396" t="n">
        <f aca="false">IF(AND(L113&lt;L_rampe,Poussee&lt;Poids*SIN(M113)),0,(-W113+Poussee)/m*COS(M113)-U113/m*SIN(M113))</f>
        <v>24.9186074020913</v>
      </c>
      <c r="E114" s="398" t="n">
        <f aca="false">IF(AND(L113&lt;L_rampe,Poussee&lt;Poids*SIN(M113)),0,(-W113+Poussee)/m*SIN(M113)+U113/m*COS(M113)-Poids/m)</f>
        <v>117.051676467198</v>
      </c>
      <c r="F114" s="397" t="n">
        <f aca="false">SQRT(acc_x^2+acc_z^2)</f>
        <v>119.674692222881</v>
      </c>
      <c r="G114" s="396" t="n">
        <f aca="false">G113+acc_x*pas</f>
        <v>27.2723075321963</v>
      </c>
      <c r="H114" s="398" t="n">
        <f aca="false">H113+acc_z*pas</f>
        <v>138.746362647341</v>
      </c>
      <c r="I114" s="397" t="n">
        <f aca="false">SQRT(vit_x^2+vit_z^2)</f>
        <v>141.401315078744</v>
      </c>
      <c r="J114" s="396" t="n">
        <f aca="false">J113+0.5*(vit_x+G113)*pas*(K113&gt;=0)</f>
        <v>14.4372074878299</v>
      </c>
      <c r="K114" s="398" t="n">
        <f aca="false">K113+0.5*(vit_z+H113)*pas</f>
        <v>76.0735497349065</v>
      </c>
      <c r="L114" s="397" t="n">
        <f aca="false">SQRT(pos_x^2+pos_z^2)</f>
        <v>77.4313756129642</v>
      </c>
      <c r="M114" s="396" t="n">
        <f aca="false">IF(AND(L113&gt;L_rampe,G114&gt;0),ATAN2(G114,H114),$M$4)</f>
        <v>1.37670839892749</v>
      </c>
      <c r="N114" s="397" t="n">
        <f aca="false">DEGREES(Beta)</f>
        <v>78.879580878758</v>
      </c>
      <c r="P114" s="399" t="n">
        <f aca="false">MATCH(t-pas/2-T_ini,CdP_t)</f>
        <v>10</v>
      </c>
      <c r="Q114" s="397" t="n">
        <f aca="false">(INDEX(CdP,2,i_P+1)-INDEX(CdP,2,i_P+0))/(INDEX(CdP,1,i_P+1)-INDEX(CdP,1,i_P+0))*(t-pas/2-T_ini-INDEX(CdP,1,i_P+0))+INDEX(CdP,2,i_P+0)</f>
        <v>1219.536</v>
      </c>
      <c r="R114" s="396" t="n">
        <f aca="false">Poussee/(g*ISP)</f>
        <v>0.599318707450431</v>
      </c>
      <c r="S114" s="398" t="n">
        <f aca="false">S113-Débit*pas</f>
        <v>8.73721239499962</v>
      </c>
      <c r="T114" s="397" t="n">
        <f aca="false">m*g</f>
        <v>85.7120535949463</v>
      </c>
      <c r="U114" s="400" t="n">
        <f aca="false">IF(pos_xz&lt;L_rampe,Poids*COS(Beta),0)</f>
        <v>0</v>
      </c>
      <c r="V114" s="396" t="n">
        <f aca="false">Rho_moyen*(20000-Alt_rampe-pos_z)/(20000+Alt_rampe+pos_z)</f>
        <v>1.21571630234922</v>
      </c>
      <c r="W114" s="397" t="n">
        <f aca="false">1/2*Rho*Sref*Cx*vit_xz^2</f>
        <v>91.4674737509944</v>
      </c>
      <c r="Y114" s="401" t="str">
        <f aca="false">IF(AND(pos_z&lt;=0,K113&gt;0),"Impact balistique","") &amp; IF(AND(H115&lt;0,vit_z&gt;=0),"Apogée","") &amp; IF(AND(Poussee=0,Q113&gt;0),"Fin de propulsion","") &amp; IF(AND(L115&gt;L_rampe,pos_xz&lt;=L_rampe),"Sortie de rampe","")</f>
        <v/>
      </c>
      <c r="Z114" s="402" t="str">
        <f aca="false">IF(ABS(t-T_para)&lt;pas/2,"Para","")</f>
        <v/>
      </c>
      <c r="AA114" s="403" t="str">
        <f aca="false">IF(ABS(t-T_satellite)&lt;pas/2,"Satellite","")</f>
        <v/>
      </c>
      <c r="AC114" s="399" t="e">
        <f aca="false">IF(ABS(t-ROUND(t,0))&lt;0.001,t,NA())</f>
        <v>#N/A</v>
      </c>
      <c r="AD114" s="404" t="e">
        <f aca="false">IF(ABS(t-ROUND(t,0))&lt;0.001,pos_x,NA())</f>
        <v>#N/A</v>
      </c>
      <c r="AE114" s="405" t="n">
        <f aca="false">IF(t&lt;T_para, pos_z, NA())</f>
        <v>76.0735497349065</v>
      </c>
      <c r="AG114" s="396" t="n">
        <f aca="false">IF(AND(L113&lt;L_rampe,Poussee&lt;Poids*SIN(M113)),0,(-W113+Poussee)/m-Poids*SIN(M113)/m)</f>
        <v>119.659754699942</v>
      </c>
      <c r="AH114" s="397" t="n">
        <f aca="false">IF(AND(L113&lt;L_rampe,Poussee&lt;Poids*SIN(M113)), g*SIN(M113), (-W113+Poussee)/m)</f>
        <v>129.285814964085</v>
      </c>
    </row>
    <row r="115" customFormat="false" ht="12.75" hidden="false" customHeight="false" outlineLevel="0" collapsed="false">
      <c r="A115" s="396" t="n">
        <f aca="false">IF(B114+0.01&lt;=T_ini+ROUNDUP(Temps_fin_propu,0), 0.01, IF(K114&gt;0, 0.1, 0.0001))</f>
        <v>0.01</v>
      </c>
      <c r="B115" s="397" t="n">
        <f aca="false">B114+pas</f>
        <v>1.11</v>
      </c>
      <c r="D115" s="396" t="n">
        <f aca="false">IF(AND(L114&lt;L_rampe,Poussee&lt;Poids*SIN(M114)),0,(-W114+Poussee)/m*COS(M114)-U114/m*SIN(M114))</f>
        <v>24.8630195202601</v>
      </c>
      <c r="E115" s="398" t="n">
        <f aca="false">IF(AND(L114&lt;L_rampe,Poussee&lt;Poids*SIN(M114)),0,(-W114+Poussee)/m*SIN(M114)+U114/m*COS(M114)-Poids/m)</f>
        <v>116.679242569352</v>
      </c>
      <c r="F115" s="397" t="n">
        <f aca="false">SQRT(acc_x^2+acc_z^2)</f>
        <v>119.298849056571</v>
      </c>
      <c r="G115" s="396" t="n">
        <f aca="false">G114+acc_x*pas</f>
        <v>27.5209377273989</v>
      </c>
      <c r="H115" s="398" t="n">
        <f aca="false">H114+acc_z*pas</f>
        <v>139.913155073035</v>
      </c>
      <c r="I115" s="397" t="n">
        <f aca="false">SQRT(vit_x^2+vit_z^2)</f>
        <v>142.594154774613</v>
      </c>
      <c r="J115" s="396" t="n">
        <f aca="false">J114+0.5*(vit_x+G114)*pas*(K114&gt;=0)</f>
        <v>14.7111737141279</v>
      </c>
      <c r="K115" s="398" t="n">
        <f aca="false">K114+0.5*(vit_z+H114)*pas</f>
        <v>77.4668473235084</v>
      </c>
      <c r="L115" s="397" t="n">
        <f aca="false">SQRT(pos_x^2+pos_z^2)</f>
        <v>78.8513225398979</v>
      </c>
      <c r="M115" s="396" t="n">
        <f aca="false">IF(AND(L114&gt;L_rampe,G115&gt;0),ATAN2(G115,H115),$M$4)</f>
        <v>1.37657570968268</v>
      </c>
      <c r="N115" s="397" t="n">
        <f aca="false">DEGREES(Beta)</f>
        <v>78.8719783450438</v>
      </c>
      <c r="P115" s="399" t="n">
        <f aca="false">MATCH(t-pas/2-T_ini,CdP_t)</f>
        <v>11</v>
      </c>
      <c r="Q115" s="397" t="n">
        <f aca="false">(INDEX(CdP,2,i_P+1)-INDEX(CdP,2,i_P+0))/(INDEX(CdP,1,i_P+1)-INDEX(CdP,1,i_P+0))*(t-pas/2-T_ini-INDEX(CdP,1,i_P+0))+INDEX(CdP,2,i_P+0)</f>
        <v>1217.0075</v>
      </c>
      <c r="R115" s="396" t="n">
        <f aca="false">Poussee/(g*ISP)</f>
        <v>0.598076122277227</v>
      </c>
      <c r="S115" s="398" t="n">
        <f aca="false">S114-Débit*pas</f>
        <v>8.73123163377685</v>
      </c>
      <c r="T115" s="397" t="n">
        <f aca="false">m*g</f>
        <v>85.6533823273509</v>
      </c>
      <c r="U115" s="400" t="n">
        <f aca="false">IF(pos_xz&lt;L_rampe,Poids*COS(Beta),0)</f>
        <v>0</v>
      </c>
      <c r="V115" s="396" t="n">
        <f aca="false">Rho_moyen*(20000-Alt_rampe-pos_z)/(20000+Alt_rampe+pos_z)</f>
        <v>1.21554692619413</v>
      </c>
      <c r="W115" s="397" t="n">
        <f aca="false">1/2*Rho*Sref*Cx*vit_xz^2</f>
        <v>93.0042345610495</v>
      </c>
      <c r="Y115" s="401" t="str">
        <f aca="false">IF(AND(pos_z&lt;=0,K114&gt;0),"Impact balistique","") &amp; IF(AND(H116&lt;0,vit_z&gt;=0),"Apogée","") &amp; IF(AND(Poussee=0,Q114&gt;0),"Fin de propulsion","") &amp; IF(AND(L116&gt;L_rampe,pos_xz&lt;=L_rampe),"Sortie de rampe","")</f>
        <v/>
      </c>
      <c r="Z115" s="402" t="str">
        <f aca="false">IF(ABS(t-T_para)&lt;pas/2,"Para","")</f>
        <v/>
      </c>
      <c r="AA115" s="403" t="str">
        <f aca="false">IF(ABS(t-T_satellite)&lt;pas/2,"Satellite","")</f>
        <v/>
      </c>
      <c r="AC115" s="399" t="e">
        <f aca="false">IF(ABS(t-ROUND(t,0))&lt;0.001,t,NA())</f>
        <v>#N/A</v>
      </c>
      <c r="AD115" s="404" t="e">
        <f aca="false">IF(ABS(t-ROUND(t,0))&lt;0.001,pos_x,NA())</f>
        <v>#N/A</v>
      </c>
      <c r="AE115" s="405" t="n">
        <f aca="false">IF(t&lt;T_para, pos_z, NA())</f>
        <v>77.4668473235084</v>
      </c>
      <c r="AG115" s="396" t="n">
        <f aca="false">IF(AND(L114&lt;L_rampe,Poussee&lt;Poids*SIN(M114)),0,(-W114+Poussee)/m-Poids*SIN(M114)/m)</f>
        <v>119.283844058218</v>
      </c>
      <c r="AH115" s="397" t="n">
        <f aca="false">IF(AND(L114&lt;L_rampe,Poussee&lt;Poids*SIN(M114)), g*SIN(M114), (-W114+Poussee)/m)</f>
        <v>128.909651405289</v>
      </c>
    </row>
    <row r="116" customFormat="false" ht="12.75" hidden="false" customHeight="false" outlineLevel="0" collapsed="false">
      <c r="A116" s="396" t="n">
        <f aca="false">IF(B115+0.01&lt;=T_ini+ROUNDUP(Temps_fin_propu,0), 0.01, IF(K115&gt;0, 0.1, 0.0001))</f>
        <v>0.01</v>
      </c>
      <c r="B116" s="397" t="n">
        <f aca="false">B115+pas</f>
        <v>1.12</v>
      </c>
      <c r="D116" s="396" t="n">
        <f aca="false">IF(AND(L115&lt;L_rampe,Poussee&lt;Poids*SIN(M115)),0,(-W115+Poussee)/m*COS(M115)-U115/m*SIN(M115))</f>
        <v>24.8215842775509</v>
      </c>
      <c r="E116" s="398" t="n">
        <f aca="false">IF(AND(L115&lt;L_rampe,Poussee&lt;Poids*SIN(M115)),0,(-W115+Poussee)/m*SIN(M115)+U115/m*COS(M115)-Poids/m)</f>
        <v>116.379965057983</v>
      </c>
      <c r="F116" s="397" t="n">
        <f aca="false">SQRT(acc_x^2+acc_z^2)</f>
        <v>118.997509692198</v>
      </c>
      <c r="G116" s="396" t="n">
        <f aca="false">G115+acc_x*pas</f>
        <v>27.7691535701744</v>
      </c>
      <c r="H116" s="398" t="n">
        <f aca="false">H115+acc_z*pas</f>
        <v>141.076954723614</v>
      </c>
      <c r="I116" s="397" t="n">
        <f aca="false">SQRT(vit_x^2+vit_z^2)</f>
        <v>143.783980484937</v>
      </c>
      <c r="J116" s="396" t="n">
        <f aca="false">J115+0.5*(vit_x+G115)*pas*(K115&gt;=0)</f>
        <v>14.9876241706157</v>
      </c>
      <c r="K116" s="398" t="n">
        <f aca="false">K115+0.5*(vit_z+H115)*pas</f>
        <v>78.8717978724917</v>
      </c>
      <c r="L116" s="397" t="n">
        <f aca="false">SQRT(pos_x^2+pos_z^2)</f>
        <v>80.2831824102583</v>
      </c>
      <c r="M116" s="396" t="n">
        <f aca="false">IF(AND(L115&gt;L_rampe,G116&gt;0),ATAN2(G116,H116),$M$4)</f>
        <v>1.37644402962423</v>
      </c>
      <c r="N116" s="397" t="n">
        <f aca="false">DEGREES(Beta)</f>
        <v>78.8644336334484</v>
      </c>
      <c r="P116" s="399" t="n">
        <f aca="false">MATCH(t-pas/2-T_ini,CdP_t)</f>
        <v>11</v>
      </c>
      <c r="Q116" s="397" t="n">
        <f aca="false">(INDEX(CdP,2,i_P+1)-INDEX(CdP,2,i_P+0))/(INDEX(CdP,1,i_P+1)-INDEX(CdP,1,i_P+0))*(t-pas/2-T_ini-INDEX(CdP,1,i_P+0))+INDEX(CdP,2,i_P+0)</f>
        <v>1215.1425</v>
      </c>
      <c r="R116" s="396" t="n">
        <f aca="false">Poussee/(g*ISP)</f>
        <v>0.597159602068397</v>
      </c>
      <c r="S116" s="398" t="n">
        <f aca="false">S115-Débit*pas</f>
        <v>8.72526003775617</v>
      </c>
      <c r="T116" s="397" t="n">
        <f aca="false">m*g</f>
        <v>85.594800970388</v>
      </c>
      <c r="U116" s="400" t="n">
        <f aca="false">IF(pos_xz&lt;L_rampe,Poids*COS(Beta),0)</f>
        <v>0</v>
      </c>
      <c r="V116" s="396" t="n">
        <f aca="false">Rho_moyen*(20000-Alt_rampe-pos_z)/(20000+Alt_rampe+pos_z)</f>
        <v>1.21537615724963</v>
      </c>
      <c r="W116" s="397" t="n">
        <f aca="false">1/2*Rho*Sref*Cx*vit_xz^2</f>
        <v>94.5495059412153</v>
      </c>
      <c r="Y116" s="401" t="str">
        <f aca="false">IF(AND(pos_z&lt;=0,K115&gt;0),"Impact balistique","") &amp; IF(AND(H117&lt;0,vit_z&gt;=0),"Apogée","") &amp; IF(AND(Poussee=0,Q115&gt;0),"Fin de propulsion","") &amp; IF(AND(L117&gt;L_rampe,pos_xz&lt;=L_rampe),"Sortie de rampe","")</f>
        <v/>
      </c>
      <c r="Z116" s="402" t="str">
        <f aca="false">IF(ABS(t-T_para)&lt;pas/2,"Para","")</f>
        <v/>
      </c>
      <c r="AA116" s="403" t="str">
        <f aca="false">IF(ABS(t-T_satellite)&lt;pas/2,"Satellite","")</f>
        <v/>
      </c>
      <c r="AC116" s="399" t="e">
        <f aca="false">IF(ABS(t-ROUND(t,0))&lt;0.001,t,NA())</f>
        <v>#N/A</v>
      </c>
      <c r="AD116" s="404" t="e">
        <f aca="false">IF(ABS(t-ROUND(t,0))&lt;0.001,pos_x,NA())</f>
        <v>#N/A</v>
      </c>
      <c r="AE116" s="405" t="n">
        <f aca="false">IF(t&lt;T_para, pos_z, NA())</f>
        <v>78.8717978724917</v>
      </c>
      <c r="AG116" s="396" t="n">
        <f aca="false">IF(AND(L115&lt;L_rampe,Poussee&lt;Poids*SIN(M115)),0,(-W115+Poussee)/m-Poids*SIN(M115)/m)</f>
        <v>118.982446374235</v>
      </c>
      <c r="AH116" s="397" t="n">
        <f aca="false">IF(AND(L115&lt;L_rampe,Poussee&lt;Poids*SIN(M115)), g*SIN(M115), (-W115+Poussee)/m)</f>
        <v>128.608002579087</v>
      </c>
    </row>
    <row r="117" customFormat="false" ht="12.75" hidden="false" customHeight="false" outlineLevel="0" collapsed="false">
      <c r="A117" s="396" t="n">
        <f aca="false">IF(B116+0.01&lt;=T_ini+ROUNDUP(Temps_fin_propu,0), 0.01, IF(K116&gt;0, 0.1, 0.0001))</f>
        <v>0.01</v>
      </c>
      <c r="B117" s="397" t="n">
        <f aca="false">B116+pas</f>
        <v>1.13</v>
      </c>
      <c r="D117" s="396" t="n">
        <f aca="false">IF(AND(L116&lt;L_rampe,Poussee&lt;Poids*SIN(M116)),0,(-W116+Poussee)/m*COS(M116)-U116/m*SIN(M116))</f>
        <v>24.7796486515117</v>
      </c>
      <c r="E117" s="398" t="n">
        <f aca="false">IF(AND(L116&lt;L_rampe,Poussee&lt;Poids*SIN(M116)),0,(-W116+Poussee)/m*SIN(M116)+U116/m*COS(M116)-Poids/m)</f>
        <v>116.079230366428</v>
      </c>
      <c r="F117" s="397" t="n">
        <f aca="false">SQRT(acc_x^2+acc_z^2)</f>
        <v>118.694644823406</v>
      </c>
      <c r="G117" s="396" t="n">
        <f aca="false">G116+acc_x*pas</f>
        <v>28.0169500566895</v>
      </c>
      <c r="H117" s="398" t="n">
        <f aca="false">H116+acc_z*pas</f>
        <v>142.237747027279</v>
      </c>
      <c r="I117" s="397" t="n">
        <f aca="false">SQRT(vit_x^2+vit_z^2)</f>
        <v>144.97077695134</v>
      </c>
      <c r="J117" s="396" t="n">
        <f aca="false">J116+0.5*(vit_x+G116)*pas*(K116&gt;=0)</f>
        <v>15.2665546887501</v>
      </c>
      <c r="K117" s="398" t="n">
        <f aca="false">K116+0.5*(vit_z+H116)*pas</f>
        <v>80.2883713812461</v>
      </c>
      <c r="L117" s="397" t="n">
        <f aca="false">SQRT(pos_x^2+pos_z^2)</f>
        <v>81.7269250071083</v>
      </c>
      <c r="M117" s="396" t="n">
        <f aca="false">IF(AND(L116&gt;L_rampe,G117&gt;0),ATAN2(G117,H117),$M$4)</f>
        <v>1.37631334012855</v>
      </c>
      <c r="N117" s="397" t="n">
        <f aca="false">DEGREES(Beta)</f>
        <v>78.8569456769194</v>
      </c>
      <c r="P117" s="399" t="n">
        <f aca="false">MATCH(t-pas/2-T_ini,CdP_t)</f>
        <v>11</v>
      </c>
      <c r="Q117" s="397" t="n">
        <f aca="false">(INDEX(CdP,2,i_P+1)-INDEX(CdP,2,i_P+0))/(INDEX(CdP,1,i_P+1)-INDEX(CdP,1,i_P+0))*(t-pas/2-T_ini-INDEX(CdP,1,i_P+0))+INDEX(CdP,2,i_P+0)</f>
        <v>1213.2775</v>
      </c>
      <c r="R117" s="396" t="n">
        <f aca="false">Poussee/(g*ISP)</f>
        <v>0.596243081859568</v>
      </c>
      <c r="S117" s="398" t="n">
        <f aca="false">S116-Débit*pas</f>
        <v>8.71929760693757</v>
      </c>
      <c r="T117" s="397" t="n">
        <f aca="false">m*g</f>
        <v>85.5363095240576</v>
      </c>
      <c r="U117" s="400" t="n">
        <f aca="false">IF(pos_xz&lt;L_rampe,Poids*COS(Beta),0)</f>
        <v>0</v>
      </c>
      <c r="V117" s="396" t="n">
        <f aca="false">Rho_moyen*(20000-Alt_rampe-pos_z)/(20000+Alt_rampe+pos_z)</f>
        <v>1.2152039997511</v>
      </c>
      <c r="W117" s="397" t="n">
        <f aca="false">1/2*Rho*Sref*Cx*vit_xz^2</f>
        <v>96.1031604335962</v>
      </c>
      <c r="Y117" s="401" t="str">
        <f aca="false">IF(AND(pos_z&lt;=0,K116&gt;0),"Impact balistique","") &amp; IF(AND(H118&lt;0,vit_z&gt;=0),"Apogée","") &amp; IF(AND(Poussee=0,Q116&gt;0),"Fin de propulsion","") &amp; IF(AND(L118&gt;L_rampe,pos_xz&lt;=L_rampe),"Sortie de rampe","")</f>
        <v/>
      </c>
      <c r="Z117" s="402" t="str">
        <f aca="false">IF(ABS(t-T_para)&lt;pas/2,"Para","")</f>
        <v/>
      </c>
      <c r="AA117" s="403" t="str">
        <f aca="false">IF(ABS(t-T_satellite)&lt;pas/2,"Satellite","")</f>
        <v/>
      </c>
      <c r="AC117" s="399" t="e">
        <f aca="false">IF(ABS(t-ROUND(t,0))&lt;0.001,t,NA())</f>
        <v>#N/A</v>
      </c>
      <c r="AD117" s="404" t="e">
        <f aca="false">IF(ABS(t-ROUND(t,0))&lt;0.001,pos_x,NA())</f>
        <v>#N/A</v>
      </c>
      <c r="AE117" s="405" t="n">
        <f aca="false">IF(t&lt;T_para, pos_z, NA())</f>
        <v>80.2883713812461</v>
      </c>
      <c r="AG117" s="396" t="n">
        <f aca="false">IF(AND(L116&lt;L_rampe,Poussee&lt;Poids*SIN(M116)),0,(-W116+Poussee)/m-Poids*SIN(M116)/m)</f>
        <v>118.679522837129</v>
      </c>
      <c r="AH117" s="397" t="n">
        <f aca="false">IF(AND(L116&lt;L_rampe,Poussee&lt;Poids*SIN(M116)), g*SIN(M116), (-W116+Poussee)/m)</f>
        <v>128.304829642317</v>
      </c>
    </row>
    <row r="118" customFormat="false" ht="12.75" hidden="false" customHeight="false" outlineLevel="0" collapsed="false">
      <c r="A118" s="396" t="n">
        <f aca="false">IF(B117+0.01&lt;=T_ini+ROUNDUP(Temps_fin_propu,0), 0.01, IF(K117&gt;0, 0.1, 0.0001))</f>
        <v>0.01</v>
      </c>
      <c r="B118" s="397" t="n">
        <f aca="false">B117+pas</f>
        <v>1.14</v>
      </c>
      <c r="D118" s="396" t="n">
        <f aca="false">IF(AND(L117&lt;L_rampe,Poussee&lt;Poids*SIN(M117)),0,(-W117+Poussee)/m*COS(M117)-U117/m*SIN(M117))</f>
        <v>24.7372177107125</v>
      </c>
      <c r="E118" s="398" t="n">
        <f aca="false">IF(AND(L117&lt;L_rampe,Poussee&lt;Poids*SIN(M117)),0,(-W117+Poussee)/m*SIN(M117)+U117/m*COS(M117)-Poids/m)</f>
        <v>115.777050259774</v>
      </c>
      <c r="F118" s="397" t="n">
        <f aca="false">SQRT(acc_x^2+acc_z^2)</f>
        <v>118.390266943366</v>
      </c>
      <c r="G118" s="396" t="n">
        <f aca="false">G117+acc_x*pas</f>
        <v>28.2643222337966</v>
      </c>
      <c r="H118" s="398" t="n">
        <f aca="false">H117+acc_z*pas</f>
        <v>143.395517529876</v>
      </c>
      <c r="I118" s="397" t="n">
        <f aca="false">SQRT(vit_x^2+vit_z^2)</f>
        <v>146.154529040317</v>
      </c>
      <c r="J118" s="396" t="n">
        <f aca="false">J117+0.5*(vit_x+G117)*pas*(K117&gt;=0)</f>
        <v>15.5479610502025</v>
      </c>
      <c r="K118" s="398" t="n">
        <f aca="false">K117+0.5*(vit_z+H117)*pas</f>
        <v>81.7165377040319</v>
      </c>
      <c r="L118" s="397" t="n">
        <f aca="false">SQRT(pos_x^2+pos_z^2)</f>
        <v>83.1825199615465</v>
      </c>
      <c r="M118" s="396" t="n">
        <f aca="false">IF(AND(L117&gt;L_rampe,G118&gt;0),ATAN2(G118,H118),$M$4)</f>
        <v>1.37618362306159</v>
      </c>
      <c r="N118" s="397" t="n">
        <f aca="false">DEGREES(Beta)</f>
        <v>78.8495134364518</v>
      </c>
      <c r="P118" s="399" t="n">
        <f aca="false">MATCH(t-pas/2-T_ini,CdP_t)</f>
        <v>11</v>
      </c>
      <c r="Q118" s="397" t="n">
        <f aca="false">(INDEX(CdP,2,i_P+1)-INDEX(CdP,2,i_P+0))/(INDEX(CdP,1,i_P+1)-INDEX(CdP,1,i_P+0))*(t-pas/2-T_ini-INDEX(CdP,1,i_P+0))+INDEX(CdP,2,i_P+0)</f>
        <v>1211.4125</v>
      </c>
      <c r="R118" s="396" t="n">
        <f aca="false">Poussee/(g*ISP)</f>
        <v>0.595326561650738</v>
      </c>
      <c r="S118" s="398" t="n">
        <f aca="false">S117-Débit*pas</f>
        <v>8.71334434132106</v>
      </c>
      <c r="T118" s="397" t="n">
        <f aca="false">m*g</f>
        <v>85.4779079883596</v>
      </c>
      <c r="U118" s="400" t="n">
        <f aca="false">IF(pos_xz&lt;L_rampe,Poids*COS(Beta),0)</f>
        <v>0</v>
      </c>
      <c r="V118" s="396" t="n">
        <f aca="false">Rho_moyen*(20000-Alt_rampe-pos_z)/(20000+Alt_rampe+pos_z)</f>
        <v>1.21503045795418</v>
      </c>
      <c r="W118" s="397" t="n">
        <f aca="false">1/2*Rho*Sref*Cx*vit_xz^2</f>
        <v>97.6650703648431</v>
      </c>
      <c r="Y118" s="401" t="str">
        <f aca="false">IF(AND(pos_z&lt;=0,K117&gt;0),"Impact balistique","") &amp; IF(AND(H119&lt;0,vit_z&gt;=0),"Apogée","") &amp; IF(AND(Poussee=0,Q117&gt;0),"Fin de propulsion","") &amp; IF(AND(L119&gt;L_rampe,pos_xz&lt;=L_rampe),"Sortie de rampe","")</f>
        <v/>
      </c>
      <c r="Z118" s="402" t="str">
        <f aca="false">IF(ABS(t-T_para)&lt;pas/2,"Para","")</f>
        <v/>
      </c>
      <c r="AA118" s="403" t="str">
        <f aca="false">IF(ABS(t-T_satellite)&lt;pas/2,"Satellite","")</f>
        <v/>
      </c>
      <c r="AC118" s="399" t="e">
        <f aca="false">IF(ABS(t-ROUND(t,0))&lt;0.001,t,NA())</f>
        <v>#N/A</v>
      </c>
      <c r="AD118" s="404" t="e">
        <f aca="false">IF(ABS(t-ROUND(t,0))&lt;0.001,pos_x,NA())</f>
        <v>#N/A</v>
      </c>
      <c r="AE118" s="405" t="n">
        <f aca="false">IF(t&lt;T_para, pos_z, NA())</f>
        <v>81.7165377040319</v>
      </c>
      <c r="AG118" s="396" t="n">
        <f aca="false">IF(AND(L117&lt;L_rampe,Poussee&lt;Poids*SIN(M117)),0,(-W117+Poussee)/m-Poids*SIN(M117)/m)</f>
        <v>118.37508593416</v>
      </c>
      <c r="AH118" s="397" t="n">
        <f aca="false">IF(AND(L117&lt;L_rampe,Poussee&lt;Poids*SIN(M117)), g*SIN(M117), (-W117+Poussee)/m)</f>
        <v>128.00014505077</v>
      </c>
    </row>
    <row r="119" customFormat="false" ht="12.75" hidden="false" customHeight="false" outlineLevel="0" collapsed="false">
      <c r="A119" s="396" t="n">
        <f aca="false">IF(B118+0.01&lt;=T_ini+ROUNDUP(Temps_fin_propu,0), 0.01, IF(K118&gt;0, 0.1, 0.0001))</f>
        <v>0.01</v>
      </c>
      <c r="B119" s="397" t="n">
        <f aca="false">B118+pas</f>
        <v>1.15</v>
      </c>
      <c r="D119" s="396" t="n">
        <f aca="false">IF(AND(L118&lt;L_rampe,Poussee&lt;Poids*SIN(M118)),0,(-W118+Poussee)/m*COS(M118)-U118/m*SIN(M118))</f>
        <v>24.6942964682709</v>
      </c>
      <c r="E119" s="398" t="n">
        <f aca="false">IF(AND(L118&lt;L_rampe,Poussee&lt;Poids*SIN(M118)),0,(-W118+Poussee)/m*SIN(M118)+U118/m*COS(M118)-Poids/m)</f>
        <v>115.473436581746</v>
      </c>
      <c r="F119" s="397" t="n">
        <f aca="false">SQRT(acc_x^2+acc_z^2)</f>
        <v>118.084388612811</v>
      </c>
      <c r="G119" s="396" t="n">
        <f aca="false">G118+acc_x*pas</f>
        <v>28.5112651984793</v>
      </c>
      <c r="H119" s="398" t="n">
        <f aca="false">H118+acc_z*pas</f>
        <v>144.550251895694</v>
      </c>
      <c r="I119" s="397" t="n">
        <f aca="false">SQRT(vit_x^2+vit_z^2)</f>
        <v>147.335221743908</v>
      </c>
      <c r="J119" s="396" t="n">
        <f aca="false">J118+0.5*(vit_x+G118)*pas*(K118&gt;=0)</f>
        <v>15.8318389873639</v>
      </c>
      <c r="K119" s="398" t="n">
        <f aca="false">K118+0.5*(vit_z+H118)*pas</f>
        <v>83.1562665511598</v>
      </c>
      <c r="L119" s="397" t="n">
        <f aca="false">SQRT(pos_x^2+pos_z^2)</f>
        <v>84.6499367539595</v>
      </c>
      <c r="M119" s="396" t="n">
        <f aca="false">IF(AND(L118&gt;L_rampe,G119&gt;0),ATAN2(G119,H119),$M$4)</f>
        <v>1.37605486076165</v>
      </c>
      <c r="N119" s="397" t="n">
        <f aca="false">DEGREES(Beta)</f>
        <v>78.8421359001048</v>
      </c>
      <c r="P119" s="399" t="n">
        <f aca="false">MATCH(t-pas/2-T_ini,CdP_t)</f>
        <v>11</v>
      </c>
      <c r="Q119" s="397" t="n">
        <f aca="false">(INDEX(CdP,2,i_P+1)-INDEX(CdP,2,i_P+0))/(INDEX(CdP,1,i_P+1)-INDEX(CdP,1,i_P+0))*(t-pas/2-T_ini-INDEX(CdP,1,i_P+0))+INDEX(CdP,2,i_P+0)</f>
        <v>1209.5475</v>
      </c>
      <c r="R119" s="396" t="n">
        <f aca="false">Poussee/(g*ISP)</f>
        <v>0.594410041441909</v>
      </c>
      <c r="S119" s="398" t="n">
        <f aca="false">S118-Débit*pas</f>
        <v>8.70740024090664</v>
      </c>
      <c r="T119" s="397" t="n">
        <f aca="false">m*g</f>
        <v>85.4195963632942</v>
      </c>
      <c r="U119" s="400" t="n">
        <f aca="false">IF(pos_xz&lt;L_rampe,Poids*COS(Beta),0)</f>
        <v>0</v>
      </c>
      <c r="V119" s="396" t="n">
        <f aca="false">Rho_moyen*(20000-Alt_rampe-pos_z)/(20000+Alt_rampe+pos_z)</f>
        <v>1.21485553613454</v>
      </c>
      <c r="W119" s="397" t="n">
        <f aca="false">1/2*Rho*Sref*Cx*vit_xz^2</f>
        <v>99.2351078599943</v>
      </c>
      <c r="Y119" s="401" t="str">
        <f aca="false">IF(AND(pos_z&lt;=0,K118&gt;0),"Impact balistique","") &amp; IF(AND(H120&lt;0,vit_z&gt;=0),"Apogée","") &amp; IF(AND(Poussee=0,Q118&gt;0),"Fin de propulsion","") &amp; IF(AND(L120&gt;L_rampe,pos_xz&lt;=L_rampe),"Sortie de rampe","")</f>
        <v/>
      </c>
      <c r="Z119" s="402" t="str">
        <f aca="false">IF(ABS(t-T_para)&lt;pas/2,"Para","")</f>
        <v/>
      </c>
      <c r="AA119" s="403" t="str">
        <f aca="false">IF(ABS(t-T_satellite)&lt;pas/2,"Satellite","")</f>
        <v/>
      </c>
      <c r="AC119" s="399" t="e">
        <f aca="false">IF(ABS(t-ROUND(t,0))&lt;0.001,t,NA())</f>
        <v>#N/A</v>
      </c>
      <c r="AD119" s="404" t="e">
        <f aca="false">IF(ABS(t-ROUND(t,0))&lt;0.001,pos_x,NA())</f>
        <v>#N/A</v>
      </c>
      <c r="AE119" s="405" t="n">
        <f aca="false">IF(t&lt;T_para, pos_z, NA())</f>
        <v>83.1562665511598</v>
      </c>
      <c r="AG119" s="396" t="n">
        <f aca="false">IF(AND(L118&lt;L_rampe,Poussee&lt;Poids*SIN(M118)),0,(-W118+Poussee)/m-Poids*SIN(M118)/m)</f>
        <v>118.069148220161</v>
      </c>
      <c r="AH119" s="397" t="n">
        <f aca="false">IF(AND(L118&lt;L_rampe,Poussee&lt;Poids*SIN(M118)), g*SIN(M118), (-W118+Poussee)/m)</f>
        <v>127.693961328621</v>
      </c>
    </row>
    <row r="120" customFormat="false" ht="12.75" hidden="false" customHeight="false" outlineLevel="0" collapsed="false">
      <c r="A120" s="396" t="n">
        <f aca="false">IF(B119+0.01&lt;=T_ini+ROUNDUP(Temps_fin_propu,0), 0.01, IF(K119&gt;0, 0.1, 0.0001))</f>
        <v>0.01</v>
      </c>
      <c r="B120" s="397" t="n">
        <f aca="false">B119+pas</f>
        <v>1.16</v>
      </c>
      <c r="D120" s="396" t="n">
        <f aca="false">IF(AND(L119&lt;L_rampe,Poussee&lt;Poids*SIN(M119)),0,(-W119+Poussee)/m*COS(M119)-U119/m*SIN(M119))</f>
        <v>24.6508898841102</v>
      </c>
      <c r="E120" s="398" t="n">
        <f aca="false">IF(AND(L119&lt;L_rampe,Poussee&lt;Poids*SIN(M119)),0,(-W119+Poussee)/m*SIN(M119)+U119/m*COS(M119)-Poids/m)</f>
        <v>115.168401252821</v>
      </c>
      <c r="F120" s="397" t="n">
        <f aca="false">SQRT(acc_x^2+acc_z^2)</f>
        <v>117.777022458582</v>
      </c>
      <c r="G120" s="396" t="n">
        <f aca="false">G119+acc_x*pas</f>
        <v>28.7577740973204</v>
      </c>
      <c r="H120" s="398" t="n">
        <f aca="false">H119+acc_z*pas</f>
        <v>145.701935908222</v>
      </c>
      <c r="I120" s="397" t="n">
        <f aca="false">SQRT(vit_x^2+vit_z^2)</f>
        <v>148.512840180357</v>
      </c>
      <c r="J120" s="396" t="n">
        <f aca="false">J119+0.5*(vit_x+G119)*pas*(K119&gt;=0)</f>
        <v>16.1181841838429</v>
      </c>
      <c r="K120" s="398" t="n">
        <f aca="false">K119+0.5*(vit_z+H119)*pas</f>
        <v>84.6075274901793</v>
      </c>
      <c r="L120" s="397" t="n">
        <f aca="false">SQRT(pos_x^2+pos_z^2)</f>
        <v>86.1291447152805</v>
      </c>
      <c r="M120" s="396" t="n">
        <f aca="false">IF(AND(L119&gt;L_rampe,G120&gt;0),ATAN2(G120,H120),$M$4)</f>
        <v>1.37592703602297</v>
      </c>
      <c r="N120" s="397" t="n">
        <f aca="false">DEGREES(Beta)</f>
        <v>78.834812082061</v>
      </c>
      <c r="P120" s="399" t="n">
        <f aca="false">MATCH(t-pas/2-T_ini,CdP_t)</f>
        <v>11</v>
      </c>
      <c r="Q120" s="397" t="n">
        <f aca="false">(INDEX(CdP,2,i_P+1)-INDEX(CdP,2,i_P+0))/(INDEX(CdP,1,i_P+1)-INDEX(CdP,1,i_P+0))*(t-pas/2-T_ini-INDEX(CdP,1,i_P+0))+INDEX(CdP,2,i_P+0)</f>
        <v>1207.6825</v>
      </c>
      <c r="R120" s="396" t="n">
        <f aca="false">Poussee/(g*ISP)</f>
        <v>0.593493521233079</v>
      </c>
      <c r="S120" s="398" t="n">
        <f aca="false">S119-Débit*pas</f>
        <v>8.70146530569431</v>
      </c>
      <c r="T120" s="397" t="n">
        <f aca="false">m*g</f>
        <v>85.3613746488612</v>
      </c>
      <c r="U120" s="400" t="n">
        <f aca="false">IF(pos_xz&lt;L_rampe,Poids*COS(Beta),0)</f>
        <v>0</v>
      </c>
      <c r="V120" s="396" t="n">
        <f aca="false">Rho_moyen*(20000-Alt_rampe-pos_z)/(20000+Alt_rampe+pos_z)</f>
        <v>1.2146792385877</v>
      </c>
      <c r="W120" s="397" t="n">
        <f aca="false">1/2*Rho*Sref*Cx*vit_xz^2</f>
        <v>100.813144856295</v>
      </c>
      <c r="Y120" s="401" t="str">
        <f aca="false">IF(AND(pos_z&lt;=0,K119&gt;0),"Impact balistique","") &amp; IF(AND(H121&lt;0,vit_z&gt;=0),"Apogée","") &amp; IF(AND(Poussee=0,Q119&gt;0),"Fin de propulsion","") &amp; IF(AND(L121&gt;L_rampe,pos_xz&lt;=L_rampe),"Sortie de rampe","")</f>
        <v/>
      </c>
      <c r="Z120" s="402" t="str">
        <f aca="false">IF(ABS(t-T_para)&lt;pas/2,"Para","")</f>
        <v/>
      </c>
      <c r="AA120" s="403" t="str">
        <f aca="false">IF(ABS(t-T_satellite)&lt;pas/2,"Satellite","")</f>
        <v/>
      </c>
      <c r="AC120" s="399" t="e">
        <f aca="false">IF(ABS(t-ROUND(t,0))&lt;0.001,t,NA())</f>
        <v>#N/A</v>
      </c>
      <c r="AD120" s="404" t="e">
        <f aca="false">IF(ABS(t-ROUND(t,0))&lt;0.001,pos_x,NA())</f>
        <v>#N/A</v>
      </c>
      <c r="AE120" s="405" t="n">
        <f aca="false">IF(t&lt;T_para, pos_z, NA())</f>
        <v>84.6075274901793</v>
      </c>
      <c r="AG120" s="396" t="n">
        <f aca="false">IF(AND(L119&lt;L_rampe,Poussee&lt;Poids*SIN(M119)),0,(-W119+Poussee)/m-Poids*SIN(M119)/m)</f>
        <v>117.761722316079</v>
      </c>
      <c r="AH120" s="397" t="n">
        <f aca="false">IF(AND(L119&lt;L_rampe,Poussee&lt;Poids*SIN(M119)), g*SIN(M119), (-W119+Poussee)/m)</f>
        <v>127.386291066934</v>
      </c>
    </row>
    <row r="121" customFormat="false" ht="12.75" hidden="false" customHeight="false" outlineLevel="0" collapsed="false">
      <c r="A121" s="396" t="n">
        <f aca="false">IF(B120+0.01&lt;=T_ini+ROUNDUP(Temps_fin_propu,0), 0.01, IF(K120&gt;0, 0.1, 0.0001))</f>
        <v>0.01</v>
      </c>
      <c r="B121" s="397" t="n">
        <f aca="false">B120+pas</f>
        <v>1.17</v>
      </c>
      <c r="D121" s="396" t="n">
        <f aca="false">IF(AND(L120&lt;L_rampe,Poussee&lt;Poids*SIN(M120)),0,(-W120+Poussee)/m*COS(M120)-U120/m*SIN(M120))</f>
        <v>24.6070028671047</v>
      </c>
      <c r="E121" s="398" t="n">
        <f aca="false">IF(AND(L120&lt;L_rampe,Poussee&lt;Poids*SIN(M120)),0,(-W120+Poussee)/m*SIN(M120)+U120/m*COS(M120)-Poids/m)</f>
        <v>114.861956268354</v>
      </c>
      <c r="F121" s="397" t="n">
        <f aca="false">SQRT(acc_x^2+acc_z^2)</f>
        <v>117.468181172158</v>
      </c>
      <c r="G121" s="396" t="n">
        <f aca="false">G120+acc_x*pas</f>
        <v>29.0038441259915</v>
      </c>
      <c r="H121" s="398" t="n">
        <f aca="false">H120+acc_z*pas</f>
        <v>146.850555470906</v>
      </c>
      <c r="I121" s="397" t="n">
        <f aca="false">SQRT(vit_x^2+vit_z^2)</f>
        <v>149.68736959476</v>
      </c>
      <c r="J121" s="396" t="n">
        <f aca="false">J120+0.5*(vit_x+G120)*pas*(K120&gt;=0)</f>
        <v>16.4069922749594</v>
      </c>
      <c r="K121" s="398" t="n">
        <f aca="false">K120+0.5*(vit_z+H120)*pas</f>
        <v>86.070289947075</v>
      </c>
      <c r="L121" s="397" t="n">
        <f aca="false">SQRT(pos_x^2+pos_z^2)</f>
        <v>87.6201130282547</v>
      </c>
      <c r="M121" s="396" t="n">
        <f aca="false">IF(AND(L120&gt;L_rampe,G121&gt;0),ATAN2(G121,H121),$M$4)</f>
        <v>1.37580013208002</v>
      </c>
      <c r="N121" s="397" t="n">
        <f aca="false">DEGREES(Beta)</f>
        <v>78.8275410217266</v>
      </c>
      <c r="P121" s="399" t="n">
        <f aca="false">MATCH(t-pas/2-T_ini,CdP_t)</f>
        <v>11</v>
      </c>
      <c r="Q121" s="397" t="n">
        <f aca="false">(INDEX(CdP,2,i_P+1)-INDEX(CdP,2,i_P+0))/(INDEX(CdP,1,i_P+1)-INDEX(CdP,1,i_P+0))*(t-pas/2-T_ini-INDEX(CdP,1,i_P+0))+INDEX(CdP,2,i_P+0)</f>
        <v>1205.8175</v>
      </c>
      <c r="R121" s="396" t="n">
        <f aca="false">Poussee/(g*ISP)</f>
        <v>0.59257700102425</v>
      </c>
      <c r="S121" s="398" t="n">
        <f aca="false">S120-Débit*pas</f>
        <v>8.69553953568407</v>
      </c>
      <c r="T121" s="397" t="n">
        <f aca="false">m*g</f>
        <v>85.3032428450608</v>
      </c>
      <c r="U121" s="400" t="n">
        <f aca="false">IF(pos_xz&lt;L_rampe,Poids*COS(Beta),0)</f>
        <v>0</v>
      </c>
      <c r="V121" s="396" t="n">
        <f aca="false">Rho_moyen*(20000-Alt_rampe-pos_z)/(20000+Alt_rampe+pos_z)</f>
        <v>1.21450156962879</v>
      </c>
      <c r="W121" s="397" t="n">
        <f aca="false">1/2*Rho*Sref*Cx*vit_xz^2</f>
        <v>102.399053116991</v>
      </c>
      <c r="Y121" s="401" t="str">
        <f aca="false">IF(AND(pos_z&lt;=0,K120&gt;0),"Impact balistique","") &amp; IF(AND(H122&lt;0,vit_z&gt;=0),"Apogée","") &amp; IF(AND(Poussee=0,Q120&gt;0),"Fin de propulsion","") &amp; IF(AND(L122&gt;L_rampe,pos_xz&lt;=L_rampe),"Sortie de rampe","")</f>
        <v/>
      </c>
      <c r="Z121" s="402" t="str">
        <f aca="false">IF(ABS(t-T_para)&lt;pas/2,"Para","")</f>
        <v/>
      </c>
      <c r="AA121" s="403" t="str">
        <f aca="false">IF(ABS(t-T_satellite)&lt;pas/2,"Satellite","")</f>
        <v/>
      </c>
      <c r="AC121" s="399" t="e">
        <f aca="false">IF(ABS(t-ROUND(t,0))&lt;0.001,t,NA())</f>
        <v>#N/A</v>
      </c>
      <c r="AD121" s="404" t="e">
        <f aca="false">IF(ABS(t-ROUND(t,0))&lt;0.001,pos_x,NA())</f>
        <v>#N/A</v>
      </c>
      <c r="AE121" s="405" t="n">
        <f aca="false">IF(t&lt;T_para, pos_z, NA())</f>
        <v>86.070289947075</v>
      </c>
      <c r="AG121" s="396" t="n">
        <f aca="false">IF(AND(L120&lt;L_rampe,Poussee&lt;Poids*SIN(M120)),0,(-W120+Poussee)/m-Poids*SIN(M120)/m)</f>
        <v>117.452820907509</v>
      </c>
      <c r="AH121" s="397" t="n">
        <f aca="false">IF(AND(L120&lt;L_rampe,Poussee&lt;Poids*SIN(M120)), g*SIN(M120), (-W120+Poussee)/m)</f>
        <v>127.077146922175</v>
      </c>
    </row>
    <row r="122" customFormat="false" ht="12.75" hidden="false" customHeight="false" outlineLevel="0" collapsed="false">
      <c r="A122" s="396" t="n">
        <f aca="false">IF(B121+0.01&lt;=T_ini+ROUNDUP(Temps_fin_propu,0), 0.01, IF(K121&gt;0, 0.1, 0.0001))</f>
        <v>0.01</v>
      </c>
      <c r="B122" s="397" t="n">
        <f aca="false">B121+pas</f>
        <v>1.18</v>
      </c>
      <c r="D122" s="396" t="n">
        <f aca="false">IF(AND(L121&lt;L_rampe,Poussee&lt;Poids*SIN(M121)),0,(-W121+Poussee)/m*COS(M121)-U121/m*SIN(M121))</f>
        <v>24.5626402771175</v>
      </c>
      <c r="E122" s="398" t="n">
        <f aca="false">IF(AND(L121&lt;L_rampe,Poussee&lt;Poids*SIN(M121)),0,(-W121+Poussee)/m*SIN(M121)+U121/m*COS(M121)-Poids/m)</f>
        <v>114.55411369672</v>
      </c>
      <c r="F122" s="397" t="n">
        <f aca="false">SQRT(acc_x^2+acc_z^2)</f>
        <v>117.15787750819</v>
      </c>
      <c r="G122" s="396" t="n">
        <f aca="false">G121+acc_x*pas</f>
        <v>29.2494705287626</v>
      </c>
      <c r="H122" s="398" t="n">
        <f aca="false">H121+acc_z*pas</f>
        <v>147.996096607873</v>
      </c>
      <c r="I122" s="397" t="n">
        <f aca="false">SQRT(vit_x^2+vit_z^2)</f>
        <v>150.8587953597</v>
      </c>
      <c r="J122" s="396" t="n">
        <f aca="false">J121+0.5*(vit_x+G121)*pas*(K121&gt;=0)</f>
        <v>16.6982588482332</v>
      </c>
      <c r="K122" s="398" t="n">
        <f aca="false">K121+0.5*(vit_z+H121)*pas</f>
        <v>87.5445232074688</v>
      </c>
      <c r="L122" s="397" t="n">
        <f aca="false">SQRT(pos_x^2+pos_z^2)</f>
        <v>89.122810728711</v>
      </c>
      <c r="M122" s="396" t="n">
        <f aca="false">IF(AND(L121&gt;L_rampe,G122&gt;0),ATAN2(G122,H122),$M$4)</f>
        <v>1.37567413259248</v>
      </c>
      <c r="N122" s="397" t="n">
        <f aca="false">DEGREES(Beta)</f>
        <v>78.8203217828697</v>
      </c>
      <c r="P122" s="399" t="n">
        <f aca="false">MATCH(t-pas/2-T_ini,CdP_t)</f>
        <v>11</v>
      </c>
      <c r="Q122" s="397" t="n">
        <f aca="false">(INDEX(CdP,2,i_P+1)-INDEX(CdP,2,i_P+0))/(INDEX(CdP,1,i_P+1)-INDEX(CdP,1,i_P+0))*(t-pas/2-T_ini-INDEX(CdP,1,i_P+0))+INDEX(CdP,2,i_P+0)</f>
        <v>1203.9525</v>
      </c>
      <c r="R122" s="396" t="n">
        <f aca="false">Poussee/(g*ISP)</f>
        <v>0.59166048081542</v>
      </c>
      <c r="S122" s="398" t="n">
        <f aca="false">S121-Débit*pas</f>
        <v>8.68962293087592</v>
      </c>
      <c r="T122" s="397" t="n">
        <f aca="false">m*g</f>
        <v>85.2452009518927</v>
      </c>
      <c r="U122" s="400" t="n">
        <f aca="false">IF(pos_xz&lt;L_rampe,Poids*COS(Beta),0)</f>
        <v>0</v>
      </c>
      <c r="V122" s="396" t="n">
        <f aca="false">Rho_moyen*(20000-Alt_rampe-pos_z)/(20000+Alt_rampe+pos_z)</f>
        <v>1.21432253359237</v>
      </c>
      <c r="W122" s="397" t="n">
        <f aca="false">1/2*Rho*Sref*Cx*vit_xz^2</f>
        <v>103.992704245099</v>
      </c>
      <c r="Y122" s="401" t="str">
        <f aca="false">IF(AND(pos_z&lt;=0,K121&gt;0),"Impact balistique","") &amp; IF(AND(H123&lt;0,vit_z&gt;=0),"Apogée","") &amp; IF(AND(Poussee=0,Q121&gt;0),"Fin de propulsion","") &amp; IF(AND(L123&gt;L_rampe,pos_xz&lt;=L_rampe),"Sortie de rampe","")</f>
        <v/>
      </c>
      <c r="Z122" s="402" t="str">
        <f aca="false">IF(ABS(t-T_para)&lt;pas/2,"Para","")</f>
        <v/>
      </c>
      <c r="AA122" s="403" t="str">
        <f aca="false">IF(ABS(t-T_satellite)&lt;pas/2,"Satellite","")</f>
        <v/>
      </c>
      <c r="AC122" s="399" t="e">
        <f aca="false">IF(ABS(t-ROUND(t,0))&lt;0.001,t,NA())</f>
        <v>#N/A</v>
      </c>
      <c r="AD122" s="404" t="e">
        <f aca="false">IF(ABS(t-ROUND(t,0))&lt;0.001,pos_x,NA())</f>
        <v>#N/A</v>
      </c>
      <c r="AE122" s="405" t="n">
        <f aca="false">IF(t&lt;T_para, pos_z, NA())</f>
        <v>87.5445232074688</v>
      </c>
      <c r="AG122" s="396" t="n">
        <f aca="false">IF(AND(L121&lt;L_rampe,Poussee&lt;Poids*SIN(M121)),0,(-W121+Poussee)/m-Poids*SIN(M121)/m)</f>
        <v>117.142456743222</v>
      </c>
      <c r="AH122" s="397" t="n">
        <f aca="false">IF(AND(L121&lt;L_rampe,Poussee&lt;Poids*SIN(M121)), g*SIN(M121), (-W121+Poussee)/m)</f>
        <v>126.766541614709</v>
      </c>
    </row>
    <row r="123" customFormat="false" ht="12.75" hidden="false" customHeight="false" outlineLevel="0" collapsed="false">
      <c r="A123" s="396" t="n">
        <f aca="false">IF(B122+0.01&lt;=T_ini+ROUNDUP(Temps_fin_propu,0), 0.01, IF(K122&gt;0, 0.1, 0.0001))</f>
        <v>0.01</v>
      </c>
      <c r="B123" s="397" t="n">
        <f aca="false">B122+pas</f>
        <v>1.19</v>
      </c>
      <c r="D123" s="396" t="n">
        <f aca="false">IF(AND(L122&lt;L_rampe,Poussee&lt;Poids*SIN(M122)),0,(-W122+Poussee)/m*COS(M122)-U122/m*SIN(M122))</f>
        <v>24.5178069269366</v>
      </c>
      <c r="E123" s="398" t="n">
        <f aca="false">IF(AND(L122&lt;L_rampe,Poussee&lt;Poids*SIN(M122)),0,(-W122+Poussee)/m*SIN(M122)+U122/m*COS(M122)-Poids/m)</f>
        <v>114.244885677467</v>
      </c>
      <c r="F123" s="397" t="n">
        <f aca="false">SQRT(acc_x^2+acc_z^2)</f>
        <v>116.846124283025</v>
      </c>
      <c r="G123" s="396" t="n">
        <f aca="false">G122+acc_x*pas</f>
        <v>29.494648598032</v>
      </c>
      <c r="H123" s="398" t="n">
        <f aca="false">H122+acc_z*pas</f>
        <v>149.138545464647</v>
      </c>
      <c r="I123" s="397" t="n">
        <f aca="false">SQRT(vit_x^2+vit_z^2)</f>
        <v>152.027102975858</v>
      </c>
      <c r="J123" s="396" t="n">
        <f aca="false">J122+0.5*(vit_x+G122)*pas*(K122&gt;=0)</f>
        <v>16.9919794438672</v>
      </c>
      <c r="K123" s="398" t="n">
        <f aca="false">K122+0.5*(vit_z+H122)*pas</f>
        <v>89.0301964178315</v>
      </c>
      <c r="L123" s="397" t="n">
        <f aca="false">SQRT(pos_x^2+pos_z^2)</f>
        <v>90.6372067068401</v>
      </c>
      <c r="M123" s="396" t="n">
        <f aca="false">IF(AND(L122&gt;L_rampe,G123&gt;0),ATAN2(G123,H123),$M$4)</f>
        <v>1.37554902163082</v>
      </c>
      <c r="N123" s="397" t="n">
        <f aca="false">DEGREES(Beta)</f>
        <v>78.8131534527955</v>
      </c>
      <c r="P123" s="399" t="n">
        <f aca="false">MATCH(t-pas/2-T_ini,CdP_t)</f>
        <v>11</v>
      </c>
      <c r="Q123" s="397" t="n">
        <f aca="false">(INDEX(CdP,2,i_P+1)-INDEX(CdP,2,i_P+0))/(INDEX(CdP,1,i_P+1)-INDEX(CdP,1,i_P+0))*(t-pas/2-T_ini-INDEX(CdP,1,i_P+0))+INDEX(CdP,2,i_P+0)</f>
        <v>1202.0875</v>
      </c>
      <c r="R123" s="396" t="n">
        <f aca="false">Poussee/(g*ISP)</f>
        <v>0.590743960606591</v>
      </c>
      <c r="S123" s="398" t="n">
        <f aca="false">S122-Débit*pas</f>
        <v>8.68371549126985</v>
      </c>
      <c r="T123" s="397" t="n">
        <f aca="false">m*g</f>
        <v>85.1872489693572</v>
      </c>
      <c r="U123" s="400" t="n">
        <f aca="false">IF(pos_xz&lt;L_rampe,Poids*COS(Beta),0)</f>
        <v>0</v>
      </c>
      <c r="V123" s="396" t="n">
        <f aca="false">Rho_moyen*(20000-Alt_rampe-pos_z)/(20000+Alt_rampe+pos_z)</f>
        <v>1.21414213483224</v>
      </c>
      <c r="W123" s="397" t="n">
        <f aca="false">1/2*Rho*Sref*Cx*vit_xz^2</f>
        <v>105.593969697147</v>
      </c>
      <c r="Y123" s="401" t="str">
        <f aca="false">IF(AND(pos_z&lt;=0,K122&gt;0),"Impact balistique","") &amp; IF(AND(H124&lt;0,vit_z&gt;=0),"Apogée","") &amp; IF(AND(Poussee=0,Q122&gt;0),"Fin de propulsion","") &amp; IF(AND(L124&gt;L_rampe,pos_xz&lt;=L_rampe),"Sortie de rampe","")</f>
        <v/>
      </c>
      <c r="Z123" s="402" t="str">
        <f aca="false">IF(ABS(t-T_para)&lt;pas/2,"Para","")</f>
        <v/>
      </c>
      <c r="AA123" s="403" t="str">
        <f aca="false">IF(ABS(t-T_satellite)&lt;pas/2,"Satellite","")</f>
        <v/>
      </c>
      <c r="AC123" s="399" t="e">
        <f aca="false">IF(ABS(t-ROUND(t,0))&lt;0.001,t,NA())</f>
        <v>#N/A</v>
      </c>
      <c r="AD123" s="404" t="e">
        <f aca="false">IF(ABS(t-ROUND(t,0))&lt;0.001,pos_x,NA())</f>
        <v>#N/A</v>
      </c>
      <c r="AE123" s="405" t="n">
        <f aca="false">IF(t&lt;T_para, pos_z, NA())</f>
        <v>89.0301964178315</v>
      </c>
      <c r="AG123" s="396" t="n">
        <f aca="false">IF(AND(L122&lt;L_rampe,Poussee&lt;Poids*SIN(M122)),0,(-W122+Poussee)/m-Poids*SIN(M122)/m)</f>
        <v>116.830642633684</v>
      </c>
      <c r="AH123" s="397" t="n">
        <f aca="false">IF(AND(L122&lt;L_rampe,Poussee&lt;Poids*SIN(M122)), g*SIN(M122), (-W122+Poussee)/m)</f>
        <v>126.454487927301</v>
      </c>
    </row>
    <row r="124" customFormat="false" ht="12.75" hidden="false" customHeight="false" outlineLevel="0" collapsed="false">
      <c r="A124" s="396" t="n">
        <f aca="false">IF(B123+0.01&lt;=T_ini+ROUNDUP(Temps_fin_propu,0), 0.01, IF(K123&gt;0, 0.1, 0.0001))</f>
        <v>0.01</v>
      </c>
      <c r="B124" s="397" t="n">
        <f aca="false">B123+pas</f>
        <v>1.2</v>
      </c>
      <c r="D124" s="396" t="n">
        <f aca="false">IF(AND(L123&lt;L_rampe,Poussee&lt;Poids*SIN(M123)),0,(-W123+Poussee)/m*COS(M123)-U123/m*SIN(M123))</f>
        <v>24.4725075841157</v>
      </c>
      <c r="E124" s="398" t="n">
        <f aca="false">IF(AND(L123&lt;L_rampe,Poussee&lt;Poids*SIN(M123)),0,(-W123+Poussee)/m*SIN(M123)+U123/m*COS(M123)-Poids/m)</f>
        <v>113.934284419483</v>
      </c>
      <c r="F124" s="397" t="n">
        <f aca="false">SQRT(acc_x^2+acc_z^2)</f>
        <v>116.532934373224</v>
      </c>
      <c r="G124" s="396" t="n">
        <f aca="false">G123+acc_x*pas</f>
        <v>29.7393736738732</v>
      </c>
      <c r="H124" s="398" t="n">
        <f aca="false">H123+acc_z*pas</f>
        <v>150.277888308842</v>
      </c>
      <c r="I124" s="397" t="n">
        <f aca="false">SQRT(vit_x^2+vit_z^2)</f>
        <v>153.192278072621</v>
      </c>
      <c r="J124" s="396" t="n">
        <f aca="false">J123+0.5*(vit_x+G123)*pas*(K123&gt;=0)</f>
        <v>17.2881495552267</v>
      </c>
      <c r="K124" s="398" t="n">
        <f aca="false">K123+0.5*(vit_z+H123)*pas</f>
        <v>90.5272785866989</v>
      </c>
      <c r="L124" s="397" t="n">
        <f aca="false">SQRT(pos_x^2+pos_z^2)</f>
        <v>92.1632697084781</v>
      </c>
      <c r="M124" s="396" t="n">
        <f aca="false">IF(AND(L123&gt;L_rampe,G124&gt;0),ATAN2(G124,H124),$M$4)</f>
        <v>1.37542478366251</v>
      </c>
      <c r="N124" s="397" t="n">
        <f aca="false">DEGREES(Beta)</f>
        <v>78.8060351415561</v>
      </c>
      <c r="P124" s="399" t="n">
        <f aca="false">MATCH(t-pas/2-T_ini,CdP_t)</f>
        <v>11</v>
      </c>
      <c r="Q124" s="397" t="n">
        <f aca="false">(INDEX(CdP,2,i_P+1)-INDEX(CdP,2,i_P+0))/(INDEX(CdP,1,i_P+1)-INDEX(CdP,1,i_P+0))*(t-pas/2-T_ini-INDEX(CdP,1,i_P+0))+INDEX(CdP,2,i_P+0)</f>
        <v>1200.2225</v>
      </c>
      <c r="R124" s="396" t="n">
        <f aca="false">Poussee/(g*ISP)</f>
        <v>0.589827440397762</v>
      </c>
      <c r="S124" s="398" t="n">
        <f aca="false">S123-Débit*pas</f>
        <v>8.67781721686587</v>
      </c>
      <c r="T124" s="397" t="n">
        <f aca="false">m*g</f>
        <v>85.1293868974542</v>
      </c>
      <c r="U124" s="400" t="n">
        <f aca="false">IF(pos_xz&lt;L_rampe,Poids*COS(Beta),0)</f>
        <v>0</v>
      </c>
      <c r="V124" s="396" t="n">
        <f aca="false">Rho_moyen*(20000-Alt_rampe-pos_z)/(20000+Alt_rampe+pos_z)</f>
        <v>1.21396037772121</v>
      </c>
      <c r="W124" s="397" t="n">
        <f aca="false">1/2*Rho*Sref*Cx*vit_xz^2</f>
        <v>107.202720796877</v>
      </c>
      <c r="Y124" s="401" t="str">
        <f aca="false">IF(AND(pos_z&lt;=0,K123&gt;0),"Impact balistique","") &amp; IF(AND(H125&lt;0,vit_z&gt;=0),"Apogée","") &amp; IF(AND(Poussee=0,Q123&gt;0),"Fin de propulsion","") &amp; IF(AND(L125&gt;L_rampe,pos_xz&lt;=L_rampe),"Sortie de rampe","")</f>
        <v/>
      </c>
      <c r="Z124" s="402" t="str">
        <f aca="false">IF(ABS(t-T_para)&lt;pas/2,"Para","")</f>
        <v/>
      </c>
      <c r="AA124" s="403" t="str">
        <f aca="false">IF(ABS(t-T_satellite)&lt;pas/2,"Satellite","")</f>
        <v/>
      </c>
      <c r="AC124" s="399" t="e">
        <f aca="false">IF(ABS(t-ROUND(t,0))&lt;0.001,t,NA())</f>
        <v>#N/A</v>
      </c>
      <c r="AD124" s="404" t="e">
        <f aca="false">IF(ABS(t-ROUND(t,0))&lt;0.001,pos_x,NA())</f>
        <v>#N/A</v>
      </c>
      <c r="AE124" s="405" t="n">
        <f aca="false">IF(t&lt;T_para, pos_z, NA())</f>
        <v>90.5272785866989</v>
      </c>
      <c r="AG124" s="396" t="n">
        <f aca="false">IF(AND(L123&lt;L_rampe,Poussee&lt;Poids*SIN(M123)),0,(-W123+Poussee)/m-Poids*SIN(M123)/m)</f>
        <v>116.517391449577</v>
      </c>
      <c r="AH124" s="397" t="n">
        <f aca="false">IF(AND(L123&lt;L_rampe,Poussee&lt;Poids*SIN(M123)), g*SIN(M123), (-W123+Poussee)/m)</f>
        <v>126.140998703611</v>
      </c>
    </row>
    <row r="125" customFormat="false" ht="12.75" hidden="false" customHeight="false" outlineLevel="0" collapsed="false">
      <c r="A125" s="396" t="n">
        <f aca="false">IF(B124+0.01&lt;=T_ini+ROUNDUP(Temps_fin_propu,0), 0.01, IF(K124&gt;0, 0.1, 0.0001))</f>
        <v>0.01</v>
      </c>
      <c r="B125" s="397" t="n">
        <f aca="false">B124+pas</f>
        <v>1.21</v>
      </c>
      <c r="D125" s="396" t="n">
        <f aca="false">IF(AND(L124&lt;L_rampe,Poussee&lt;Poids*SIN(M124)),0,(-W124+Poussee)/m*COS(M124)-U124/m*SIN(M124))</f>
        <v>24.402252603753</v>
      </c>
      <c r="E125" s="398" t="n">
        <f aca="false">IF(AND(L124&lt;L_rampe,Poussee&lt;Poids*SIN(M124)),0,(-W124+Poussee)/m*SIN(M124)+U124/m*COS(M124)-Poids/m)</f>
        <v>113.498548172035</v>
      </c>
      <c r="F125" s="397" t="n">
        <f aca="false">SQRT(acc_x^2+acc_z^2)</f>
        <v>116.092163255308</v>
      </c>
      <c r="G125" s="396" t="n">
        <f aca="false">G124+acc_x*pas</f>
        <v>29.9833961999107</v>
      </c>
      <c r="H125" s="398" t="n">
        <f aca="false">H124+acc_z*pas</f>
        <v>151.412873790563</v>
      </c>
      <c r="I125" s="397" t="n">
        <f aca="false">SQRT(vit_x^2+vit_z^2)</f>
        <v>154.353044664489</v>
      </c>
      <c r="J125" s="396" t="n">
        <f aca="false">J124+0.5*(vit_x+G124)*pas*(K124&gt;=0)</f>
        <v>17.5867634045956</v>
      </c>
      <c r="K125" s="398" t="n">
        <f aca="false">K124+0.5*(vit_z+H124)*pas</f>
        <v>92.0357323971959</v>
      </c>
      <c r="L125" s="397" t="n">
        <f aca="false">SQRT(pos_x^2+pos_z^2)</f>
        <v>93.7009620278121</v>
      </c>
      <c r="M125" s="396" t="n">
        <f aca="false">IF(AND(L124&gt;L_rampe,G125&gt;0),ATAN2(G125,H125),$M$4)</f>
        <v>1.37530140253027</v>
      </c>
      <c r="N125" s="397" t="n">
        <f aca="false">DEGREES(Beta)</f>
        <v>78.7989659234074</v>
      </c>
      <c r="P125" s="399" t="n">
        <f aca="false">MATCH(t-pas/2-T_ini,CdP_t)</f>
        <v>12</v>
      </c>
      <c r="Q125" s="397" t="n">
        <f aca="false">(INDEX(CdP,2,i_P+1)-INDEX(CdP,2,i_P+0))/(INDEX(CdP,1,i_P+1)-INDEX(CdP,1,i_P+0))*(t-pas/2-T_ini-INDEX(CdP,1,i_P+0))+INDEX(CdP,2,i_P+0)</f>
        <v>1197.264</v>
      </c>
      <c r="R125" s="396" t="n">
        <f aca="false">Poussee/(g*ISP)</f>
        <v>0.588373539573192</v>
      </c>
      <c r="S125" s="398" t="n">
        <f aca="false">S124-Débit*pas</f>
        <v>8.67193348147014</v>
      </c>
      <c r="T125" s="397" t="n">
        <f aca="false">m*g</f>
        <v>85.0716674532221</v>
      </c>
      <c r="U125" s="400" t="n">
        <f aca="false">IF(pos_xz&lt;L_rampe,Poids*COS(Beta),0)</f>
        <v>0</v>
      </c>
      <c r="V125" s="396" t="n">
        <f aca="false">Rho_moyen*(20000-Alt_rampe-pos_z)/(20000+Alt_rampe+pos_z)</f>
        <v>1.21377726740205</v>
      </c>
      <c r="W125" s="397" t="n">
        <f aca="false">1/2*Rho*Sref*Cx*vit_xz^2</f>
        <v>108.8170497799</v>
      </c>
      <c r="Y125" s="401" t="str">
        <f aca="false">IF(AND(pos_z&lt;=0,K124&gt;0),"Impact balistique","") &amp; IF(AND(H126&lt;0,vit_z&gt;=0),"Apogée","") &amp; IF(AND(Poussee=0,Q124&gt;0),"Fin de propulsion","") &amp; IF(AND(L126&gt;L_rampe,pos_xz&lt;=L_rampe),"Sortie de rampe","")</f>
        <v/>
      </c>
      <c r="Z125" s="402" t="str">
        <f aca="false">IF(ABS(t-T_para)&lt;pas/2,"Para","")</f>
        <v/>
      </c>
      <c r="AA125" s="403" t="str">
        <f aca="false">IF(ABS(t-T_satellite)&lt;pas/2,"Satellite","")</f>
        <v/>
      </c>
      <c r="AC125" s="399" t="e">
        <f aca="false">IF(ABS(t-ROUND(t,0))&lt;0.001,t,NA())</f>
        <v>#N/A</v>
      </c>
      <c r="AD125" s="404" t="e">
        <f aca="false">IF(ABS(t-ROUND(t,0))&lt;0.001,pos_x,NA())</f>
        <v>#N/A</v>
      </c>
      <c r="AE125" s="405" t="n">
        <f aca="false">IF(t&lt;T_para, pos_z, NA())</f>
        <v>92.0357323971959</v>
      </c>
      <c r="AG125" s="396" t="n">
        <f aca="false">IF(AND(L124&lt;L_rampe,Poussee&lt;Poids*SIN(M124)),0,(-W124+Poussee)/m-Poids*SIN(M124)/m)</f>
        <v>116.076541701734</v>
      </c>
      <c r="AH125" s="397" t="n">
        <f aca="false">IF(AND(L124&lt;L_rampe,Poussee&lt;Poids*SIN(M124)), g*SIN(M124), (-W124+Poussee)/m)</f>
        <v>125.699912428102</v>
      </c>
    </row>
    <row r="126" customFormat="false" ht="12.75" hidden="false" customHeight="false" outlineLevel="0" collapsed="false">
      <c r="A126" s="396" t="n">
        <f aca="false">IF(B125+0.01&lt;=T_ini+ROUNDUP(Temps_fin_propu,0), 0.01, IF(K125&gt;0, 0.1, 0.0001))</f>
        <v>0.01</v>
      </c>
      <c r="B126" s="397" t="n">
        <f aca="false">B125+pas</f>
        <v>1.22</v>
      </c>
      <c r="D126" s="396" t="n">
        <f aca="false">IF(AND(L125&lt;L_rampe,Poussee&lt;Poids*SIN(M125)),0,(-W125+Poussee)/m*COS(M125)-U125/m*SIN(M125))</f>
        <v>24.3069760979935</v>
      </c>
      <c r="E126" s="398" t="n">
        <f aca="false">IF(AND(L125&lt;L_rampe,Poussee&lt;Poids*SIN(M125)),0,(-W125+Poussee)/m*SIN(M125)+U125/m*COS(M125)-Poids/m)</f>
        <v>112.93757267713</v>
      </c>
      <c r="F126" s="397" t="n">
        <f aca="false">SQRT(acc_x^2+acc_z^2)</f>
        <v>115.523696310455</v>
      </c>
      <c r="G126" s="396" t="n">
        <f aca="false">G125+acc_x*pas</f>
        <v>30.2264659608906</v>
      </c>
      <c r="H126" s="398" t="n">
        <f aca="false">H125+acc_z*pas</f>
        <v>152.542249517334</v>
      </c>
      <c r="I126" s="397" t="n">
        <f aca="false">SQRT(vit_x^2+vit_z^2)</f>
        <v>155.508125615009</v>
      </c>
      <c r="J126" s="396" t="n">
        <f aca="false">J125+0.5*(vit_x+G125)*pas*(K125&gt;=0)</f>
        <v>17.8878127153996</v>
      </c>
      <c r="K126" s="398" t="n">
        <f aca="false">K125+0.5*(vit_z+H125)*pas</f>
        <v>93.5555080137354</v>
      </c>
      <c r="L126" s="397" t="n">
        <f aca="false">SQRT(pos_x^2+pos_z^2)</f>
        <v>95.2502331936743</v>
      </c>
      <c r="M126" s="396" t="n">
        <f aca="false">IF(AND(L125&gt;L_rampe,G126&gt;0),ATAN2(G126,H126),$M$4)</f>
        <v>1.37517886149509</v>
      </c>
      <c r="N126" s="397" t="n">
        <f aca="false">DEGREES(Beta)</f>
        <v>78.791944839274</v>
      </c>
      <c r="P126" s="399" t="n">
        <f aca="false">MATCH(t-pas/2-T_ini,CdP_t)</f>
        <v>12</v>
      </c>
      <c r="Q126" s="397" t="n">
        <f aca="false">(INDEX(CdP,2,i_P+1)-INDEX(CdP,2,i_P+0))/(INDEX(CdP,1,i_P+1)-INDEX(CdP,1,i_P+0))*(t-pas/2-T_ini-INDEX(CdP,1,i_P+0))+INDEX(CdP,2,i_P+0)</f>
        <v>1193.212</v>
      </c>
      <c r="R126" s="396" t="n">
        <f aca="false">Poussee/(g*ISP)</f>
        <v>0.586382258132883</v>
      </c>
      <c r="S126" s="398" t="n">
        <f aca="false">S125-Débit*pas</f>
        <v>8.66606965888881</v>
      </c>
      <c r="T126" s="397" t="n">
        <f aca="false">m*g</f>
        <v>85.0141433536993</v>
      </c>
      <c r="U126" s="400" t="n">
        <f aca="false">IF(pos_xz&lt;L_rampe,Poids*COS(Beta),0)</f>
        <v>0</v>
      </c>
      <c r="V126" s="396" t="n">
        <f aca="false">Rho_moyen*(20000-Alt_rampe-pos_z)/(20000+Alt_rampe+pos_z)</f>
        <v>1.21359281053857</v>
      </c>
      <c r="W126" s="397" t="n">
        <f aca="false">1/2*Rho*Sref*Cx*vit_xz^2</f>
        <v>110.434994847675</v>
      </c>
      <c r="Y126" s="401" t="str">
        <f aca="false">IF(AND(pos_z&lt;=0,K125&gt;0),"Impact balistique","") &amp; IF(AND(H127&lt;0,vit_z&gt;=0),"Apogée","") &amp; IF(AND(Poussee=0,Q125&gt;0),"Fin de propulsion","") &amp; IF(AND(L127&gt;L_rampe,pos_xz&lt;=L_rampe),"Sortie de rampe","")</f>
        <v/>
      </c>
      <c r="Z126" s="402" t="str">
        <f aca="false">IF(ABS(t-T_para)&lt;pas/2,"Para","")</f>
        <v/>
      </c>
      <c r="AA126" s="403" t="str">
        <f aca="false">IF(ABS(t-T_satellite)&lt;pas/2,"Satellite","")</f>
        <v/>
      </c>
      <c r="AC126" s="399" t="e">
        <f aca="false">IF(ABS(t-ROUND(t,0))&lt;0.001,t,NA())</f>
        <v>#N/A</v>
      </c>
      <c r="AD126" s="404" t="e">
        <f aca="false">IF(ABS(t-ROUND(t,0))&lt;0.001,pos_x,NA())</f>
        <v>#N/A</v>
      </c>
      <c r="AE126" s="405" t="n">
        <f aca="false">IF(t&lt;T_para, pos_z, NA())</f>
        <v>93.5555080137354</v>
      </c>
      <c r="AG126" s="396" t="n">
        <f aca="false">IF(AND(L125&lt;L_rampe,Poussee&lt;Poids*SIN(M125)),0,(-W125+Poussee)/m-Poids*SIN(M125)/m)</f>
        <v>115.507978294156</v>
      </c>
      <c r="AH126" s="397" t="n">
        <f aca="false">IF(AND(L125&lt;L_rampe,Poussee&lt;Poids*SIN(M125)), g*SIN(M125), (-W125+Poussee)/m)</f>
        <v>125.131113977123</v>
      </c>
    </row>
    <row r="127" customFormat="false" ht="12.75" hidden="false" customHeight="false" outlineLevel="0" collapsed="false">
      <c r="A127" s="396" t="n">
        <f aca="false">IF(B126+0.01&lt;=T_ini+ROUNDUP(Temps_fin_propu,0), 0.01, IF(K126&gt;0, 0.1, 0.0001))</f>
        <v>0.01</v>
      </c>
      <c r="B127" s="397" t="n">
        <f aca="false">B126+pas</f>
        <v>1.23</v>
      </c>
      <c r="D127" s="396" t="n">
        <f aca="false">IF(AND(L126&lt;L_rampe,Poussee&lt;Poids*SIN(M126)),0,(-W126+Poussee)/m*COS(M126)-U126/m*SIN(M126))</f>
        <v>24.2111723403684</v>
      </c>
      <c r="E127" s="398" t="n">
        <f aca="false">IF(AND(L126&lt;L_rampe,Poussee&lt;Poids*SIN(M126)),0,(-W126+Poussee)/m*SIN(M126)+U126/m*COS(M126)-Poids/m)</f>
        <v>112.375196808328</v>
      </c>
      <c r="F127" s="397" t="n">
        <f aca="false">SQRT(acc_x^2+acc_z^2)</f>
        <v>114.953754718171</v>
      </c>
      <c r="G127" s="396" t="n">
        <f aca="false">G126+acc_x*pas</f>
        <v>30.4685776842943</v>
      </c>
      <c r="H127" s="398" t="n">
        <f aca="false">H126+acc_z*pas</f>
        <v>153.666001485417</v>
      </c>
      <c r="I127" s="397" t="n">
        <f aca="false">SQRT(vit_x^2+vit_z^2)</f>
        <v>156.657506167499</v>
      </c>
      <c r="J127" s="396" t="n">
        <f aca="false">J126+0.5*(vit_x+G126)*pas*(K126&gt;=0)</f>
        <v>18.1912879336256</v>
      </c>
      <c r="K127" s="398" t="n">
        <f aca="false">K126+0.5*(vit_z+H126)*pas</f>
        <v>95.0865492687492</v>
      </c>
      <c r="L127" s="397" t="n">
        <f aca="false">SQRT(pos_x^2+pos_z^2)</f>
        <v>96.811026275535</v>
      </c>
      <c r="M127" s="396" t="n">
        <f aca="false">IF(AND(L126&gt;L_rampe,G127&gt;0),ATAN2(G127,H127),$M$4)</f>
        <v>1.37505714425787</v>
      </c>
      <c r="N127" s="397" t="n">
        <f aca="false">DEGREES(Beta)</f>
        <v>78.7849709552877</v>
      </c>
      <c r="P127" s="399" t="n">
        <f aca="false">MATCH(t-pas/2-T_ini,CdP_t)</f>
        <v>12</v>
      </c>
      <c r="Q127" s="397" t="n">
        <f aca="false">(INDEX(CdP,2,i_P+1)-INDEX(CdP,2,i_P+0))/(INDEX(CdP,1,i_P+1)-INDEX(CdP,1,i_P+0))*(t-pas/2-T_ini-INDEX(CdP,1,i_P+0))+INDEX(CdP,2,i_P+0)</f>
        <v>1189.16</v>
      </c>
      <c r="R127" s="396" t="n">
        <f aca="false">Poussee/(g*ISP)</f>
        <v>0.584390976692573</v>
      </c>
      <c r="S127" s="398" t="n">
        <f aca="false">S126-Débit*pas</f>
        <v>8.66022574912189</v>
      </c>
      <c r="T127" s="397" t="n">
        <f aca="false">m*g</f>
        <v>84.9568145988857</v>
      </c>
      <c r="U127" s="400" t="n">
        <f aca="false">IF(pos_xz&lt;L_rampe,Poids*COS(Beta),0)</f>
        <v>0</v>
      </c>
      <c r="V127" s="396" t="n">
        <f aca="false">Rho_moyen*(20000-Alt_rampe-pos_z)/(20000+Alt_rampe+pos_z)</f>
        <v>1.21340701456362</v>
      </c>
      <c r="W127" s="397" t="n">
        <f aca="false">1/2*Rho*Sref*Cx*vit_xz^2</f>
        <v>112.056348287117</v>
      </c>
      <c r="Y127" s="401" t="str">
        <f aca="false">IF(AND(pos_z&lt;=0,K126&gt;0),"Impact balistique","") &amp; IF(AND(H128&lt;0,vit_z&gt;=0),"Apogée","") &amp; IF(AND(Poussee=0,Q126&gt;0),"Fin de propulsion","") &amp; IF(AND(L128&gt;L_rampe,pos_xz&lt;=L_rampe),"Sortie de rampe","")</f>
        <v/>
      </c>
      <c r="Z127" s="402" t="str">
        <f aca="false">IF(ABS(t-T_para)&lt;pas/2,"Para","")</f>
        <v/>
      </c>
      <c r="AA127" s="403" t="str">
        <f aca="false">IF(ABS(t-T_satellite)&lt;pas/2,"Satellite","")</f>
        <v/>
      </c>
      <c r="AC127" s="399" t="e">
        <f aca="false">IF(ABS(t-ROUND(t,0))&lt;0.001,t,NA())</f>
        <v>#N/A</v>
      </c>
      <c r="AD127" s="404" t="e">
        <f aca="false">IF(ABS(t-ROUND(t,0))&lt;0.001,pos_x,NA())</f>
        <v>#N/A</v>
      </c>
      <c r="AE127" s="405" t="n">
        <f aca="false">IF(t&lt;T_para, pos_z, NA())</f>
        <v>95.0865492687492</v>
      </c>
      <c r="AG127" s="396" t="n">
        <f aca="false">IF(AND(L126&lt;L_rampe,Poussee&lt;Poids*SIN(M126)),0,(-W126+Poussee)/m-Poids*SIN(M126)/m)</f>
        <v>114.937939204315</v>
      </c>
      <c r="AH127" s="397" t="n">
        <f aca="false">IF(AND(L126&lt;L_rampe,Poussee&lt;Poids*SIN(M126)), g*SIN(M126), (-W126+Poussee)/m)</f>
        <v>124.560841299282</v>
      </c>
    </row>
    <row r="128" customFormat="false" ht="12.75" hidden="false" customHeight="false" outlineLevel="0" collapsed="false">
      <c r="A128" s="396" t="n">
        <f aca="false">IF(B127+0.01&lt;=T_ini+ROUNDUP(Temps_fin_propu,0), 0.01, IF(K127&gt;0, 0.1, 0.0001))</f>
        <v>0.01</v>
      </c>
      <c r="B128" s="397" t="n">
        <f aca="false">B127+pas</f>
        <v>1.24</v>
      </c>
      <c r="D128" s="396" t="n">
        <f aca="false">IF(AND(L127&lt;L_rampe,Poussee&lt;Poids*SIN(M127)),0,(-W127+Poussee)/m*COS(M127)-U127/m*SIN(M127))</f>
        <v>24.1148490564106</v>
      </c>
      <c r="E128" s="398" t="n">
        <f aca="false">IF(AND(L127&lt;L_rampe,Poussee&lt;Poids*SIN(M127)),0,(-W127+Poussee)/m*SIN(M127)+U127/m*COS(M127)-Poids/m)</f>
        <v>111.811444536059</v>
      </c>
      <c r="F128" s="397" t="n">
        <f aca="false">SQRT(acc_x^2+acc_z^2)</f>
        <v>114.382363475554</v>
      </c>
      <c r="G128" s="396" t="n">
        <f aca="false">G127+acc_x*pas</f>
        <v>30.7097261748584</v>
      </c>
      <c r="H128" s="398" t="n">
        <f aca="false">H127+acc_z*pas</f>
        <v>154.784115930778</v>
      </c>
      <c r="I128" s="397" t="n">
        <f aca="false">SQRT(vit_x^2+vit_z^2)</f>
        <v>157.801171815064</v>
      </c>
      <c r="J128" s="396" t="n">
        <f aca="false">J127+0.5*(vit_x+G127)*pas*(K127&gt;=0)</f>
        <v>18.4971794529213</v>
      </c>
      <c r="K128" s="398" t="n">
        <f aca="false">K127+0.5*(vit_z+H127)*pas</f>
        <v>96.6287998558301</v>
      </c>
      <c r="L128" s="397" t="n">
        <f aca="false">SQRT(pos_x^2+pos_z^2)</f>
        <v>98.383284196512</v>
      </c>
      <c r="M128" s="396" t="n">
        <f aca="false">IF(AND(L127&gt;L_rampe,G128&gt;0),ATAN2(G128,H128),$M$4)</f>
        <v>1.3749362349439</v>
      </c>
      <c r="N128" s="397" t="n">
        <f aca="false">DEGREES(Beta)</f>
        <v>78.7780433618933</v>
      </c>
      <c r="P128" s="399" t="n">
        <f aca="false">MATCH(t-pas/2-T_ini,CdP_t)</f>
        <v>12</v>
      </c>
      <c r="Q128" s="397" t="n">
        <f aca="false">(INDEX(CdP,2,i_P+1)-INDEX(CdP,2,i_P+0))/(INDEX(CdP,1,i_P+1)-INDEX(CdP,1,i_P+0))*(t-pas/2-T_ini-INDEX(CdP,1,i_P+0))+INDEX(CdP,2,i_P+0)</f>
        <v>1185.108</v>
      </c>
      <c r="R128" s="396" t="n">
        <f aca="false">Poussee/(g*ISP)</f>
        <v>0.582399695252264</v>
      </c>
      <c r="S128" s="398" t="n">
        <f aca="false">S127-Débit*pas</f>
        <v>8.65440175216937</v>
      </c>
      <c r="T128" s="397" t="n">
        <f aca="false">m*g</f>
        <v>84.8996811887815</v>
      </c>
      <c r="U128" s="400" t="n">
        <f aca="false">IF(pos_xz&lt;L_rampe,Poids*COS(Beta),0)</f>
        <v>0</v>
      </c>
      <c r="V128" s="396" t="n">
        <f aca="false">Rho_moyen*(20000-Alt_rampe-pos_z)/(20000+Alt_rampe+pos_z)</f>
        <v>1.21321988692708</v>
      </c>
      <c r="W128" s="397" t="n">
        <f aca="false">1/2*Rho*Sref*Cx*vit_xz^2</f>
        <v>113.680903151816</v>
      </c>
      <c r="Y128" s="401" t="str">
        <f aca="false">IF(AND(pos_z&lt;=0,K127&gt;0),"Impact balistique","") &amp; IF(AND(H129&lt;0,vit_z&gt;=0),"Apogée","") &amp; IF(AND(Poussee=0,Q127&gt;0),"Fin de propulsion","") &amp; IF(AND(L129&gt;L_rampe,pos_xz&lt;=L_rampe),"Sortie de rampe","")</f>
        <v/>
      </c>
      <c r="Z128" s="402" t="str">
        <f aca="false">IF(ABS(t-T_para)&lt;pas/2,"Para","")</f>
        <v/>
      </c>
      <c r="AA128" s="403" t="str">
        <f aca="false">IF(ABS(t-T_satellite)&lt;pas/2,"Satellite","")</f>
        <v/>
      </c>
      <c r="AC128" s="399" t="e">
        <f aca="false">IF(ABS(t-ROUND(t,0))&lt;0.001,t,NA())</f>
        <v>#N/A</v>
      </c>
      <c r="AD128" s="404" t="e">
        <f aca="false">IF(ABS(t-ROUND(t,0))&lt;0.001,pos_x,NA())</f>
        <v>#N/A</v>
      </c>
      <c r="AE128" s="405" t="n">
        <f aca="false">IF(t&lt;T_para, pos_z, NA())</f>
        <v>96.6287998558301</v>
      </c>
      <c r="AG128" s="396" t="n">
        <f aca="false">IF(AND(L127&lt;L_rampe,Poussee&lt;Poids*SIN(M127)),0,(-W127+Poussee)/m-Poids*SIN(M127)/m)</f>
        <v>114.366449411167</v>
      </c>
      <c r="AH128" s="397" t="n">
        <f aca="false">IF(AND(L127&lt;L_rampe,Poussee&lt;Poids*SIN(M127)), g*SIN(M127), (-W127+Poussee)/m)</f>
        <v>123.989119345413</v>
      </c>
    </row>
    <row r="129" customFormat="false" ht="12.75" hidden="false" customHeight="false" outlineLevel="0" collapsed="false">
      <c r="A129" s="396" t="n">
        <f aca="false">IF(B128+0.01&lt;=T_ini+ROUNDUP(Temps_fin_propu,0), 0.01, IF(K128&gt;0, 0.1, 0.0001))</f>
        <v>0.01</v>
      </c>
      <c r="B129" s="397" t="n">
        <f aca="false">B128+pas</f>
        <v>1.25</v>
      </c>
      <c r="D129" s="396" t="n">
        <f aca="false">IF(AND(L128&lt;L_rampe,Poussee&lt;Poids*SIN(M128)),0,(-W128+Poussee)/m*COS(M128)-U128/m*SIN(M128))</f>
        <v>24.01801390216</v>
      </c>
      <c r="E129" s="398" t="n">
        <f aca="false">IF(AND(L128&lt;L_rampe,Poussee&lt;Poids*SIN(M128)),0,(-W128+Poussee)/m*SIN(M128)+U128/m*COS(M128)-Poids/m)</f>
        <v>111.246339841366</v>
      </c>
      <c r="F129" s="397" t="n">
        <f aca="false">SQRT(acc_x^2+acc_z^2)</f>
        <v>113.809547577983</v>
      </c>
      <c r="G129" s="396" t="n">
        <f aca="false">G128+acc_x*pas</f>
        <v>30.94990631388</v>
      </c>
      <c r="H129" s="398" t="n">
        <f aca="false">H128+acc_z*pas</f>
        <v>155.896579329191</v>
      </c>
      <c r="I129" s="397" t="n">
        <f aca="false">SQRT(vit_x^2+vit_z^2)</f>
        <v>158.939108300572</v>
      </c>
      <c r="J129" s="396" t="n">
        <f aca="false">J128+0.5*(vit_x+G128)*pas*(K128&gt;=0)</f>
        <v>18.805477615365</v>
      </c>
      <c r="K129" s="398" t="n">
        <f aca="false">K128+0.5*(vit_z+H128)*pas</f>
        <v>98.18220333213</v>
      </c>
      <c r="L129" s="397" t="n">
        <f aca="false">SQRT(pos_x^2+pos_z^2)</f>
        <v>99.9669497358688</v>
      </c>
      <c r="M129" s="396" t="n">
        <f aca="false">IF(AND(L128&gt;L_rampe,G129&gt;0),ATAN2(G129,H129),$M$4)</f>
        <v>1.37481611808785</v>
      </c>
      <c r="N129" s="397" t="n">
        <f aca="false">DEGREES(Beta)</f>
        <v>78.7711611729934</v>
      </c>
      <c r="P129" s="399" t="n">
        <f aca="false">MATCH(t-pas/2-T_ini,CdP_t)</f>
        <v>12</v>
      </c>
      <c r="Q129" s="397" t="n">
        <f aca="false">(INDEX(CdP,2,i_P+1)-INDEX(CdP,2,i_P+0))/(INDEX(CdP,1,i_P+1)-INDEX(CdP,1,i_P+0))*(t-pas/2-T_ini-INDEX(CdP,1,i_P+0))+INDEX(CdP,2,i_P+0)</f>
        <v>1181.056</v>
      </c>
      <c r="R129" s="396" t="n">
        <f aca="false">Poussee/(g*ISP)</f>
        <v>0.580408413811954</v>
      </c>
      <c r="S129" s="398" t="n">
        <f aca="false">S128-Débit*pas</f>
        <v>8.64859766803125</v>
      </c>
      <c r="T129" s="397" t="n">
        <f aca="false">m*g</f>
        <v>84.8427431233865</v>
      </c>
      <c r="U129" s="400" t="n">
        <f aca="false">IF(pos_xz&lt;L_rampe,Poids*COS(Beta),0)</f>
        <v>0</v>
      </c>
      <c r="V129" s="396" t="n">
        <f aca="false">Rho_moyen*(20000-Alt_rampe-pos_z)/(20000+Alt_rampe+pos_z)</f>
        <v>1.21303143509547</v>
      </c>
      <c r="W129" s="397" t="n">
        <f aca="false">1/2*Rho*Sref*Cx*vit_xz^2</f>
        <v>115.308453284713</v>
      </c>
      <c r="Y129" s="401" t="str">
        <f aca="false">IF(AND(pos_z&lt;=0,K128&gt;0),"Impact balistique","") &amp; IF(AND(H130&lt;0,vit_z&gt;=0),"Apogée","") &amp; IF(AND(Poussee=0,Q128&gt;0),"Fin de propulsion","") &amp; IF(AND(L130&gt;L_rampe,pos_xz&lt;=L_rampe),"Sortie de rampe","")</f>
        <v/>
      </c>
      <c r="Z129" s="402" t="str">
        <f aca="false">IF(ABS(t-T_para)&lt;pas/2,"Para","")</f>
        <v/>
      </c>
      <c r="AA129" s="403" t="str">
        <f aca="false">IF(ABS(t-T_satellite)&lt;pas/2,"Satellite","")</f>
        <v/>
      </c>
      <c r="AC129" s="399" t="e">
        <f aca="false">IF(ABS(t-ROUND(t,0))&lt;0.001,t,NA())</f>
        <v>#N/A</v>
      </c>
      <c r="AD129" s="404" t="e">
        <f aca="false">IF(ABS(t-ROUND(t,0))&lt;0.001,pos_x,NA())</f>
        <v>#N/A</v>
      </c>
      <c r="AE129" s="405" t="n">
        <f aca="false">IF(t&lt;T_para, pos_z, NA())</f>
        <v>98.18220333213</v>
      </c>
      <c r="AG129" s="396" t="n">
        <f aca="false">IF(AND(L128&lt;L_rampe,Poussee&lt;Poids*SIN(M128)),0,(-W128+Poussee)/m-Poids*SIN(M128)/m)</f>
        <v>113.793533891653</v>
      </c>
      <c r="AH129" s="397" t="n">
        <f aca="false">IF(AND(L128&lt;L_rampe,Poussee&lt;Poids*SIN(M128)), g*SIN(M128), (-W128+Poussee)/m)</f>
        <v>123.415973065048</v>
      </c>
    </row>
    <row r="130" customFormat="false" ht="12.75" hidden="false" customHeight="false" outlineLevel="0" collapsed="false">
      <c r="A130" s="396" t="n">
        <f aca="false">IF(B129+0.01&lt;=T_ini+ROUNDUP(Temps_fin_propu,0), 0.01, IF(K129&gt;0, 0.1, 0.0001))</f>
        <v>0.01</v>
      </c>
      <c r="B130" s="397" t="n">
        <f aca="false">B129+pas</f>
        <v>1.26</v>
      </c>
      <c r="D130" s="396" t="n">
        <f aca="false">IF(AND(L129&lt;L_rampe,Poussee&lt;Poids*SIN(M129)),0,(-W129+Poussee)/m*COS(M129)-U129/m*SIN(M129))</f>
        <v>23.9206744661156</v>
      </c>
      <c r="E130" s="398" t="n">
        <f aca="false">IF(AND(L129&lt;L_rampe,Poussee&lt;Poids*SIN(M129)),0,(-W129+Poussee)/m*SIN(M129)+U129/m*COS(M129)-Poids/m)</f>
        <v>110.679906712323</v>
      </c>
      <c r="F130" s="397" t="n">
        <f aca="false">SQRT(acc_x^2+acc_z^2)</f>
        <v>113.23533201595</v>
      </c>
      <c r="G130" s="396" t="n">
        <f aca="false">G129+acc_x*pas</f>
        <v>31.1891130585412</v>
      </c>
      <c r="H130" s="398" t="n">
        <f aca="false">H129+acc_z*pas</f>
        <v>157.003378396315</v>
      </c>
      <c r="I130" s="397" t="n">
        <f aca="false">SQRT(vit_x^2+vit_z^2)</f>
        <v>160.071301616607</v>
      </c>
      <c r="J130" s="396" t="n">
        <f aca="false">J129+0.5*(vit_x+G129)*pas*(K129&gt;=0)</f>
        <v>19.1161727122271</v>
      </c>
      <c r="K130" s="398" t="n">
        <f aca="false">K129+0.5*(vit_z+H129)*pas</f>
        <v>99.7467031207575</v>
      </c>
      <c r="L130" s="397" t="n">
        <f aca="false">SQRT(pos_x^2+pos_z^2)</f>
        <v>101.561965531513</v>
      </c>
      <c r="M130" s="396" t="n">
        <f aca="false">IF(AND(L129&gt;L_rampe,G130&gt;0),ATAN2(G130,H130),$M$4)</f>
        <v>1.37469677861955</v>
      </c>
      <c r="N130" s="397" t="n">
        <f aca="false">DEGREES(Beta)</f>
        <v>78.7643235251304</v>
      </c>
      <c r="P130" s="399" t="n">
        <f aca="false">MATCH(t-pas/2-T_ini,CdP_t)</f>
        <v>12</v>
      </c>
      <c r="Q130" s="397" t="n">
        <f aca="false">(INDEX(CdP,2,i_P+1)-INDEX(CdP,2,i_P+0))/(INDEX(CdP,1,i_P+1)-INDEX(CdP,1,i_P+0))*(t-pas/2-T_ini-INDEX(CdP,1,i_P+0))+INDEX(CdP,2,i_P+0)</f>
        <v>1177.004</v>
      </c>
      <c r="R130" s="396" t="n">
        <f aca="false">Poussee/(g*ISP)</f>
        <v>0.578417132371645</v>
      </c>
      <c r="S130" s="398" t="n">
        <f aca="false">S129-Débit*pas</f>
        <v>8.64281349670753</v>
      </c>
      <c r="T130" s="397" t="n">
        <f aca="false">m*g</f>
        <v>84.7860004027009</v>
      </c>
      <c r="U130" s="400" t="n">
        <f aca="false">IF(pos_xz&lt;L_rampe,Poids*COS(Beta),0)</f>
        <v>0</v>
      </c>
      <c r="V130" s="396" t="n">
        <f aca="false">Rho_moyen*(20000-Alt_rampe-pos_z)/(20000+Alt_rampe+pos_z)</f>
        <v>1.21284166655155</v>
      </c>
      <c r="W130" s="397" t="n">
        <f aca="false">1/2*Rho*Sref*Cx*vit_xz^2</f>
        <v>116.9387933405</v>
      </c>
      <c r="Y130" s="401" t="str">
        <f aca="false">IF(AND(pos_z&lt;=0,K129&gt;0),"Impact balistique","") &amp; IF(AND(H131&lt;0,vit_z&gt;=0),"Apogée","") &amp; IF(AND(Poussee=0,Q129&gt;0),"Fin de propulsion","") &amp; IF(AND(L131&gt;L_rampe,pos_xz&lt;=L_rampe),"Sortie de rampe","")</f>
        <v/>
      </c>
      <c r="Z130" s="402" t="str">
        <f aca="false">IF(ABS(t-T_para)&lt;pas/2,"Para","")</f>
        <v/>
      </c>
      <c r="AA130" s="403" t="str">
        <f aca="false">IF(ABS(t-T_satellite)&lt;pas/2,"Satellite","")</f>
        <v/>
      </c>
      <c r="AC130" s="399" t="e">
        <f aca="false">IF(ABS(t-ROUND(t,0))&lt;0.001,t,NA())</f>
        <v>#N/A</v>
      </c>
      <c r="AD130" s="404" t="e">
        <f aca="false">IF(ABS(t-ROUND(t,0))&lt;0.001,pos_x,NA())</f>
        <v>#N/A</v>
      </c>
      <c r="AE130" s="405" t="n">
        <f aca="false">IF(t&lt;T_para, pos_z, NA())</f>
        <v>99.7467031207575</v>
      </c>
      <c r="AG130" s="396" t="n">
        <f aca="false">IF(AND(L129&lt;L_rampe,Poussee&lt;Poids*SIN(M129)),0,(-W129+Poussee)/m-Poids*SIN(M129)/m)</f>
        <v>113.219217617516</v>
      </c>
      <c r="AH130" s="397" t="n">
        <f aca="false">IF(AND(L129&lt;L_rampe,Poussee&lt;Poids*SIN(M129)), g*SIN(M129), (-W129+Poussee)/m)</f>
        <v>122.841427403211</v>
      </c>
    </row>
    <row r="131" customFormat="false" ht="12.75" hidden="false" customHeight="false" outlineLevel="0" collapsed="false">
      <c r="A131" s="396" t="n">
        <f aca="false">IF(B130+0.01&lt;=T_ini+ROUNDUP(Temps_fin_propu,0), 0.01, IF(K130&gt;0, 0.1, 0.0001))</f>
        <v>0.01</v>
      </c>
      <c r="B131" s="397" t="n">
        <f aca="false">B130+pas</f>
        <v>1.27</v>
      </c>
      <c r="D131" s="396" t="n">
        <f aca="false">IF(AND(L130&lt;L_rampe,Poussee&lt;Poids*SIN(M130)),0,(-W130+Poussee)/m*COS(M130)-U130/m*SIN(M130))</f>
        <v>23.8228382710778</v>
      </c>
      <c r="E131" s="398" t="n">
        <f aca="false">IF(AND(L130&lt;L_rampe,Poussee&lt;Poids*SIN(M130)),0,(-W130+Poussee)/m*SIN(M130)+U130/m*COS(M130)-Poids/m)</f>
        <v>110.11216914049</v>
      </c>
      <c r="F131" s="397" t="n">
        <f aca="false">SQRT(acc_x^2+acc_z^2)</f>
        <v>112.659741771911</v>
      </c>
      <c r="G131" s="396" t="n">
        <f aca="false">G130+acc_x*pas</f>
        <v>31.427341441252</v>
      </c>
      <c r="H131" s="398" t="n">
        <f aca="false">H130+acc_z*pas</f>
        <v>158.10450008772</v>
      </c>
      <c r="I131" s="397" t="n">
        <f aca="false">SQRT(vit_x^2+vit_z^2)</f>
        <v>161.197738005385</v>
      </c>
      <c r="J131" s="396" t="n">
        <f aca="false">J130+0.5*(vit_x+G130)*pas*(K130&gt;=0)</f>
        <v>19.4292549847261</v>
      </c>
      <c r="K131" s="398" t="n">
        <f aca="false">K130+0.5*(vit_z+H130)*pas</f>
        <v>101.322242513178</v>
      </c>
      <c r="L131" s="397" t="n">
        <f aca="false">SQRT(pos_x^2+pos_z^2)</f>
        <v>103.168274082494</v>
      </c>
      <c r="M131" s="396" t="n">
        <f aca="false">IF(AND(L130&gt;L_rampe,G131&gt;0),ATAN2(G131,H131),$M$4)</f>
        <v>1.3745782018503</v>
      </c>
      <c r="N131" s="397" t="n">
        <f aca="false">DEGREES(Beta)</f>
        <v>78.7575295767042</v>
      </c>
      <c r="P131" s="399" t="n">
        <f aca="false">MATCH(t-pas/2-T_ini,CdP_t)</f>
        <v>12</v>
      </c>
      <c r="Q131" s="397" t="n">
        <f aca="false">(INDEX(CdP,2,i_P+1)-INDEX(CdP,2,i_P+0))/(INDEX(CdP,1,i_P+1)-INDEX(CdP,1,i_P+0))*(t-pas/2-T_ini-INDEX(CdP,1,i_P+0))+INDEX(CdP,2,i_P+0)</f>
        <v>1172.952</v>
      </c>
      <c r="R131" s="396" t="n">
        <f aca="false">Poussee/(g*ISP)</f>
        <v>0.576425850931336</v>
      </c>
      <c r="S131" s="398" t="n">
        <f aca="false">S130-Débit*pas</f>
        <v>8.63704923819822</v>
      </c>
      <c r="T131" s="397" t="n">
        <f aca="false">m*g</f>
        <v>84.7294530267245</v>
      </c>
      <c r="U131" s="400" t="n">
        <f aca="false">IF(pos_xz&lt;L_rampe,Poids*COS(Beta),0)</f>
        <v>0</v>
      </c>
      <c r="V131" s="396" t="n">
        <f aca="false">Rho_moyen*(20000-Alt_rampe-pos_z)/(20000+Alt_rampe+pos_z)</f>
        <v>1.21265058879399</v>
      </c>
      <c r="W131" s="397" t="n">
        <f aca="false">1/2*Rho*Sref*Cx*vit_xz^2</f>
        <v>118.571718807733</v>
      </c>
      <c r="Y131" s="401" t="str">
        <f aca="false">IF(AND(pos_z&lt;=0,K130&gt;0),"Impact balistique","") &amp; IF(AND(H132&lt;0,vit_z&gt;=0),"Apogée","") &amp; IF(AND(Poussee=0,Q130&gt;0),"Fin de propulsion","") &amp; IF(AND(L132&gt;L_rampe,pos_xz&lt;=L_rampe),"Sortie de rampe","")</f>
        <v/>
      </c>
      <c r="Z131" s="402" t="str">
        <f aca="false">IF(ABS(t-T_para)&lt;pas/2,"Para","")</f>
        <v/>
      </c>
      <c r="AA131" s="403" t="str">
        <f aca="false">IF(ABS(t-T_satellite)&lt;pas/2,"Satellite","")</f>
        <v/>
      </c>
      <c r="AC131" s="399" t="e">
        <f aca="false">IF(ABS(t-ROUND(t,0))&lt;0.001,t,NA())</f>
        <v>#N/A</v>
      </c>
      <c r="AD131" s="404" t="e">
        <f aca="false">IF(ABS(t-ROUND(t,0))&lt;0.001,pos_x,NA())</f>
        <v>#N/A</v>
      </c>
      <c r="AE131" s="405" t="n">
        <f aca="false">IF(t&lt;T_para, pos_z, NA())</f>
        <v>101.322242513178</v>
      </c>
      <c r="AG131" s="396" t="n">
        <f aca="false">IF(AND(L130&lt;L_rampe,Poussee&lt;Poids*SIN(M130)),0,(-W130+Poussee)/m-Poids*SIN(M130)/m)</f>
        <v>112.643525552144</v>
      </c>
      <c r="AH131" s="397" t="n">
        <f aca="false">IF(AND(L130&lt;L_rampe,Poussee&lt;Poids*SIN(M130)), g*SIN(M130), (-W130+Poussee)/m)</f>
        <v>122.265507297235</v>
      </c>
    </row>
    <row r="132" customFormat="false" ht="12.75" hidden="false" customHeight="false" outlineLevel="0" collapsed="false">
      <c r="A132" s="396" t="n">
        <f aca="false">IF(B131+0.01&lt;=T_ini+ROUNDUP(Temps_fin_propu,0), 0.01, IF(K131&gt;0, 0.1, 0.0001))</f>
        <v>0.01</v>
      </c>
      <c r="B132" s="397" t="n">
        <f aca="false">B131+pas</f>
        <v>1.28</v>
      </c>
      <c r="D132" s="396" t="n">
        <f aca="false">IF(AND(L131&lt;L_rampe,Poussee&lt;Poids*SIN(M131)),0,(-W131+Poussee)/m*COS(M131)-U131/m*SIN(M131))</f>
        <v>23.724512775885</v>
      </c>
      <c r="E132" s="398" t="n">
        <f aca="false">IF(AND(L131&lt;L_rampe,Poussee&lt;Poids*SIN(M131)),0,(-W131+Poussee)/m*SIN(M131)+U131/m*COS(M131)-Poids/m)</f>
        <v>109.543151117404</v>
      </c>
      <c r="F132" s="397" t="n">
        <f aca="false">SQRT(acc_x^2+acc_z^2)</f>
        <v>112.082801817155</v>
      </c>
      <c r="G132" s="396" t="n">
        <f aca="false">G131+acc_x*pas</f>
        <v>31.6645865690108</v>
      </c>
      <c r="H132" s="398" t="n">
        <f aca="false">H131+acc_z*pas</f>
        <v>159.199931598894</v>
      </c>
      <c r="I132" s="397" t="n">
        <f aca="false">SQRT(vit_x^2+vit_z^2)</f>
        <v>162.318403958635</v>
      </c>
      <c r="J132" s="396" t="n">
        <f aca="false">J131+0.5*(vit_x+G131)*pas*(K131&gt;=0)</f>
        <v>19.7447146247774</v>
      </c>
      <c r="K132" s="398" t="n">
        <f aca="false">K131+0.5*(vit_z+H131)*pas</f>
        <v>102.908764671611</v>
      </c>
      <c r="L132" s="397" t="n">
        <f aca="false">SQRT(pos_x^2+pos_z^2)</f>
        <v>104.785817751501</v>
      </c>
      <c r="M132" s="396" t="n">
        <f aca="false">IF(AND(L131&gt;L_rampe,G132&gt;0),ATAN2(G132,H132),$M$4)</f>
        <v>1.37446037345983</v>
      </c>
      <c r="N132" s="397" t="n">
        <f aca="false">DEGREES(Beta)</f>
        <v>78.7507785072232</v>
      </c>
      <c r="P132" s="399" t="n">
        <f aca="false">MATCH(t-pas/2-T_ini,CdP_t)</f>
        <v>12</v>
      </c>
      <c r="Q132" s="397" t="n">
        <f aca="false">(INDEX(CdP,2,i_P+1)-INDEX(CdP,2,i_P+0))/(INDEX(CdP,1,i_P+1)-INDEX(CdP,1,i_P+0))*(t-pas/2-T_ini-INDEX(CdP,1,i_P+0))+INDEX(CdP,2,i_P+0)</f>
        <v>1168.9</v>
      </c>
      <c r="R132" s="396" t="n">
        <f aca="false">Poussee/(g*ISP)</f>
        <v>0.574434569491026</v>
      </c>
      <c r="S132" s="398" t="n">
        <f aca="false">S131-Débit*pas</f>
        <v>8.63130489250331</v>
      </c>
      <c r="T132" s="397" t="n">
        <f aca="false">m*g</f>
        <v>84.6731009954574</v>
      </c>
      <c r="U132" s="400" t="n">
        <f aca="false">IF(pos_xz&lt;L_rampe,Poids*COS(Beta),0)</f>
        <v>0</v>
      </c>
      <c r="V132" s="396" t="n">
        <f aca="false">Rho_moyen*(20000-Alt_rampe-pos_z)/(20000+Alt_rampe+pos_z)</f>
        <v>1.21245820933692</v>
      </c>
      <c r="W132" s="397" t="n">
        <f aca="false">1/2*Rho*Sref*Cx*vit_xz^2</f>
        <v>120.207026030654</v>
      </c>
      <c r="Y132" s="401" t="str">
        <f aca="false">IF(AND(pos_z&lt;=0,K131&gt;0),"Impact balistique","") &amp; IF(AND(H133&lt;0,vit_z&gt;=0),"Apogée","") &amp; IF(AND(Poussee=0,Q131&gt;0),"Fin de propulsion","") &amp; IF(AND(L133&gt;L_rampe,pos_xz&lt;=L_rampe),"Sortie de rampe","")</f>
        <v/>
      </c>
      <c r="Z132" s="402" t="str">
        <f aca="false">IF(ABS(t-T_para)&lt;pas/2,"Para","")</f>
        <v/>
      </c>
      <c r="AA132" s="403" t="str">
        <f aca="false">IF(ABS(t-T_satellite)&lt;pas/2,"Satellite","")</f>
        <v/>
      </c>
      <c r="AC132" s="399" t="e">
        <f aca="false">IF(ABS(t-ROUND(t,0))&lt;0.001,t,NA())</f>
        <v>#N/A</v>
      </c>
      <c r="AD132" s="404" t="e">
        <f aca="false">IF(ABS(t-ROUND(t,0))&lt;0.001,pos_x,NA())</f>
        <v>#N/A</v>
      </c>
      <c r="AE132" s="405" t="n">
        <f aca="false">IF(t&lt;T_para, pos_z, NA())</f>
        <v>102.908764671611</v>
      </c>
      <c r="AG132" s="396" t="n">
        <f aca="false">IF(AND(L131&lt;L_rampe,Poussee&lt;Poids*SIN(M131)),0,(-W131+Poussee)/m-Poids*SIN(M131)/m)</f>
        <v>112.066482647432</v>
      </c>
      <c r="AH132" s="397" t="n">
        <f aca="false">IF(AND(L131&lt;L_rampe,Poussee&lt;Poids*SIN(M131)), g*SIN(M131), (-W131+Poussee)/m)</f>
        <v>121.688237673602</v>
      </c>
    </row>
    <row r="133" customFormat="false" ht="12.75" hidden="false" customHeight="false" outlineLevel="0" collapsed="false">
      <c r="A133" s="396" t="n">
        <f aca="false">IF(B132+0.01&lt;=T_ini+ROUNDUP(Temps_fin_propu,0), 0.01, IF(K132&gt;0, 0.1, 0.0001))</f>
        <v>0.01</v>
      </c>
      <c r="B133" s="397" t="n">
        <f aca="false">B132+pas</f>
        <v>1.29</v>
      </c>
      <c r="D133" s="396" t="n">
        <f aca="false">IF(AND(L132&lt;L_rampe,Poussee&lt;Poids*SIN(M132)),0,(-W132+Poussee)/m*COS(M132)-U132/m*SIN(M132))</f>
        <v>23.6257053770511</v>
      </c>
      <c r="E133" s="398" t="n">
        <f aca="false">IF(AND(L132&lt;L_rampe,Poussee&lt;Poids*SIN(M132)),0,(-W132+Poussee)/m*SIN(M132)+U132/m*COS(M132)-Poids/m)</f>
        <v>108.972876631117</v>
      </c>
      <c r="F133" s="397" t="n">
        <f aca="false">SQRT(acc_x^2+acc_z^2)</f>
        <v>111.504537108693</v>
      </c>
      <c r="G133" s="396" t="n">
        <f aca="false">G132+acc_x*pas</f>
        <v>31.9008436227813</v>
      </c>
      <c r="H133" s="398" t="n">
        <f aca="false">H132+acc_z*pas</f>
        <v>160.289660365205</v>
      </c>
      <c r="I133" s="397" t="n">
        <f aca="false">SQRT(vit_x^2+vit_z^2)</f>
        <v>163.433286217459</v>
      </c>
      <c r="J133" s="396" t="n">
        <f aca="false">J132+0.5*(vit_x+G132)*pas*(K132&gt;=0)</f>
        <v>20.0625417757364</v>
      </c>
      <c r="K133" s="398" t="n">
        <f aca="false">K132+0.5*(vit_z+H132)*pas</f>
        <v>104.506212631431</v>
      </c>
      <c r="L133" s="397" t="n">
        <f aca="false">SQRT(pos_x^2+pos_z^2)</f>
        <v>106.414538767356</v>
      </c>
      <c r="M133" s="396" t="n">
        <f aca="false">IF(AND(L132&gt;L_rampe,G133&gt;0),ATAN2(G133,H133),$M$4)</f>
        <v>1.37434327948374</v>
      </c>
      <c r="N133" s="397" t="n">
        <f aca="false">DEGREES(Beta)</f>
        <v>78.7440695165869</v>
      </c>
      <c r="P133" s="399" t="n">
        <f aca="false">MATCH(t-pas/2-T_ini,CdP_t)</f>
        <v>12</v>
      </c>
      <c r="Q133" s="397" t="n">
        <f aca="false">(INDEX(CdP,2,i_P+1)-INDEX(CdP,2,i_P+0))/(INDEX(CdP,1,i_P+1)-INDEX(CdP,1,i_P+0))*(t-pas/2-T_ini-INDEX(CdP,1,i_P+0))+INDEX(CdP,2,i_P+0)</f>
        <v>1164.848</v>
      </c>
      <c r="R133" s="396" t="n">
        <f aca="false">Poussee/(g*ISP)</f>
        <v>0.572443288050717</v>
      </c>
      <c r="S133" s="398" t="n">
        <f aca="false">S132-Débit*pas</f>
        <v>8.6255804596228</v>
      </c>
      <c r="T133" s="397" t="n">
        <f aca="false">m*g</f>
        <v>84.6169443088997</v>
      </c>
      <c r="U133" s="400" t="n">
        <f aca="false">IF(pos_xz&lt;L_rampe,Poids*COS(Beta),0)</f>
        <v>0</v>
      </c>
      <c r="V133" s="396" t="n">
        <f aca="false">Rho_moyen*(20000-Alt_rampe-pos_z)/(20000+Alt_rampe+pos_z)</f>
        <v>1.2122645357096</v>
      </c>
      <c r="W133" s="397" t="n">
        <f aca="false">1/2*Rho*Sref*Cx*vit_xz^2</f>
        <v>121.84451223073</v>
      </c>
      <c r="Y133" s="401" t="str">
        <f aca="false">IF(AND(pos_z&lt;=0,K132&gt;0),"Impact balistique","") &amp; IF(AND(H134&lt;0,vit_z&gt;=0),"Apogée","") &amp; IF(AND(Poussee=0,Q132&gt;0),"Fin de propulsion","") &amp; IF(AND(L134&gt;L_rampe,pos_xz&lt;=L_rampe),"Sortie de rampe","")</f>
        <v/>
      </c>
      <c r="Z133" s="402" t="str">
        <f aca="false">IF(ABS(t-T_para)&lt;pas/2,"Para","")</f>
        <v/>
      </c>
      <c r="AA133" s="403" t="str">
        <f aca="false">IF(ABS(t-T_satellite)&lt;pas/2,"Satellite","")</f>
        <v/>
      </c>
      <c r="AC133" s="399" t="e">
        <f aca="false">IF(ABS(t-ROUND(t,0))&lt;0.001,t,NA())</f>
        <v>#N/A</v>
      </c>
      <c r="AD133" s="404" t="e">
        <f aca="false">IF(ABS(t-ROUND(t,0))&lt;0.001,pos_x,NA())</f>
        <v>#N/A</v>
      </c>
      <c r="AE133" s="405" t="n">
        <f aca="false">IF(t&lt;T_para, pos_z, NA())</f>
        <v>104.506212631431</v>
      </c>
      <c r="AG133" s="396" t="n">
        <f aca="false">IF(AND(L132&lt;L_rampe,Poussee&lt;Poids*SIN(M132)),0,(-W132+Poussee)/m-Poids*SIN(M132)/m)</f>
        <v>111.488113840657</v>
      </c>
      <c r="AH133" s="397" t="n">
        <f aca="false">IF(AND(L132&lt;L_rampe,Poussee&lt;Poids*SIN(M132)), g*SIN(M132), (-W132+Poussee)/m)</f>
        <v>121.109643444799</v>
      </c>
    </row>
    <row r="134" customFormat="false" ht="12.75" hidden="false" customHeight="false" outlineLevel="0" collapsed="false">
      <c r="A134" s="396" t="n">
        <f aca="false">IF(B133+0.01&lt;=T_ini+ROUNDUP(Temps_fin_propu,0), 0.01, IF(K133&gt;0, 0.1, 0.0001))</f>
        <v>0.01</v>
      </c>
      <c r="B134" s="397" t="n">
        <f aca="false">B133+pas</f>
        <v>1.3</v>
      </c>
      <c r="D134" s="396" t="n">
        <f aca="false">IF(AND(L133&lt;L_rampe,Poussee&lt;Poids*SIN(M133)),0,(-W133+Poussee)/m*COS(M133)-U133/m*SIN(M133))</f>
        <v>23.5264234103094</v>
      </c>
      <c r="E134" s="398" t="n">
        <f aca="false">IF(AND(L133&lt;L_rampe,Poussee&lt;Poids*SIN(M133)),0,(-W133+Poussee)/m*SIN(M133)+U133/m*COS(M133)-Poids/m)</f>
        <v>108.40136966276</v>
      </c>
      <c r="F134" s="397" t="n">
        <f aca="false">SQRT(acc_x^2+acc_z^2)</f>
        <v>110.924972586174</v>
      </c>
      <c r="G134" s="396" t="n">
        <f aca="false">G133+acc_x*pas</f>
        <v>32.1361078568844</v>
      </c>
      <c r="H134" s="398" t="n">
        <f aca="false">H133+acc_z*pas</f>
        <v>161.373674061832</v>
      </c>
      <c r="I134" s="397" t="n">
        <f aca="false">SQRT(vit_x^2+vit_z^2)</f>
        <v>164.542371772148</v>
      </c>
      <c r="J134" s="396" t="n">
        <f aca="false">J133+0.5*(vit_x+G133)*pas*(K133&gt;=0)</f>
        <v>20.3827265331347</v>
      </c>
      <c r="K134" s="398" t="n">
        <f aca="false">K133+0.5*(vit_z+H133)*pas</f>
        <v>106.114529303566</v>
      </c>
      <c r="L134" s="397" t="n">
        <f aca="false">SQRT(pos_x^2+pos_z^2)</f>
        <v>108.054379227508</v>
      </c>
      <c r="M134" s="396" t="n">
        <f aca="false">IF(AND(L133&gt;L_rampe,G134&gt;0),ATAN2(G134,H134),$M$4)</f>
        <v>1.37422690630155</v>
      </c>
      <c r="N134" s="397" t="n">
        <f aca="false">DEGREES(Beta)</f>
        <v>78.7374018243988</v>
      </c>
      <c r="P134" s="399" t="n">
        <f aca="false">MATCH(t-pas/2-T_ini,CdP_t)</f>
        <v>12</v>
      </c>
      <c r="Q134" s="397" t="n">
        <f aca="false">(INDEX(CdP,2,i_P+1)-INDEX(CdP,2,i_P+0))/(INDEX(CdP,1,i_P+1)-INDEX(CdP,1,i_P+0))*(t-pas/2-T_ini-INDEX(CdP,1,i_P+0))+INDEX(CdP,2,i_P+0)</f>
        <v>1160.796</v>
      </c>
      <c r="R134" s="396" t="n">
        <f aca="false">Poussee/(g*ISP)</f>
        <v>0.570452006610407</v>
      </c>
      <c r="S134" s="398" t="n">
        <f aca="false">S133-Débit*pas</f>
        <v>8.61987593955669</v>
      </c>
      <c r="T134" s="397" t="n">
        <f aca="false">m*g</f>
        <v>84.5609829670512</v>
      </c>
      <c r="U134" s="400" t="n">
        <f aca="false">IF(pos_xz&lt;L_rampe,Poids*COS(Beta),0)</f>
        <v>0</v>
      </c>
      <c r="V134" s="396" t="n">
        <f aca="false">Rho_moyen*(20000-Alt_rampe-pos_z)/(20000+Alt_rampe+pos_z)</f>
        <v>1.21206957545602</v>
      </c>
      <c r="W134" s="397" t="n">
        <f aca="false">1/2*Rho*Sref*Cx*vit_xz^2</f>
        <v>123.483975527894</v>
      </c>
      <c r="Y134" s="401" t="str">
        <f aca="false">IF(AND(pos_z&lt;=0,K133&gt;0),"Impact balistique","") &amp; IF(AND(H135&lt;0,vit_z&gt;=0),"Apogée","") &amp; IF(AND(Poussee=0,Q133&gt;0),"Fin de propulsion","") &amp; IF(AND(L135&gt;L_rampe,pos_xz&lt;=L_rampe),"Sortie de rampe","")</f>
        <v/>
      </c>
      <c r="Z134" s="402" t="str">
        <f aca="false">IF(ABS(t-T_para)&lt;pas/2,"Para","")</f>
        <v/>
      </c>
      <c r="AA134" s="403" t="str">
        <f aca="false">IF(ABS(t-T_satellite)&lt;pas/2,"Satellite","")</f>
        <v/>
      </c>
      <c r="AC134" s="399" t="e">
        <f aca="false">IF(ABS(t-ROUND(t,0))&lt;0.001,t,NA())</f>
        <v>#N/A</v>
      </c>
      <c r="AD134" s="404" t="e">
        <f aca="false">IF(ABS(t-ROUND(t,0))&lt;0.001,pos_x,NA())</f>
        <v>#N/A</v>
      </c>
      <c r="AE134" s="405" t="n">
        <f aca="false">IF(t&lt;T_para, pos_z, NA())</f>
        <v>106.114529303566</v>
      </c>
      <c r="AG134" s="396" t="n">
        <f aca="false">IF(AND(L133&lt;L_rampe,Poussee&lt;Poids*SIN(M133)),0,(-W133+Poussee)/m-Poids*SIN(M133)/m)</f>
        <v>110.908444051381</v>
      </c>
      <c r="AH134" s="397" t="n">
        <f aca="false">IF(AND(L133&lt;L_rampe,Poussee&lt;Poids*SIN(M133)), g*SIN(M133), (-W133+Poussee)/m)</f>
        <v>120.529749506198</v>
      </c>
    </row>
    <row r="135" customFormat="false" ht="12.75" hidden="false" customHeight="false" outlineLevel="0" collapsed="false">
      <c r="A135" s="396" t="n">
        <f aca="false">IF(B134+0.01&lt;=T_ini+ROUNDUP(Temps_fin_propu,0), 0.01, IF(K134&gt;0, 0.1, 0.0001))</f>
        <v>0.01</v>
      </c>
      <c r="B135" s="397" t="n">
        <f aca="false">B134+pas</f>
        <v>1.31</v>
      </c>
      <c r="D135" s="396" t="n">
        <f aca="false">IF(AND(L134&lt;L_rampe,Poussee&lt;Poids*SIN(M134)),0,(-W134+Poussee)/m*COS(M134)-U134/m*SIN(M134))</f>
        <v>23.4202200008593</v>
      </c>
      <c r="E135" s="398" t="n">
        <f aca="false">IF(AND(L134&lt;L_rampe,Poussee&lt;Poids*SIN(M134)),0,(-W134+Poussee)/m*SIN(M134)+U134/m*COS(M134)-Poids/m)</f>
        <v>107.796244219317</v>
      </c>
      <c r="F135" s="397" t="n">
        <f aca="false">SQRT(acc_x^2+acc_z^2)</f>
        <v>110.311091793524</v>
      </c>
      <c r="G135" s="396" t="n">
        <f aca="false">G134+acc_x*pas</f>
        <v>32.370310056893</v>
      </c>
      <c r="H135" s="398" t="n">
        <f aca="false">H134+acc_z*pas</f>
        <v>162.451636504026</v>
      </c>
      <c r="I135" s="397" t="n">
        <f aca="false">SQRT(vit_x^2+vit_z^2)</f>
        <v>165.645317398396</v>
      </c>
      <c r="J135" s="396" t="n">
        <f aca="false">J134+0.5*(vit_x+G134)*pas*(K134&gt;=0)</f>
        <v>20.7052586227036</v>
      </c>
      <c r="K135" s="398" t="n">
        <f aca="false">K134+0.5*(vit_z+H134)*pas</f>
        <v>107.733655856396</v>
      </c>
      <c r="L135" s="397" t="n">
        <f aca="false">SQRT(pos_x^2+pos_z^2)</f>
        <v>109.705279448244</v>
      </c>
      <c r="M135" s="396" t="n">
        <f aca="false">IF(AND(L134&gt;L_rampe,G135&gt;0),ATAN2(G135,H135),$M$4)</f>
        <v>1.37411124039443</v>
      </c>
      <c r="N135" s="397" t="n">
        <f aca="false">DEGREES(Beta)</f>
        <v>78.7307746560871</v>
      </c>
      <c r="P135" s="399" t="n">
        <f aca="false">MATCH(t-pas/2-T_ini,CdP_t)</f>
        <v>13</v>
      </c>
      <c r="Q135" s="397" t="n">
        <f aca="false">(INDEX(CdP,2,i_P+1)-INDEX(CdP,2,i_P+0))/(INDEX(CdP,1,i_P+1)-INDEX(CdP,1,i_P+0))*(t-pas/2-T_ini-INDEX(CdP,1,i_P+0))+INDEX(CdP,2,i_P+0)</f>
        <v>1156.4595</v>
      </c>
      <c r="R135" s="396" t="n">
        <f aca="false">Poussee/(g*ISP)</f>
        <v>0.568320912837974</v>
      </c>
      <c r="S135" s="398" t="n">
        <f aca="false">S134-Débit*pas</f>
        <v>8.61419273042831</v>
      </c>
      <c r="T135" s="397" t="n">
        <f aca="false">m*g</f>
        <v>84.5052306855018</v>
      </c>
      <c r="U135" s="400" t="n">
        <f aca="false">IF(pos_xz&lt;L_rampe,Poids*COS(Beta),0)</f>
        <v>0</v>
      </c>
      <c r="V135" s="396" t="n">
        <f aca="false">Rho_moyen*(20000-Alt_rampe-pos_z)/(20000+Alt_rampe+pos_z)</f>
        <v>1.21187333633091</v>
      </c>
      <c r="W135" s="397" t="n">
        <f aca="false">1/2*Rho*Sref*Cx*vit_xz^2</f>
        <v>125.124715731874</v>
      </c>
      <c r="Y135" s="401" t="str">
        <f aca="false">IF(AND(pos_z&lt;=0,K134&gt;0),"Impact balistique","") &amp; IF(AND(H136&lt;0,vit_z&gt;=0),"Apogée","") &amp; IF(AND(Poussee=0,Q134&gt;0),"Fin de propulsion","") &amp; IF(AND(L136&gt;L_rampe,pos_xz&lt;=L_rampe),"Sortie de rampe","")</f>
        <v/>
      </c>
      <c r="Z135" s="402" t="str">
        <f aca="false">IF(ABS(t-T_para)&lt;pas/2,"Para","")</f>
        <v/>
      </c>
      <c r="AA135" s="403" t="str">
        <f aca="false">IF(ABS(t-T_satellite)&lt;pas/2,"Satellite","")</f>
        <v/>
      </c>
      <c r="AC135" s="399" t="e">
        <f aca="false">IF(ABS(t-ROUND(t,0))&lt;0.001,t,NA())</f>
        <v>#N/A</v>
      </c>
      <c r="AD135" s="404" t="e">
        <f aca="false">IF(ABS(t-ROUND(t,0))&lt;0.001,pos_x,NA())</f>
        <v>#N/A</v>
      </c>
      <c r="AE135" s="405" t="n">
        <f aca="false">IF(t&lt;T_para, pos_z, NA())</f>
        <v>107.733655856396</v>
      </c>
      <c r="AG135" s="396" t="n">
        <f aca="false">IF(AND(L134&lt;L_rampe,Poussee&lt;Poids*SIN(M134)),0,(-W134+Poussee)/m-Poids*SIN(M134)/m)</f>
        <v>110.29445181967</v>
      </c>
      <c r="AH135" s="397" t="n">
        <f aca="false">IF(AND(L134&lt;L_rampe,Poussee&lt;Poids*SIN(M134)), g*SIN(M134), (-W134+Poussee)/m)</f>
        <v>119.915534374252</v>
      </c>
    </row>
    <row r="136" customFormat="false" ht="12.75" hidden="false" customHeight="false" outlineLevel="0" collapsed="false">
      <c r="A136" s="396" t="n">
        <f aca="false">IF(B135+0.01&lt;=T_ini+ROUNDUP(Temps_fin_propu,0), 0.01, IF(K135&gt;0, 0.1, 0.0001))</f>
        <v>0.01</v>
      </c>
      <c r="B136" s="397" t="n">
        <f aca="false">B135+pas</f>
        <v>1.32</v>
      </c>
      <c r="D136" s="396" t="n">
        <f aca="false">IF(AND(L135&lt;L_rampe,Poussee&lt;Poids*SIN(M135)),0,(-W135+Poussee)/m*COS(M135)-U135/m*SIN(M135))</f>
        <v>23.3070860088436</v>
      </c>
      <c r="E136" s="398" t="n">
        <f aca="false">IF(AND(L135&lt;L_rampe,Poussee&lt;Poids*SIN(M135)),0,(-W135+Poussee)/m*SIN(M135)+U135/m*COS(M135)-Poids/m)</f>
        <v>107.15750070117</v>
      </c>
      <c r="F136" s="397" t="n">
        <f aca="false">SQRT(acc_x^2+acc_z^2)</f>
        <v>109.662893518021</v>
      </c>
      <c r="G136" s="396" t="n">
        <f aca="false">G135+acc_x*pas</f>
        <v>32.6033809169814</v>
      </c>
      <c r="H136" s="398" t="n">
        <f aca="false">H135+acc_z*pas</f>
        <v>163.523211511037</v>
      </c>
      <c r="I136" s="397" t="n">
        <f aca="false">SQRT(vit_x^2+vit_z^2)</f>
        <v>166.741779857663</v>
      </c>
      <c r="J136" s="396" t="n">
        <f aca="false">J135+0.5*(vit_x+G135)*pas*(K135&gt;=0)</f>
        <v>21.0301270775729</v>
      </c>
      <c r="K136" s="398" t="n">
        <f aca="false">K135+0.5*(vit_z+H135)*pas</f>
        <v>109.363530096471</v>
      </c>
      <c r="L136" s="397" t="n">
        <f aca="false">SQRT(pos_x^2+pos_z^2)</f>
        <v>111.367176313583</v>
      </c>
      <c r="M136" s="396" t="n">
        <f aca="false">IF(AND(L135&gt;L_rampe,G136&gt;0),ATAN2(G136,H136),$M$4)</f>
        <v>1.37399626834544</v>
      </c>
      <c r="N136" s="397" t="n">
        <f aca="false">DEGREES(Beta)</f>
        <v>78.7241872429184</v>
      </c>
      <c r="P136" s="399" t="n">
        <f aca="false">MATCH(t-pas/2-T_ini,CdP_t)</f>
        <v>13</v>
      </c>
      <c r="Q136" s="397" t="n">
        <f aca="false">(INDEX(CdP,2,i_P+1)-INDEX(CdP,2,i_P+0))/(INDEX(CdP,1,i_P+1)-INDEX(CdP,1,i_P+0))*(t-pas/2-T_ini-INDEX(CdP,1,i_P+0))+INDEX(CdP,2,i_P+0)</f>
        <v>1151.8385</v>
      </c>
      <c r="R136" s="396" t="n">
        <f aca="false">Poussee/(g*ISP)</f>
        <v>0.566050006733415</v>
      </c>
      <c r="S136" s="398" t="n">
        <f aca="false">S135-Débit*pas</f>
        <v>8.60853223036098</v>
      </c>
      <c r="T136" s="397" t="n">
        <f aca="false">m*g</f>
        <v>84.4497011798412</v>
      </c>
      <c r="U136" s="400" t="n">
        <f aca="false">IF(pos_xz&lt;L_rampe,Poids*COS(Beta),0)</f>
        <v>0</v>
      </c>
      <c r="V136" s="396" t="n">
        <f aca="false">Rho_moyen*(20000-Alt_rampe-pos_z)/(20000+Alt_rampe+pos_z)</f>
        <v>1.21167582649568</v>
      </c>
      <c r="W136" s="397" t="n">
        <f aca="false">1/2*Rho*Sref*Cx*vit_xz^2</f>
        <v>126.766020337602</v>
      </c>
      <c r="Y136" s="401" t="str">
        <f aca="false">IF(AND(pos_z&lt;=0,K135&gt;0),"Impact balistique","") &amp; IF(AND(H137&lt;0,vit_z&gt;=0),"Apogée","") &amp; IF(AND(Poussee=0,Q135&gt;0),"Fin de propulsion","") &amp; IF(AND(L137&gt;L_rampe,pos_xz&lt;=L_rampe),"Sortie de rampe","")</f>
        <v/>
      </c>
      <c r="Z136" s="402" t="str">
        <f aca="false">IF(ABS(t-T_para)&lt;pas/2,"Para","")</f>
        <v/>
      </c>
      <c r="AA136" s="403" t="str">
        <f aca="false">IF(ABS(t-T_satellite)&lt;pas/2,"Satellite","")</f>
        <v/>
      </c>
      <c r="AC136" s="399" t="e">
        <f aca="false">IF(ABS(t-ROUND(t,0))&lt;0.001,t,NA())</f>
        <v>#N/A</v>
      </c>
      <c r="AD136" s="404" t="e">
        <f aca="false">IF(ABS(t-ROUND(t,0))&lt;0.001,pos_x,NA())</f>
        <v>#N/A</v>
      </c>
      <c r="AE136" s="405" t="n">
        <f aca="false">IF(t&lt;T_para, pos_z, NA())</f>
        <v>109.363530096471</v>
      </c>
      <c r="AG136" s="396" t="n">
        <f aca="false">IF(AND(L135&lt;L_rampe,Poussee&lt;Poids*SIN(M135)),0,(-W135+Poussee)/m-Poids*SIN(M135)/m)</f>
        <v>109.646135722223</v>
      </c>
      <c r="AH136" s="397" t="n">
        <f aca="false">IF(AND(L135&lt;L_rampe,Poussee&lt;Poids*SIN(M135)), g*SIN(M135), (-W135+Poussee)/m)</f>
        <v>119.266996602169</v>
      </c>
    </row>
    <row r="137" customFormat="false" ht="12.75" hidden="false" customHeight="false" outlineLevel="0" collapsed="false">
      <c r="A137" s="396" t="n">
        <f aca="false">IF(B136+0.01&lt;=T_ini+ROUNDUP(Temps_fin_propu,0), 0.01, IF(K136&gt;0, 0.1, 0.0001))</f>
        <v>0.01</v>
      </c>
      <c r="B137" s="397" t="n">
        <f aca="false">B136+pas</f>
        <v>1.33</v>
      </c>
      <c r="D137" s="396" t="n">
        <f aca="false">IF(AND(L136&lt;L_rampe,Poussee&lt;Poids*SIN(M136)),0,(-W136+Poussee)/m*COS(M136)-U136/m*SIN(M136))</f>
        <v>23.19348292599</v>
      </c>
      <c r="E137" s="398" t="n">
        <f aca="false">IF(AND(L136&lt;L_rampe,Poussee&lt;Poids*SIN(M136)),0,(-W136+Poussee)/m*SIN(M136)+U136/m*COS(M136)-Poids/m)</f>
        <v>106.517592645733</v>
      </c>
      <c r="F137" s="397" t="n">
        <f aca="false">SQRT(acc_x^2+acc_z^2)</f>
        <v>109.013463357883</v>
      </c>
      <c r="G137" s="396" t="n">
        <f aca="false">G136+acc_x*pas</f>
        <v>32.8353157462413</v>
      </c>
      <c r="H137" s="398" t="n">
        <f aca="false">H136+acc_z*pas</f>
        <v>164.588387437495</v>
      </c>
      <c r="I137" s="397" t="n">
        <f aca="false">SQRT(vit_x^2+vit_z^2)</f>
        <v>167.831746816358</v>
      </c>
      <c r="J137" s="396" t="n">
        <f aca="false">J136+0.5*(vit_x+G136)*pas*(K136&gt;=0)</f>
        <v>21.3573205608891</v>
      </c>
      <c r="K137" s="398" t="n">
        <f aca="false">K136+0.5*(vit_z+H136)*pas</f>
        <v>111.004088091214</v>
      </c>
      <c r="L137" s="397" t="n">
        <f aca="false">SQRT(pos_x^2+pos_z^2)</f>
        <v>113.040004929682</v>
      </c>
      <c r="M137" s="396" t="n">
        <f aca="false">IF(AND(L136&gt;L_rampe,G137&gt;0),ATAN2(G137,H137),$M$4)</f>
        <v>1.37388197706493</v>
      </c>
      <c r="N137" s="397" t="n">
        <f aca="false">DEGREES(Beta)</f>
        <v>78.7176388349097</v>
      </c>
      <c r="P137" s="399" t="n">
        <f aca="false">MATCH(t-pas/2-T_ini,CdP_t)</f>
        <v>13</v>
      </c>
      <c r="Q137" s="397" t="n">
        <f aca="false">(INDEX(CdP,2,i_P+1)-INDEX(CdP,2,i_P+0))/(INDEX(CdP,1,i_P+1)-INDEX(CdP,1,i_P+0))*(t-pas/2-T_ini-INDEX(CdP,1,i_P+0))+INDEX(CdP,2,i_P+0)</f>
        <v>1147.2175</v>
      </c>
      <c r="R137" s="396" t="n">
        <f aca="false">Poussee/(g*ISP)</f>
        <v>0.563779100628857</v>
      </c>
      <c r="S137" s="398" t="n">
        <f aca="false">S136-Débit*pas</f>
        <v>8.60289443935469</v>
      </c>
      <c r="T137" s="397" t="n">
        <f aca="false">m*g</f>
        <v>84.3943944500695</v>
      </c>
      <c r="U137" s="400" t="n">
        <f aca="false">IF(pos_xz&lt;L_rampe,Poids*COS(Beta),0)</f>
        <v>0</v>
      </c>
      <c r="V137" s="396" t="n">
        <f aca="false">Rho_moyen*(20000-Alt_rampe-pos_z)/(20000+Alt_rampe+pos_z)</f>
        <v>1.21147705432149</v>
      </c>
      <c r="W137" s="397" t="n">
        <f aca="false">1/2*Rho*Sref*Cx*vit_xz^2</f>
        <v>128.407671092326</v>
      </c>
      <c r="Y137" s="401" t="str">
        <f aca="false">IF(AND(pos_z&lt;=0,K136&gt;0),"Impact balistique","") &amp; IF(AND(H138&lt;0,vit_z&gt;=0),"Apogée","") &amp; IF(AND(Poussee=0,Q136&gt;0),"Fin de propulsion","") &amp; IF(AND(L138&gt;L_rampe,pos_xz&lt;=L_rampe),"Sortie de rampe","")</f>
        <v/>
      </c>
      <c r="Z137" s="402" t="str">
        <f aca="false">IF(ABS(t-T_para)&lt;pas/2,"Para","")</f>
        <v/>
      </c>
      <c r="AA137" s="403" t="str">
        <f aca="false">IF(ABS(t-T_satellite)&lt;pas/2,"Satellite","")</f>
        <v/>
      </c>
      <c r="AC137" s="399" t="e">
        <f aca="false">IF(ABS(t-ROUND(t,0))&lt;0.001,t,NA())</f>
        <v>#N/A</v>
      </c>
      <c r="AD137" s="404" t="e">
        <f aca="false">IF(ABS(t-ROUND(t,0))&lt;0.001,pos_x,NA())</f>
        <v>#N/A</v>
      </c>
      <c r="AE137" s="405" t="n">
        <f aca="false">IF(t&lt;T_para, pos_z, NA())</f>
        <v>111.004088091214</v>
      </c>
      <c r="AG137" s="396" t="n">
        <f aca="false">IF(AND(L136&lt;L_rampe,Poussee&lt;Poids*SIN(M136)),0,(-W136+Poussee)/m-Poids*SIN(M136)/m)</f>
        <v>108.996586254487</v>
      </c>
      <c r="AH137" s="397" t="n">
        <f aca="false">IF(AND(L136&lt;L_rampe,Poussee&lt;Poids*SIN(M136)), g*SIN(M136), (-W136+Poussee)/m)</f>
        <v>118.617226662024</v>
      </c>
    </row>
    <row r="138" customFormat="false" ht="12.75" hidden="false" customHeight="false" outlineLevel="0" collapsed="false">
      <c r="A138" s="396" t="n">
        <f aca="false">IF(B137+0.01&lt;=T_ini+ROUNDUP(Temps_fin_propu,0), 0.01, IF(K137&gt;0, 0.1, 0.0001))</f>
        <v>0.01</v>
      </c>
      <c r="B138" s="397" t="n">
        <f aca="false">B137+pas</f>
        <v>1.34</v>
      </c>
      <c r="D138" s="396" t="n">
        <f aca="false">IF(AND(L137&lt;L_rampe,Poussee&lt;Poids*SIN(M137)),0,(-W137+Poussee)/m*COS(M137)-U137/m*SIN(M137))</f>
        <v>23.079418686467</v>
      </c>
      <c r="E138" s="398" t="n">
        <f aca="false">IF(AND(L137&lt;L_rampe,Poussee&lt;Poids*SIN(M137)),0,(-W137+Poussee)/m*SIN(M137)+U137/m*COS(M137)-Poids/m)</f>
        <v>105.87654719074</v>
      </c>
      <c r="F138" s="397" t="n">
        <f aca="false">SQRT(acc_x^2+acc_z^2)</f>
        <v>108.362829475509</v>
      </c>
      <c r="G138" s="396" t="n">
        <f aca="false">G137+acc_x*pas</f>
        <v>33.066109933106</v>
      </c>
      <c r="H138" s="398" t="n">
        <f aca="false">H137+acc_z*pas</f>
        <v>165.647152909402</v>
      </c>
      <c r="I138" s="397" t="n">
        <f aca="false">SQRT(vit_x^2+vit_z^2)</f>
        <v>168.915206222232</v>
      </c>
      <c r="J138" s="396" t="n">
        <f aca="false">J137+0.5*(vit_x+G137)*pas*(K137&gt;=0)</f>
        <v>21.6868276892858</v>
      </c>
      <c r="K138" s="398" t="n">
        <f aca="false">K137+0.5*(vit_z+H137)*pas</f>
        <v>112.655265792948</v>
      </c>
      <c r="L138" s="397" t="n">
        <f aca="false">SQRT(pos_x^2+pos_z^2)</f>
        <v>114.723700280738</v>
      </c>
      <c r="M138" s="396" t="n">
        <f aca="false">IF(AND(L137&gt;L_rampe,G138&gt;0),ATAN2(G138,H138),$M$4)</f>
        <v>1.37376835377954</v>
      </c>
      <c r="N138" s="397" t="n">
        <f aca="false">DEGREES(Beta)</f>
        <v>78.7111287002028</v>
      </c>
      <c r="P138" s="399" t="n">
        <f aca="false">MATCH(t-pas/2-T_ini,CdP_t)</f>
        <v>13</v>
      </c>
      <c r="Q138" s="397" t="n">
        <f aca="false">(INDEX(CdP,2,i_P+1)-INDEX(CdP,2,i_P+0))/(INDEX(CdP,1,i_P+1)-INDEX(CdP,1,i_P+0))*(t-pas/2-T_ini-INDEX(CdP,1,i_P+0))+INDEX(CdP,2,i_P+0)</f>
        <v>1142.5965</v>
      </c>
      <c r="R138" s="396" t="n">
        <f aca="false">Poussee/(g*ISP)</f>
        <v>0.561508194524299</v>
      </c>
      <c r="S138" s="398" t="n">
        <f aca="false">S137-Débit*pas</f>
        <v>8.59727935740945</v>
      </c>
      <c r="T138" s="397" t="n">
        <f aca="false">m*g</f>
        <v>84.3393104961867</v>
      </c>
      <c r="U138" s="400" t="n">
        <f aca="false">IF(pos_xz&lt;L_rampe,Poids*COS(Beta),0)</f>
        <v>0</v>
      </c>
      <c r="V138" s="396" t="n">
        <f aca="false">Rho_moyen*(20000-Alt_rampe-pos_z)/(20000+Alt_rampe+pos_z)</f>
        <v>1.21127702819219</v>
      </c>
      <c r="W138" s="397" t="n">
        <f aca="false">1/2*Rho*Sref*Cx*vit_xz^2</f>
        <v>130.049451019158</v>
      </c>
      <c r="Y138" s="401" t="str">
        <f aca="false">IF(AND(pos_z&lt;=0,K137&gt;0),"Impact balistique","") &amp; IF(AND(H139&lt;0,vit_z&gt;=0),"Apogée","") &amp; IF(AND(Poussee=0,Q137&gt;0),"Fin de propulsion","") &amp; IF(AND(L139&gt;L_rampe,pos_xz&lt;=L_rampe),"Sortie de rampe","")</f>
        <v/>
      </c>
      <c r="Z138" s="402" t="str">
        <f aca="false">IF(ABS(t-T_para)&lt;pas/2,"Para","")</f>
        <v/>
      </c>
      <c r="AA138" s="403" t="str">
        <f aca="false">IF(ABS(t-T_satellite)&lt;pas/2,"Satellite","")</f>
        <v/>
      </c>
      <c r="AC138" s="399" t="e">
        <f aca="false">IF(ABS(t-ROUND(t,0))&lt;0.001,t,NA())</f>
        <v>#N/A</v>
      </c>
      <c r="AD138" s="404" t="e">
        <f aca="false">IF(ABS(t-ROUND(t,0))&lt;0.001,pos_x,NA())</f>
        <v>#N/A</v>
      </c>
      <c r="AE138" s="405" t="n">
        <f aca="false">IF(t&lt;T_para, pos_z, NA())</f>
        <v>112.655265792948</v>
      </c>
      <c r="AG138" s="396" t="n">
        <f aca="false">IF(AND(L137&lt;L_rampe,Poussee&lt;Poids*SIN(M137)),0,(-W137+Poussee)/m-Poids*SIN(M137)/m)</f>
        <v>108.345831550453</v>
      </c>
      <c r="AH138" s="397" t="n">
        <f aca="false">IF(AND(L137&lt;L_rampe,Poussee&lt;Poids*SIN(M137)), g*SIN(M137), (-W137+Poussee)/m)</f>
        <v>117.966252664991</v>
      </c>
    </row>
    <row r="139" customFormat="false" ht="12.75" hidden="false" customHeight="false" outlineLevel="0" collapsed="false">
      <c r="A139" s="396" t="n">
        <f aca="false">IF(B138+0.01&lt;=T_ini+ROUNDUP(Temps_fin_propu,0), 0.01, IF(K138&gt;0, 0.1, 0.0001))</f>
        <v>0.01</v>
      </c>
      <c r="B139" s="397" t="n">
        <f aca="false">B138+pas</f>
        <v>1.35</v>
      </c>
      <c r="D139" s="396" t="n">
        <f aca="false">IF(AND(L138&lt;L_rampe,Poussee&lt;Poids*SIN(M138)),0,(-W138+Poussee)/m*COS(M138)-U138/m*SIN(M138))</f>
        <v>22.9649011609407</v>
      </c>
      <c r="E139" s="398" t="n">
        <f aca="false">IF(AND(L138&lt;L_rampe,Poussee&lt;Poids*SIN(M138)),0,(-W138+Poussee)/m*SIN(M138)+U138/m*COS(M138)-Poids/m)</f>
        <v>105.234391428306</v>
      </c>
      <c r="F139" s="397" t="n">
        <f aca="false">SQRT(acc_x^2+acc_z^2)</f>
        <v>107.711019977613</v>
      </c>
      <c r="G139" s="396" t="n">
        <f aca="false">G138+acc_x*pas</f>
        <v>33.2957589447154</v>
      </c>
      <c r="H139" s="398" t="n">
        <f aca="false">H138+acc_z*pas</f>
        <v>166.699496823685</v>
      </c>
      <c r="I139" s="397" t="n">
        <f aca="false">SQRT(vit_x^2+vit_z^2)</f>
        <v>169.992146303805</v>
      </c>
      <c r="J139" s="396" t="n">
        <f aca="false">J138+0.5*(vit_x+G138)*pas*(K138&gt;=0)</f>
        <v>22.0186370336749</v>
      </c>
      <c r="K139" s="398" t="n">
        <f aca="false">K138+0.5*(vit_z+H138)*pas</f>
        <v>114.316999041614</v>
      </c>
      <c r="L139" s="397" t="n">
        <f aca="false">SQRT(pos_x^2+pos_z^2)</f>
        <v>116.418197231795</v>
      </c>
      <c r="M139" s="396" t="n">
        <f aca="false">IF(AND(L138&gt;L_rampe,G139&gt;0),ATAN2(G139,H139),$M$4)</f>
        <v>1.37365538602183</v>
      </c>
      <c r="N139" s="397" t="n">
        <f aca="false">DEGREES(Beta)</f>
        <v>78.7046561244648</v>
      </c>
      <c r="P139" s="399" t="n">
        <f aca="false">MATCH(t-pas/2-T_ini,CdP_t)</f>
        <v>13</v>
      </c>
      <c r="Q139" s="397" t="n">
        <f aca="false">(INDEX(CdP,2,i_P+1)-INDEX(CdP,2,i_P+0))/(INDEX(CdP,1,i_P+1)-INDEX(CdP,1,i_P+0))*(t-pas/2-T_ini-INDEX(CdP,1,i_P+0))+INDEX(CdP,2,i_P+0)</f>
        <v>1137.9755</v>
      </c>
      <c r="R139" s="396" t="n">
        <f aca="false">Poussee/(g*ISP)</f>
        <v>0.559237288419741</v>
      </c>
      <c r="S139" s="398" t="n">
        <f aca="false">S138-Débit*pas</f>
        <v>8.59168698452525</v>
      </c>
      <c r="T139" s="397" t="n">
        <f aca="false">m*g</f>
        <v>84.2844493181927</v>
      </c>
      <c r="U139" s="400" t="n">
        <f aca="false">IF(pos_xz&lt;L_rampe,Poids*COS(Beta),0)</f>
        <v>0</v>
      </c>
      <c r="V139" s="396" t="n">
        <f aca="false">Rho_moyen*(20000-Alt_rampe-pos_z)/(20000+Alt_rampe+pos_z)</f>
        <v>1.21107575650392</v>
      </c>
      <c r="W139" s="397" t="n">
        <f aca="false">1/2*Rho*Sref*Cx*vit_xz^2</f>
        <v>131.69114443873</v>
      </c>
      <c r="Y139" s="401" t="str">
        <f aca="false">IF(AND(pos_z&lt;=0,K138&gt;0),"Impact balistique","") &amp; IF(AND(H140&lt;0,vit_z&gt;=0),"Apogée","") &amp; IF(AND(Poussee=0,Q138&gt;0),"Fin de propulsion","") &amp; IF(AND(L140&gt;L_rampe,pos_xz&lt;=L_rampe),"Sortie de rampe","")</f>
        <v/>
      </c>
      <c r="Z139" s="402" t="str">
        <f aca="false">IF(ABS(t-T_para)&lt;pas/2,"Para","")</f>
        <v/>
      </c>
      <c r="AA139" s="403" t="str">
        <f aca="false">IF(ABS(t-T_satellite)&lt;pas/2,"Satellite","")</f>
        <v/>
      </c>
      <c r="AC139" s="399" t="e">
        <f aca="false">IF(ABS(t-ROUND(t,0))&lt;0.001,t,NA())</f>
        <v>#N/A</v>
      </c>
      <c r="AD139" s="404" t="e">
        <f aca="false">IF(ABS(t-ROUND(t,0))&lt;0.001,pos_x,NA())</f>
        <v>#N/A</v>
      </c>
      <c r="AE139" s="405" t="n">
        <f aca="false">IF(t&lt;T_para, pos_z, NA())</f>
        <v>114.316999041614</v>
      </c>
      <c r="AG139" s="396" t="n">
        <f aca="false">IF(AND(L138&lt;L_rampe,Poussee&lt;Poids*SIN(M138)),0,(-W138+Poussee)/m-Poids*SIN(M138)/m)</f>
        <v>107.693899687812</v>
      </c>
      <c r="AH139" s="397" t="n">
        <f aca="false">IF(AND(L138&lt;L_rampe,Poussee&lt;Poids*SIN(M138)), g*SIN(M138), (-W138+Poussee)/m)</f>
        <v>117.314102666478</v>
      </c>
    </row>
    <row r="140" customFormat="false" ht="12.75" hidden="false" customHeight="false" outlineLevel="0" collapsed="false">
      <c r="A140" s="396" t="n">
        <f aca="false">IF(B139+0.01&lt;=T_ini+ROUNDUP(Temps_fin_propu,0), 0.01, IF(K139&gt;0, 0.1, 0.0001))</f>
        <v>0.01</v>
      </c>
      <c r="B140" s="397" t="n">
        <f aca="false">B139+pas</f>
        <v>1.36</v>
      </c>
      <c r="D140" s="396" t="n">
        <f aca="false">IF(AND(L139&lt;L_rampe,Poussee&lt;Poids*SIN(M139)),0,(-W139+Poussee)/m*COS(M139)-U139/m*SIN(M139))</f>
        <v>22.8499381577496</v>
      </c>
      <c r="E140" s="398" t="n">
        <f aca="false">IF(AND(L139&lt;L_rampe,Poussee&lt;Poids*SIN(M139)),0,(-W139+Poussee)/m*SIN(M139)+U139/m*COS(M139)-Poids/m)</f>
        <v>104.591152401235</v>
      </c>
      <c r="F140" s="397" t="n">
        <f aca="false">SQRT(acc_x^2+acc_z^2)</f>
        <v>107.058062911821</v>
      </c>
      <c r="G140" s="396" t="n">
        <f aca="false">G139+acc_x*pas</f>
        <v>33.5242583262929</v>
      </c>
      <c r="H140" s="398" t="n">
        <f aca="false">H139+acc_z*pas</f>
        <v>167.745408347697</v>
      </c>
      <c r="I140" s="397" t="n">
        <f aca="false">SQRT(vit_x^2+vit_z^2)</f>
        <v>171.062555569779</v>
      </c>
      <c r="J140" s="396" t="n">
        <f aca="false">J139+0.5*(vit_x+G139)*pas*(K139&gt;=0)</f>
        <v>22.35273712003</v>
      </c>
      <c r="K140" s="398" t="n">
        <f aca="false">K139+0.5*(vit_z+H139)*pas</f>
        <v>115.989223567471</v>
      </c>
      <c r="L140" s="397" t="n">
        <f aca="false">SQRT(pos_x^2+pos_z^2)</f>
        <v>118.12343053155</v>
      </c>
      <c r="M140" s="396" t="n">
        <f aca="false">IF(AND(L139&gt;L_rampe,G140&gt;0),ATAN2(G140,H140),$M$4)</f>
        <v>1.37354306162017</v>
      </c>
      <c r="N140" s="397" t="n">
        <f aca="false">DEGREES(Beta)</f>
        <v>78.6982204103133</v>
      </c>
      <c r="P140" s="399" t="n">
        <f aca="false">MATCH(t-pas/2-T_ini,CdP_t)</f>
        <v>13</v>
      </c>
      <c r="Q140" s="397" t="n">
        <f aca="false">(INDEX(CdP,2,i_P+1)-INDEX(CdP,2,i_P+0))/(INDEX(CdP,1,i_P+1)-INDEX(CdP,1,i_P+0))*(t-pas/2-T_ini-INDEX(CdP,1,i_P+0))+INDEX(CdP,2,i_P+0)</f>
        <v>1133.3545</v>
      </c>
      <c r="R140" s="396" t="n">
        <f aca="false">Poussee/(g*ISP)</f>
        <v>0.556966382315183</v>
      </c>
      <c r="S140" s="398" t="n">
        <f aca="false">S139-Débit*pas</f>
        <v>8.5861173207021</v>
      </c>
      <c r="T140" s="397" t="n">
        <f aca="false">m*g</f>
        <v>84.2298109160876</v>
      </c>
      <c r="U140" s="400" t="n">
        <f aca="false">IF(pos_xz&lt;L_rampe,Poids*COS(Beta),0)</f>
        <v>0</v>
      </c>
      <c r="V140" s="396" t="n">
        <f aca="false">Rho_moyen*(20000-Alt_rampe-pos_z)/(20000+Alt_rampe+pos_z)</f>
        <v>1.21087324766473</v>
      </c>
      <c r="W140" s="397" t="n">
        <f aca="false">1/2*Rho*Sref*Cx*vit_xz^2</f>
        <v>133.332536990452</v>
      </c>
      <c r="Y140" s="401" t="str">
        <f aca="false">IF(AND(pos_z&lt;=0,K139&gt;0),"Impact balistique","") &amp; IF(AND(H141&lt;0,vit_z&gt;=0),"Apogée","") &amp; IF(AND(Poussee=0,Q139&gt;0),"Fin de propulsion","") &amp; IF(AND(L141&gt;L_rampe,pos_xz&lt;=L_rampe),"Sortie de rampe","")</f>
        <v/>
      </c>
      <c r="Z140" s="402" t="str">
        <f aca="false">IF(ABS(t-T_para)&lt;pas/2,"Para","")</f>
        <v/>
      </c>
      <c r="AA140" s="403" t="str">
        <f aca="false">IF(ABS(t-T_satellite)&lt;pas/2,"Satellite","")</f>
        <v/>
      </c>
      <c r="AC140" s="399" t="e">
        <f aca="false">IF(ABS(t-ROUND(t,0))&lt;0.001,t,NA())</f>
        <v>#N/A</v>
      </c>
      <c r="AD140" s="404" t="e">
        <f aca="false">IF(ABS(t-ROUND(t,0))&lt;0.001,pos_x,NA())</f>
        <v>#N/A</v>
      </c>
      <c r="AE140" s="405" t="n">
        <f aca="false">IF(t&lt;T_para, pos_z, NA())</f>
        <v>115.989223567471</v>
      </c>
      <c r="AG140" s="396" t="n">
        <f aca="false">IF(AND(L139&lt;L_rampe,Poussee&lt;Poids*SIN(M139)),0,(-W139+Poussee)/m-Poids*SIN(M139)/m)</f>
        <v>107.040818684516</v>
      </c>
      <c r="AH140" s="397" t="n">
        <f aca="false">IF(AND(L139&lt;L_rampe,Poussee&lt;Poids*SIN(M139)), g*SIN(M139), (-W139+Poussee)/m)</f>
        <v>116.660804662679</v>
      </c>
    </row>
    <row r="141" customFormat="false" ht="12.75" hidden="false" customHeight="false" outlineLevel="0" collapsed="false">
      <c r="A141" s="396" t="n">
        <f aca="false">IF(B140+0.01&lt;=T_ini+ROUNDUP(Temps_fin_propu,0), 0.01, IF(K140&gt;0, 0.1, 0.0001))</f>
        <v>0.01</v>
      </c>
      <c r="B141" s="397" t="n">
        <f aca="false">B140+pas</f>
        <v>1.37</v>
      </c>
      <c r="D141" s="396" t="n">
        <f aca="false">IF(AND(L140&lt;L_rampe,Poussee&lt;Poids*SIN(M140)),0,(-W140+Poussee)/m*COS(M140)-U140/m*SIN(M140))</f>
        <v>22.7345374240086</v>
      </c>
      <c r="E141" s="398" t="n">
        <f aca="false">IF(AND(L140&lt;L_rampe,Poussee&lt;Poids*SIN(M140)),0,(-W140+Poussee)/m*SIN(M140)+U140/m*COS(M140)-Poids/m)</f>
        <v>103.946857099366</v>
      </c>
      <c r="F141" s="397" t="n">
        <f aca="false">SQRT(acc_x^2+acc_z^2)</f>
        <v>106.403986263296</v>
      </c>
      <c r="G141" s="396" t="n">
        <f aca="false">G140+acc_x*pas</f>
        <v>33.751603700533</v>
      </c>
      <c r="H141" s="398" t="n">
        <f aca="false">H140+acc_z*pas</f>
        <v>168.784876918691</v>
      </c>
      <c r="I141" s="397" t="n">
        <f aca="false">SQRT(vit_x^2+vit_z^2)</f>
        <v>172.126422808398</v>
      </c>
      <c r="J141" s="396" t="n">
        <f aca="false">J140+0.5*(vit_x+G140)*pas*(K140&gt;=0)</f>
        <v>22.6891164301641</v>
      </c>
      <c r="K141" s="398" t="n">
        <f aca="false">K140+0.5*(vit_z+H140)*pas</f>
        <v>117.671874993802</v>
      </c>
      <c r="L141" s="397" t="n">
        <f aca="false">SQRT(pos_x^2+pos_z^2)</f>
        <v>119.839334815154</v>
      </c>
      <c r="M141" s="396" t="n">
        <f aca="false">IF(AND(L140&gt;L_rampe,G141&gt;0),ATAN2(G141,H141),$M$4)</f>
        <v>1.37343136868914</v>
      </c>
      <c r="N141" s="397" t="n">
        <f aca="false">DEGREES(Beta)</f>
        <v>78.6918208767638</v>
      </c>
      <c r="P141" s="399" t="n">
        <f aca="false">MATCH(t-pas/2-T_ini,CdP_t)</f>
        <v>13</v>
      </c>
      <c r="Q141" s="397" t="n">
        <f aca="false">(INDEX(CdP,2,i_P+1)-INDEX(CdP,2,i_P+0))/(INDEX(CdP,1,i_P+1)-INDEX(CdP,1,i_P+0))*(t-pas/2-T_ini-INDEX(CdP,1,i_P+0))+INDEX(CdP,2,i_P+0)</f>
        <v>1128.7335</v>
      </c>
      <c r="R141" s="396" t="n">
        <f aca="false">Poussee/(g*ISP)</f>
        <v>0.554695476210625</v>
      </c>
      <c r="S141" s="398" t="n">
        <f aca="false">S140-Débit*pas</f>
        <v>8.58057036593999</v>
      </c>
      <c r="T141" s="397" t="n">
        <f aca="false">m*g</f>
        <v>84.1753952898713</v>
      </c>
      <c r="U141" s="400" t="n">
        <f aca="false">IF(pos_xz&lt;L_rampe,Poids*COS(Beta),0)</f>
        <v>0</v>
      </c>
      <c r="V141" s="396" t="n">
        <f aca="false">Rho_moyen*(20000-Alt_rampe-pos_z)/(20000+Alt_rampe+pos_z)</f>
        <v>1.2106695100941</v>
      </c>
      <c r="W141" s="397" t="n">
        <f aca="false">1/2*Rho*Sref*Cx*vit_xz^2</f>
        <v>134.973415653377</v>
      </c>
      <c r="Y141" s="401" t="str">
        <f aca="false">IF(AND(pos_z&lt;=0,K140&gt;0),"Impact balistique","") &amp; IF(AND(H142&lt;0,vit_z&gt;=0),"Apogée","") &amp; IF(AND(Poussee=0,Q140&gt;0),"Fin de propulsion","") &amp; IF(AND(L142&gt;L_rampe,pos_xz&lt;=L_rampe),"Sortie de rampe","")</f>
        <v/>
      </c>
      <c r="Z141" s="402" t="str">
        <f aca="false">IF(ABS(t-T_para)&lt;pas/2,"Para","")</f>
        <v/>
      </c>
      <c r="AA141" s="403" t="str">
        <f aca="false">IF(ABS(t-T_satellite)&lt;pas/2,"Satellite","")</f>
        <v/>
      </c>
      <c r="AC141" s="399" t="e">
        <f aca="false">IF(ABS(t-ROUND(t,0))&lt;0.001,t,NA())</f>
        <v>#N/A</v>
      </c>
      <c r="AD141" s="404" t="e">
        <f aca="false">IF(ABS(t-ROUND(t,0))&lt;0.001,pos_x,NA())</f>
        <v>#N/A</v>
      </c>
      <c r="AE141" s="405" t="n">
        <f aca="false">IF(t&lt;T_para, pos_z, NA())</f>
        <v>117.671874993802</v>
      </c>
      <c r="AG141" s="396" t="n">
        <f aca="false">IF(AND(L140&lt;L_rampe,Poussee&lt;Poids*SIN(M140)),0,(-W140+Poussee)/m-Poids*SIN(M140)/m)</f>
        <v>106.386616495394</v>
      </c>
      <c r="AH141" s="397" t="n">
        <f aca="false">IF(AND(L140&lt;L_rampe,Poussee&lt;Poids*SIN(M140)), g*SIN(M140), (-W140+Poussee)/m)</f>
        <v>116.006386587158</v>
      </c>
    </row>
    <row r="142" customFormat="false" ht="12.75" hidden="false" customHeight="false" outlineLevel="0" collapsed="false">
      <c r="A142" s="396" t="n">
        <f aca="false">IF(B141+0.01&lt;=T_ini+ROUNDUP(Temps_fin_propu,0), 0.01, IF(K141&gt;0, 0.1, 0.0001))</f>
        <v>0.01</v>
      </c>
      <c r="B142" s="397" t="n">
        <f aca="false">B141+pas</f>
        <v>1.38</v>
      </c>
      <c r="D142" s="396" t="n">
        <f aca="false">IF(AND(L141&lt;L_rampe,Poussee&lt;Poids*SIN(M141)),0,(-W141+Poussee)/m*COS(M141)-U141/m*SIN(M141))</f>
        <v>22.6187066466435</v>
      </c>
      <c r="E142" s="398" t="n">
        <f aca="false">IF(AND(L141&lt;L_rampe,Poussee&lt;Poids*SIN(M141)),0,(-W141+Poussee)/m*SIN(M141)+U141/m*COS(M141)-Poids/m)</f>
        <v>103.301532455965</v>
      </c>
      <c r="F142" s="397" t="n">
        <f aca="false">SQRT(acc_x^2+acc_z^2)</f>
        <v>105.748817951397</v>
      </c>
      <c r="G142" s="396" t="n">
        <f aca="false">G141+acc_x*pas</f>
        <v>33.9777907669994</v>
      </c>
      <c r="H142" s="398" t="n">
        <f aca="false">H141+acc_z*pas</f>
        <v>169.817892243251</v>
      </c>
      <c r="I142" s="397" t="n">
        <f aca="false">SQRT(vit_x^2+vit_z^2)</f>
        <v>173.18373708679</v>
      </c>
      <c r="J142" s="396" t="n">
        <f aca="false">J141+0.5*(vit_x+G141)*pas*(K141&gt;=0)</f>
        <v>23.0277634025017</v>
      </c>
      <c r="K142" s="398" t="n">
        <f aca="false">K141+0.5*(vit_z+H141)*pas</f>
        <v>119.364888839612</v>
      </c>
      <c r="L142" s="397" t="n">
        <f aca="false">SQRT(pos_x^2+pos_z^2)</f>
        <v>121.565844607005</v>
      </c>
      <c r="M142" s="396" t="n">
        <f aca="false">IF(AND(L141&gt;L_rampe,G142&gt;0),ATAN2(G142,H142),$M$4)</f>
        <v>1.37332029562029</v>
      </c>
      <c r="N142" s="397" t="n">
        <f aca="false">DEGREES(Beta)</f>
        <v>78.6854568587009</v>
      </c>
      <c r="P142" s="399" t="n">
        <f aca="false">MATCH(t-pas/2-T_ini,CdP_t)</f>
        <v>13</v>
      </c>
      <c r="Q142" s="397" t="n">
        <f aca="false">(INDEX(CdP,2,i_P+1)-INDEX(CdP,2,i_P+0))/(INDEX(CdP,1,i_P+1)-INDEX(CdP,1,i_P+0))*(t-pas/2-T_ini-INDEX(CdP,1,i_P+0))+INDEX(CdP,2,i_P+0)</f>
        <v>1124.1125</v>
      </c>
      <c r="R142" s="396" t="n">
        <f aca="false">Poussee/(g*ISP)</f>
        <v>0.552424570106067</v>
      </c>
      <c r="S142" s="398" t="n">
        <f aca="false">S141-Débit*pas</f>
        <v>8.57504612023893</v>
      </c>
      <c r="T142" s="397" t="n">
        <f aca="false">m*g</f>
        <v>84.1212024395439</v>
      </c>
      <c r="U142" s="400" t="n">
        <f aca="false">IF(pos_xz&lt;L_rampe,Poids*COS(Beta),0)</f>
        <v>0</v>
      </c>
      <c r="V142" s="396" t="n">
        <f aca="false">Rho_moyen*(20000-Alt_rampe-pos_z)/(20000+Alt_rampe+pos_z)</f>
        <v>1.21046455222256</v>
      </c>
      <c r="W142" s="397" t="n">
        <f aca="false">1/2*Rho*Sref*Cx*vit_xz^2</f>
        <v>136.613568766669</v>
      </c>
      <c r="Y142" s="401" t="str">
        <f aca="false">IF(AND(pos_z&lt;=0,K141&gt;0),"Impact balistique","") &amp; IF(AND(H143&lt;0,vit_z&gt;=0),"Apogée","") &amp; IF(AND(Poussee=0,Q141&gt;0),"Fin de propulsion","") &amp; IF(AND(L143&gt;L_rampe,pos_xz&lt;=L_rampe),"Sortie de rampe","")</f>
        <v/>
      </c>
      <c r="Z142" s="402" t="str">
        <f aca="false">IF(ABS(t-T_para)&lt;pas/2,"Para","")</f>
        <v/>
      </c>
      <c r="AA142" s="403" t="str">
        <f aca="false">IF(ABS(t-T_satellite)&lt;pas/2,"Satellite","")</f>
        <v/>
      </c>
      <c r="AC142" s="399" t="e">
        <f aca="false">IF(ABS(t-ROUND(t,0))&lt;0.001,t,NA())</f>
        <v>#N/A</v>
      </c>
      <c r="AD142" s="404" t="e">
        <f aca="false">IF(ABS(t-ROUND(t,0))&lt;0.001,pos_x,NA())</f>
        <v>#N/A</v>
      </c>
      <c r="AE142" s="405" t="n">
        <f aca="false">IF(t&lt;T_para, pos_z, NA())</f>
        <v>119.364888839612</v>
      </c>
      <c r="AG142" s="396" t="n">
        <f aca="false">IF(AND(L141&lt;L_rampe,Poussee&lt;Poids*SIN(M141)),0,(-W141+Poussee)/m-Poids*SIN(M141)/m)</f>
        <v>105.731321008783</v>
      </c>
      <c r="AH142" s="397" t="n">
        <f aca="false">IF(AND(L141&lt;L_rampe,Poussee&lt;Poids*SIN(M141)), g*SIN(M141), (-W141+Poussee)/m)</f>
        <v>115.350876307481</v>
      </c>
    </row>
    <row r="143" customFormat="false" ht="12.75" hidden="false" customHeight="false" outlineLevel="0" collapsed="false">
      <c r="A143" s="396" t="n">
        <f aca="false">IF(B142+0.01&lt;=T_ini+ROUNDUP(Temps_fin_propu,0), 0.01, IF(K142&gt;0, 0.1, 0.0001))</f>
        <v>0.01</v>
      </c>
      <c r="B143" s="397" t="n">
        <f aca="false">B142+pas</f>
        <v>1.39</v>
      </c>
      <c r="D143" s="396" t="n">
        <f aca="false">IF(AND(L142&lt;L_rampe,Poussee&lt;Poids*SIN(M142)),0,(-W142+Poussee)/m*COS(M142)-U142/m*SIN(M142))</f>
        <v>22.5024534533629</v>
      </c>
      <c r="E143" s="398" t="n">
        <f aca="false">IF(AND(L142&lt;L_rampe,Poussee&lt;Poids*SIN(M142)),0,(-W142+Poussee)/m*SIN(M142)+U142/m*COS(M142)-Poids/m)</f>
        <v>102.655205344173</v>
      </c>
      <c r="F143" s="397" t="n">
        <f aca="false">SQRT(acc_x^2+acc_z^2)</f>
        <v>105.09258582638</v>
      </c>
      <c r="G143" s="396" t="n">
        <f aca="false">G142+acc_x*pas</f>
        <v>34.2028153015331</v>
      </c>
      <c r="H143" s="398" t="n">
        <f aca="false">H142+acc_z*pas</f>
        <v>170.844444296692</v>
      </c>
      <c r="I143" s="397" t="n">
        <f aca="false">SQRT(vit_x^2+vit_z^2)</f>
        <v>174.234487750263</v>
      </c>
      <c r="J143" s="396" t="n">
        <f aca="false">J142+0.5*(vit_x+G142)*pas*(K142&gt;=0)</f>
        <v>23.3686664328444</v>
      </c>
      <c r="K143" s="398" t="n">
        <f aca="false">K142+0.5*(vit_z+H142)*pas</f>
        <v>121.068200522312</v>
      </c>
      <c r="L143" s="397" t="n">
        <f aca="false">SQRT(pos_x^2+pos_z^2)</f>
        <v>123.302894323533</v>
      </c>
      <c r="M143" s="396" t="n">
        <f aca="false">IF(AND(L142&gt;L_rampe,G143&gt;0),ATAN2(G143,H143),$M$4)</f>
        <v>1.37320983107323</v>
      </c>
      <c r="N143" s="397" t="n">
        <f aca="false">DEGREES(Beta)</f>
        <v>78.679127706369</v>
      </c>
      <c r="P143" s="399" t="n">
        <f aca="false">MATCH(t-pas/2-T_ini,CdP_t)</f>
        <v>13</v>
      </c>
      <c r="Q143" s="397" t="n">
        <f aca="false">(INDEX(CdP,2,i_P+1)-INDEX(CdP,2,i_P+0))/(INDEX(CdP,1,i_P+1)-INDEX(CdP,1,i_P+0))*(t-pas/2-T_ini-INDEX(CdP,1,i_P+0))+INDEX(CdP,2,i_P+0)</f>
        <v>1119.4915</v>
      </c>
      <c r="R143" s="396" t="n">
        <f aca="false">Poussee/(g*ISP)</f>
        <v>0.550153664001508</v>
      </c>
      <c r="S143" s="398" t="n">
        <f aca="false">S142-Débit*pas</f>
        <v>8.56954458359892</v>
      </c>
      <c r="T143" s="397" t="n">
        <f aca="false">m*g</f>
        <v>84.0672323651054</v>
      </c>
      <c r="U143" s="400" t="n">
        <f aca="false">IF(pos_xz&lt;L_rampe,Poids*COS(Beta),0)</f>
        <v>0</v>
      </c>
      <c r="V143" s="396" t="n">
        <f aca="false">Rho_moyen*(20000-Alt_rampe-pos_z)/(20000+Alt_rampe+pos_z)</f>
        <v>1.21025838249125</v>
      </c>
      <c r="W143" s="397" t="n">
        <f aca="false">1/2*Rho*Sref*Cx*vit_xz^2</f>
        <v>138.252786049669</v>
      </c>
      <c r="Y143" s="401" t="str">
        <f aca="false">IF(AND(pos_z&lt;=0,K142&gt;0),"Impact balistique","") &amp; IF(AND(H144&lt;0,vit_z&gt;=0),"Apogée","") &amp; IF(AND(Poussee=0,Q142&gt;0),"Fin de propulsion","") &amp; IF(AND(L144&gt;L_rampe,pos_xz&lt;=L_rampe),"Sortie de rampe","")</f>
        <v/>
      </c>
      <c r="Z143" s="402" t="str">
        <f aca="false">IF(ABS(t-T_para)&lt;pas/2,"Para","")</f>
        <v/>
      </c>
      <c r="AA143" s="403" t="str">
        <f aca="false">IF(ABS(t-T_satellite)&lt;pas/2,"Satellite","")</f>
        <v/>
      </c>
      <c r="AC143" s="399" t="e">
        <f aca="false">IF(ABS(t-ROUND(t,0))&lt;0.001,t,NA())</f>
        <v>#N/A</v>
      </c>
      <c r="AD143" s="404" t="e">
        <f aca="false">IF(ABS(t-ROUND(t,0))&lt;0.001,pos_x,NA())</f>
        <v>#N/A</v>
      </c>
      <c r="AE143" s="405" t="n">
        <f aca="false">IF(t&lt;T_para, pos_z, NA())</f>
        <v>121.068200522312</v>
      </c>
      <c r="AG143" s="396" t="n">
        <f aca="false">IF(AND(L142&lt;L_rampe,Poussee&lt;Poids*SIN(M142)),0,(-W142+Poussee)/m-Poids*SIN(M142)/m)</f>
        <v>105.074960043209</v>
      </c>
      <c r="AH143" s="397" t="n">
        <f aca="false">IF(AND(L142&lt;L_rampe,Poussee&lt;Poids*SIN(M142)), g*SIN(M142), (-W142+Poussee)/m)</f>
        <v>114.694301621867</v>
      </c>
    </row>
    <row r="144" customFormat="false" ht="12.75" hidden="false" customHeight="false" outlineLevel="0" collapsed="false">
      <c r="A144" s="396" t="n">
        <f aca="false">IF(B143+0.01&lt;=T_ini+ROUNDUP(Temps_fin_propu,0), 0.01, IF(K143&gt;0, 0.1, 0.0001))</f>
        <v>0.01</v>
      </c>
      <c r="B144" s="397" t="n">
        <f aca="false">B143+pas</f>
        <v>1.4</v>
      </c>
      <c r="D144" s="396" t="n">
        <f aca="false">IF(AND(L143&lt;L_rampe,Poussee&lt;Poids*SIN(M143)),0,(-W143+Poussee)/m*COS(M143)-U143/m*SIN(M143))</f>
        <v>22.3857854135683</v>
      </c>
      <c r="E144" s="398" t="n">
        <f aca="false">IF(AND(L143&lt;L_rampe,Poussee&lt;Poids*SIN(M143)),0,(-W143+Poussee)/m*SIN(M143)+U143/m*COS(M143)-Poids/m)</f>
        <v>102.007902573495</v>
      </c>
      <c r="F144" s="397" t="n">
        <f aca="false">SQRT(acc_x^2+acc_z^2)</f>
        <v>104.435317666133</v>
      </c>
      <c r="G144" s="396" t="n">
        <f aca="false">G143+acc_x*pas</f>
        <v>34.4266731556688</v>
      </c>
      <c r="H144" s="398" t="n">
        <f aca="false">H143+acc_z*pas</f>
        <v>171.864523322427</v>
      </c>
      <c r="I144" s="397" t="n">
        <f aca="false">SQRT(vit_x^2+vit_z^2)</f>
        <v>175.278664421579</v>
      </c>
      <c r="J144" s="396" t="n">
        <f aca="false">J143+0.5*(vit_x+G143)*pas*(K143&gt;=0)</f>
        <v>23.7118138751304</v>
      </c>
      <c r="K144" s="398" t="n">
        <f aca="false">K143+0.5*(vit_z+H143)*pas</f>
        <v>122.781745360408</v>
      </c>
      <c r="L144" s="397" t="n">
        <f aca="false">SQRT(pos_x^2+pos_z^2)</f>
        <v>125.050418275977</v>
      </c>
      <c r="M144" s="396" t="n">
        <f aca="false">IF(AND(L143&gt;L_rampe,G144&gt;0),ATAN2(G144,H144),$M$4)</f>
        <v>1.37309996396717</v>
      </c>
      <c r="N144" s="397" t="n">
        <f aca="false">DEGREES(Beta)</f>
        <v>78.6728327848844</v>
      </c>
      <c r="P144" s="399" t="n">
        <f aca="false">MATCH(t-pas/2-T_ini,CdP_t)</f>
        <v>13</v>
      </c>
      <c r="Q144" s="397" t="n">
        <f aca="false">(INDEX(CdP,2,i_P+1)-INDEX(CdP,2,i_P+0))/(INDEX(CdP,1,i_P+1)-INDEX(CdP,1,i_P+0))*(t-pas/2-T_ini-INDEX(CdP,1,i_P+0))+INDEX(CdP,2,i_P+0)</f>
        <v>1114.8705</v>
      </c>
      <c r="R144" s="396" t="n">
        <f aca="false">Poussee/(g*ISP)</f>
        <v>0.54788275789695</v>
      </c>
      <c r="S144" s="398" t="n">
        <f aca="false">S143-Débit*pas</f>
        <v>8.56406575601995</v>
      </c>
      <c r="T144" s="397" t="n">
        <f aca="false">m*g</f>
        <v>84.0134850665557</v>
      </c>
      <c r="U144" s="400" t="n">
        <f aca="false">IF(pos_xz&lt;L_rampe,Poids*COS(Beta),0)</f>
        <v>0</v>
      </c>
      <c r="V144" s="396" t="n">
        <f aca="false">Rho_moyen*(20000-Alt_rampe-pos_z)/(20000+Alt_rampe+pos_z)</f>
        <v>1.21005100935151</v>
      </c>
      <c r="W144" s="397" t="n">
        <f aca="false">1/2*Rho*Sref*Cx*vit_xz^2</f>
        <v>139.890858621567</v>
      </c>
      <c r="Y144" s="401" t="str">
        <f aca="false">IF(AND(pos_z&lt;=0,K143&gt;0),"Impact balistique","") &amp; IF(AND(H145&lt;0,vit_z&gt;=0),"Apogée","") &amp; IF(AND(Poussee=0,Q143&gt;0),"Fin de propulsion","") &amp; IF(AND(L145&gt;L_rampe,pos_xz&lt;=L_rampe),"Sortie de rampe","")</f>
        <v/>
      </c>
      <c r="Z144" s="402" t="str">
        <f aca="false">IF(ABS(t-T_para)&lt;pas/2,"Para","")</f>
        <v/>
      </c>
      <c r="AA144" s="403" t="str">
        <f aca="false">IF(ABS(t-T_satellite)&lt;pas/2,"Satellite","")</f>
        <v/>
      </c>
      <c r="AC144" s="399" t="e">
        <f aca="false">IF(ABS(t-ROUND(t,0))&lt;0.001,t,NA())</f>
        <v>#N/A</v>
      </c>
      <c r="AD144" s="404" t="e">
        <f aca="false">IF(ABS(t-ROUND(t,0))&lt;0.001,pos_x,NA())</f>
        <v>#N/A</v>
      </c>
      <c r="AE144" s="405" t="n">
        <f aca="false">IF(t&lt;T_para, pos_z, NA())</f>
        <v>122.781745360408</v>
      </c>
      <c r="AG144" s="396" t="n">
        <f aca="false">IF(AND(L143&lt;L_rampe,Poussee&lt;Poids*SIN(M143)),0,(-W143+Poussee)/m-Poids*SIN(M143)/m)</f>
        <v>104.417561344095</v>
      </c>
      <c r="AH144" s="397" t="n">
        <f aca="false">IF(AND(L143&lt;L_rampe,Poussee&lt;Poids*SIN(M143)), g*SIN(M143), (-W143+Poussee)/m)</f>
        <v>114.036690255891</v>
      </c>
    </row>
    <row r="145" customFormat="false" ht="12.75" hidden="false" customHeight="false" outlineLevel="0" collapsed="false">
      <c r="A145" s="396" t="n">
        <f aca="false">IF(B144+0.01&lt;=T_ini+ROUNDUP(Temps_fin_propu,0), 0.01, IF(K144&gt;0, 0.1, 0.0001))</f>
        <v>0.01</v>
      </c>
      <c r="B145" s="397" t="n">
        <f aca="false">B144+pas</f>
        <v>1.41</v>
      </c>
      <c r="D145" s="396" t="n">
        <f aca="false">IF(AND(L144&lt;L_rampe,Poussee&lt;Poids*SIN(M144)),0,(-W144+Poussee)/m*COS(M144)-U144/m*SIN(M144))</f>
        <v>22.1910727381725</v>
      </c>
      <c r="E145" s="398" t="n">
        <f aca="false">IF(AND(L144&lt;L_rampe,Poussee&lt;Poids*SIN(M144)),0,(-W144+Poussee)/m*SIN(M144)+U144/m*COS(M144)-Poids/m)</f>
        <v>100.972070661142</v>
      </c>
      <c r="F145" s="397" t="n">
        <f aca="false">SQRT(acc_x^2+acc_z^2)</f>
        <v>103.381829945448</v>
      </c>
      <c r="G145" s="396" t="n">
        <f aca="false">G144+acc_x*pas</f>
        <v>34.6485838830505</v>
      </c>
      <c r="H145" s="398" t="n">
        <f aca="false">H144+acc_z*pas</f>
        <v>172.874244029039</v>
      </c>
      <c r="I145" s="397" t="n">
        <f aca="false">SQRT(vit_x^2+vit_z^2)</f>
        <v>176.312304203968</v>
      </c>
      <c r="J145" s="396" t="n">
        <f aca="false">J144+0.5*(vit_x+G144)*pas*(K144&gt;=0)</f>
        <v>24.057190160324</v>
      </c>
      <c r="K145" s="398" t="n">
        <f aca="false">K144+0.5*(vit_z+H144)*pas</f>
        <v>124.505439197165</v>
      </c>
      <c r="L145" s="397" t="n">
        <f aca="false">SQRT(pos_x^2+pos_z^2)</f>
        <v>126.808330909641</v>
      </c>
      <c r="M145" s="396" t="n">
        <f aca="false">IF(AND(L144&gt;L_rampe,G145&gt;0),ATAN2(G145,H145),$M$4)</f>
        <v>1.37299068102266</v>
      </c>
      <c r="N145" s="397" t="n">
        <f aca="false">DEGREES(Beta)</f>
        <v>78.6665713333913</v>
      </c>
      <c r="P145" s="399" t="n">
        <f aca="false">MATCH(t-pas/2-T_ini,CdP_t)</f>
        <v>14</v>
      </c>
      <c r="Q145" s="397" t="n">
        <f aca="false">(INDEX(CdP,2,i_P+1)-INDEX(CdP,2,i_P+0))/(INDEX(CdP,1,i_P+1)-INDEX(CdP,1,i_P+0))*(t-pas/2-T_ini-INDEX(CdP,1,i_P+0))+INDEX(CdP,2,i_P+0)</f>
        <v>1106.86833333333</v>
      </c>
      <c r="R145" s="396" t="n">
        <f aca="false">Poussee/(g*ISP)</f>
        <v>0.543950239149271</v>
      </c>
      <c r="S145" s="398" t="n">
        <f aca="false">S144-Débit*pas</f>
        <v>8.55862625362846</v>
      </c>
      <c r="T145" s="397" t="n">
        <f aca="false">m*g</f>
        <v>83.9601235480952</v>
      </c>
      <c r="U145" s="400" t="n">
        <f aca="false">IF(pos_xz&lt;L_rampe,Poids*COS(Beta),0)</f>
        <v>0</v>
      </c>
      <c r="V145" s="396" t="n">
        <f aca="false">Rho_moyen*(20000-Alt_rampe-pos_z)/(20000+Alt_rampe+pos_z)</f>
        <v>1.20984244360913</v>
      </c>
      <c r="W145" s="397" t="n">
        <f aca="false">1/2*Rho*Sref*Cx*vit_xz^2</f>
        <v>141.521233613386</v>
      </c>
      <c r="Y145" s="401" t="str">
        <f aca="false">IF(AND(pos_z&lt;=0,K144&gt;0),"Impact balistique","") &amp; IF(AND(H146&lt;0,vit_z&gt;=0),"Apogée","") &amp; IF(AND(Poussee=0,Q144&gt;0),"Fin de propulsion","") &amp; IF(AND(L146&gt;L_rampe,pos_xz&lt;=L_rampe),"Sortie de rampe","")</f>
        <v/>
      </c>
      <c r="Z145" s="402" t="str">
        <f aca="false">IF(ABS(t-T_para)&lt;pas/2,"Para","")</f>
        <v/>
      </c>
      <c r="AA145" s="403" t="str">
        <f aca="false">IF(ABS(t-T_satellite)&lt;pas/2,"Satellite","")</f>
        <v/>
      </c>
      <c r="AC145" s="399" t="e">
        <f aca="false">IF(ABS(t-ROUND(t,0))&lt;0.001,t,NA())</f>
        <v>#N/A</v>
      </c>
      <c r="AD145" s="404" t="e">
        <f aca="false">IF(ABS(t-ROUND(t,0))&lt;0.001,pos_x,NA())</f>
        <v>#N/A</v>
      </c>
      <c r="AE145" s="405" t="n">
        <f aca="false">IF(t&lt;T_para, pos_z, NA())</f>
        <v>124.505439197165</v>
      </c>
      <c r="AG145" s="396" t="n">
        <f aca="false">IF(AND(L144&lt;L_rampe,Poussee&lt;Poids*SIN(M144)),0,(-W144+Poussee)/m-Poids*SIN(M144)/m)</f>
        <v>103.363872956096</v>
      </c>
      <c r="AH145" s="397" t="n">
        <f aca="false">IF(AND(L144&lt;L_rampe,Poussee&lt;Poids*SIN(M144)), g*SIN(M144), (-W144+Poussee)/m)</f>
        <v>112.982790234801</v>
      </c>
    </row>
    <row r="146" customFormat="false" ht="12.75" hidden="false" customHeight="false" outlineLevel="0" collapsed="false">
      <c r="A146" s="396" t="n">
        <f aca="false">IF(B145+0.01&lt;=T_ini+ROUNDUP(Temps_fin_propu,0), 0.01, IF(K145&gt;0, 0.1, 0.0001))</f>
        <v>0.01</v>
      </c>
      <c r="B146" s="397" t="n">
        <f aca="false">B145+pas</f>
        <v>1.42</v>
      </c>
      <c r="D146" s="396" t="n">
        <f aca="false">IF(AND(L145&lt;L_rampe,Poussee&lt;Poids*SIN(M145)),0,(-W145+Poussee)/m*COS(M145)-U145/m*SIN(M145))</f>
        <v>21.9181529222926</v>
      </c>
      <c r="E146" s="398" t="n">
        <f aca="false">IF(AND(L145&lt;L_rampe,Poussee&lt;Poids*SIN(M145)),0,(-W145+Poussee)/m*SIN(M145)+U145/m*COS(M145)-Poids/m)</f>
        <v>99.5475463211864</v>
      </c>
      <c r="F146" s="397" t="n">
        <f aca="false">SQRT(acc_x^2+acc_z^2)</f>
        <v>101.931935163097</v>
      </c>
      <c r="G146" s="396" t="n">
        <f aca="false">G145+acc_x*pas</f>
        <v>34.8677654122734</v>
      </c>
      <c r="H146" s="398" t="n">
        <f aca="false">H145+acc_z*pas</f>
        <v>173.869719492251</v>
      </c>
      <c r="I146" s="397" t="n">
        <f aca="false">SQRT(vit_x^2+vit_z^2)</f>
        <v>177.331442280153</v>
      </c>
      <c r="J146" s="396" t="n">
        <f aca="false">J145+0.5*(vit_x+G145)*pas*(K145&gt;=0)</f>
        <v>24.4047719068006</v>
      </c>
      <c r="K146" s="398" t="n">
        <f aca="false">K145+0.5*(vit_z+H145)*pas</f>
        <v>126.239159014771</v>
      </c>
      <c r="L146" s="397" t="n">
        <f aca="false">SQRT(pos_x^2+pos_z^2)</f>
        <v>128.576507032116</v>
      </c>
      <c r="M146" s="396" t="n">
        <f aca="false">IF(AND(L145&gt;L_rampe,G146&gt;0),ATAN2(G146,H146),$M$4)</f>
        <v>1.37288196685879</v>
      </c>
      <c r="N146" s="397" t="n">
        <f aca="false">DEGREES(Beta)</f>
        <v>78.6603424706278</v>
      </c>
      <c r="P146" s="399" t="n">
        <f aca="false">MATCH(t-pas/2-T_ini,CdP_t)</f>
        <v>14</v>
      </c>
      <c r="Q146" s="397" t="n">
        <f aca="false">(INDEX(CdP,2,i_P+1)-INDEX(CdP,2,i_P+0))/(INDEX(CdP,1,i_P+1)-INDEX(CdP,1,i_P+0))*(t-pas/2-T_ini-INDEX(CdP,1,i_P+0))+INDEX(CdP,2,i_P+0)</f>
        <v>1095.485</v>
      </c>
      <c r="R146" s="396" t="n">
        <f aca="false">Poussee/(g*ISP)</f>
        <v>0.538356107758471</v>
      </c>
      <c r="S146" s="398" t="n">
        <f aca="false">S145-Débit*pas</f>
        <v>8.55324269255087</v>
      </c>
      <c r="T146" s="397" t="n">
        <f aca="false">m*g</f>
        <v>83.907310813924</v>
      </c>
      <c r="U146" s="400" t="n">
        <f aca="false">IF(pos_xz&lt;L_rampe,Poids*COS(Beta),0)</f>
        <v>0</v>
      </c>
      <c r="V146" s="396" t="n">
        <f aca="false">Rho_moyen*(20000-Alt_rampe-pos_z)/(20000+Alt_rampe+pos_z)</f>
        <v>1.20963270076726</v>
      </c>
      <c r="W146" s="397" t="n">
        <f aca="false">1/2*Rho*Sref*Cx*vit_xz^2</f>
        <v>143.137213470072</v>
      </c>
      <c r="Y146" s="401" t="str">
        <f aca="false">IF(AND(pos_z&lt;=0,K145&gt;0),"Impact balistique","") &amp; IF(AND(H147&lt;0,vit_z&gt;=0),"Apogée","") &amp; IF(AND(Poussee=0,Q145&gt;0),"Fin de propulsion","") &amp; IF(AND(L147&gt;L_rampe,pos_xz&lt;=L_rampe),"Sortie de rampe","")</f>
        <v/>
      </c>
      <c r="Z146" s="402" t="str">
        <f aca="false">IF(ABS(t-T_para)&lt;pas/2,"Para","")</f>
        <v/>
      </c>
      <c r="AA146" s="403" t="str">
        <f aca="false">IF(ABS(t-T_satellite)&lt;pas/2,"Satellite","")</f>
        <v/>
      </c>
      <c r="AC146" s="399" t="e">
        <f aca="false">IF(ABS(t-ROUND(t,0))&lt;0.001,t,NA())</f>
        <v>#N/A</v>
      </c>
      <c r="AD146" s="404" t="e">
        <f aca="false">IF(ABS(t-ROUND(t,0))&lt;0.001,pos_x,NA())</f>
        <v>#N/A</v>
      </c>
      <c r="AE146" s="405" t="n">
        <f aca="false">IF(t&lt;T_para, pos_z, NA())</f>
        <v>126.239159014771</v>
      </c>
      <c r="AG146" s="396" t="n">
        <f aca="false">IF(AND(L145&lt;L_rampe,Poussee&lt;Poids*SIN(M145)),0,(-W145+Poussee)/m-Poids*SIN(M145)/m)</f>
        <v>101.913702826567</v>
      </c>
      <c r="AH146" s="397" t="n">
        <f aca="false">IF(AND(L145&lt;L_rampe,Poussee&lt;Poids*SIN(M145)), g*SIN(M145), (-W145+Poussee)/m)</f>
        <v>111.532409482246</v>
      </c>
    </row>
    <row r="147" customFormat="false" ht="12.75" hidden="false" customHeight="false" outlineLevel="0" collapsed="false">
      <c r="A147" s="396" t="n">
        <f aca="false">IF(B146+0.01&lt;=T_ini+ROUNDUP(Temps_fin_propu,0), 0.01, IF(K146&gt;0, 0.1, 0.0001))</f>
        <v>0.01</v>
      </c>
      <c r="B147" s="397" t="n">
        <f aca="false">B146+pas</f>
        <v>1.43</v>
      </c>
      <c r="D147" s="396" t="n">
        <f aca="false">IF(AND(L146&lt;L_rampe,Poussee&lt;Poids*SIN(M146)),0,(-W146+Poussee)/m*COS(M146)-U146/m*SIN(M146))</f>
        <v>21.6446908857153</v>
      </c>
      <c r="E147" s="398" t="n">
        <f aca="false">IF(AND(L146&lt;L_rampe,Poussee&lt;Poids*SIN(M146)),0,(-W146+Poussee)/m*SIN(M146)+U146/m*COS(M146)-Poids/m)</f>
        <v>98.1222488349396</v>
      </c>
      <c r="F147" s="397" t="n">
        <f aca="false">SQRT(acc_x^2+acc_z^2)</f>
        <v>100.481184109086</v>
      </c>
      <c r="G147" s="396" t="n">
        <f aca="false">G146+acc_x*pas</f>
        <v>35.0842123211306</v>
      </c>
      <c r="H147" s="398" t="n">
        <f aca="false">H146+acc_z*pas</f>
        <v>174.8509419806</v>
      </c>
      <c r="I147" s="397" t="n">
        <f aca="false">SQRT(vit_x^2+vit_z^2)</f>
        <v>178.336070007437</v>
      </c>
      <c r="J147" s="396" t="n">
        <f aca="false">J146+0.5*(vit_x+G146)*pas*(K146&gt;=0)</f>
        <v>24.7545317954677</v>
      </c>
      <c r="K147" s="398" t="n">
        <f aca="false">K146+0.5*(vit_z+H146)*pas</f>
        <v>127.982762322136</v>
      </c>
      <c r="L147" s="397" t="n">
        <f aca="false">SQRT(pos_x^2+pos_z^2)</f>
        <v>130.35480158405</v>
      </c>
      <c r="M147" s="396" t="n">
        <f aca="false">IF(AND(L146&gt;L_rampe,G147&gt;0),ATAN2(G147,H147),$M$4)</f>
        <v>1.3727738064835</v>
      </c>
      <c r="N147" s="397" t="n">
        <f aca="false">DEGREES(Beta)</f>
        <v>78.6541453376134</v>
      </c>
      <c r="P147" s="399" t="n">
        <f aca="false">MATCH(t-pas/2-T_ini,CdP_t)</f>
        <v>14</v>
      </c>
      <c r="Q147" s="397" t="n">
        <f aca="false">(INDEX(CdP,2,i_P+1)-INDEX(CdP,2,i_P+0))/(INDEX(CdP,1,i_P+1)-INDEX(CdP,1,i_P+0))*(t-pas/2-T_ini-INDEX(CdP,1,i_P+0))+INDEX(CdP,2,i_P+0)</f>
        <v>1084.10166666667</v>
      </c>
      <c r="R147" s="396" t="n">
        <f aca="false">Poussee/(g*ISP)</f>
        <v>0.532761976367671</v>
      </c>
      <c r="S147" s="398" t="n">
        <f aca="false">S146-Débit*pas</f>
        <v>8.5479150727872</v>
      </c>
      <c r="T147" s="397" t="n">
        <f aca="false">m*g</f>
        <v>83.8550468640424</v>
      </c>
      <c r="U147" s="400" t="n">
        <f aca="false">IF(pos_xz&lt;L_rampe,Poids*COS(Beta),0)</f>
        <v>0</v>
      </c>
      <c r="V147" s="396" t="n">
        <f aca="false">Rho_moyen*(20000-Alt_rampe-pos_z)/(20000+Alt_rampe+pos_z)</f>
        <v>1.2094217986774</v>
      </c>
      <c r="W147" s="397" t="n">
        <f aca="false">1/2*Rho*Sref*Cx*vit_xz^2</f>
        <v>144.73838506826</v>
      </c>
      <c r="Y147" s="401" t="str">
        <f aca="false">IF(AND(pos_z&lt;=0,K146&gt;0),"Impact balistique","") &amp; IF(AND(H148&lt;0,vit_z&gt;=0),"Apogée","") &amp; IF(AND(Poussee=0,Q146&gt;0),"Fin de propulsion","") &amp; IF(AND(L148&gt;L_rampe,pos_xz&lt;=L_rampe),"Sortie de rampe","")</f>
        <v/>
      </c>
      <c r="Z147" s="402" t="str">
        <f aca="false">IF(ABS(t-T_para)&lt;pas/2,"Para","")</f>
        <v/>
      </c>
      <c r="AA147" s="403" t="str">
        <f aca="false">IF(ABS(t-T_satellite)&lt;pas/2,"Satellite","")</f>
        <v/>
      </c>
      <c r="AC147" s="399" t="e">
        <f aca="false">IF(ABS(t-ROUND(t,0))&lt;0.001,t,NA())</f>
        <v>#N/A</v>
      </c>
      <c r="AD147" s="404" t="e">
        <f aca="false">IF(ABS(t-ROUND(t,0))&lt;0.001,pos_x,NA())</f>
        <v>#N/A</v>
      </c>
      <c r="AE147" s="405" t="n">
        <f aca="false">IF(t&lt;T_para, pos_z, NA())</f>
        <v>127.982762322136</v>
      </c>
      <c r="AG147" s="396" t="n">
        <f aca="false">IF(AND(L146&lt;L_rampe,Poussee&lt;Poids*SIN(M146)),0,(-W146+Poussee)/m-Poids*SIN(M146)/m)</f>
        <v>100.462668413643</v>
      </c>
      <c r="AH147" s="397" t="n">
        <f aca="false">IF(AND(L146&lt;L_rampe,Poussee&lt;Poids*SIN(M146)), g*SIN(M146), (-W146+Poussee)/m)</f>
        <v>110.08116542854</v>
      </c>
    </row>
    <row r="148" customFormat="false" ht="12.75" hidden="false" customHeight="false" outlineLevel="0" collapsed="false">
      <c r="A148" s="396" t="n">
        <f aca="false">IF(B147+0.01&lt;=T_ini+ROUNDUP(Temps_fin_propu,0), 0.01, IF(K147&gt;0, 0.1, 0.0001))</f>
        <v>0.01</v>
      </c>
      <c r="B148" s="397" t="n">
        <f aca="false">B147+pas</f>
        <v>1.44</v>
      </c>
      <c r="D148" s="396" t="n">
        <f aca="false">IF(AND(L147&lt;L_rampe,Poussee&lt;Poids*SIN(M147)),0,(-W147+Poussee)/m*COS(M147)-U147/m*SIN(M147))</f>
        <v>21.3707051961727</v>
      </c>
      <c r="E148" s="398" t="n">
        <f aca="false">IF(AND(L147&lt;L_rampe,Poussee&lt;Poids*SIN(M147)),0,(-W147+Poussee)/m*SIN(M147)+U147/m*COS(M147)-Poids/m)</f>
        <v>96.6962513058036</v>
      </c>
      <c r="F148" s="397" t="n">
        <f aca="false">SQRT(acc_x^2+acc_z^2)</f>
        <v>99.029652413693</v>
      </c>
      <c r="G148" s="396" t="n">
        <f aca="false">G147+acc_x*pas</f>
        <v>35.2979193730923</v>
      </c>
      <c r="H148" s="398" t="n">
        <f aca="false">H147+acc_z*pas</f>
        <v>175.817904493658</v>
      </c>
      <c r="I148" s="397" t="n">
        <f aca="false">SQRT(vit_x^2+vit_z^2)</f>
        <v>179.326179495941</v>
      </c>
      <c r="J148" s="396" t="n">
        <f aca="false">J147+0.5*(vit_x+G147)*pas*(K147&gt;=0)</f>
        <v>25.1064424539388</v>
      </c>
      <c r="K148" s="398" t="n">
        <f aca="false">K147+0.5*(vit_z+H147)*pas</f>
        <v>129.736106554507</v>
      </c>
      <c r="L148" s="397" t="n">
        <f aca="false">SQRT(pos_x^2+pos_z^2)</f>
        <v>132.143069423316</v>
      </c>
      <c r="M148" s="396" t="n">
        <f aca="false">IF(AND(L147&gt;L_rampe,G148&gt;0),ATAN2(G148,H148),$M$4)</f>
        <v>1.37266618527837</v>
      </c>
      <c r="N148" s="397" t="n">
        <f aca="false">DEGREES(Beta)</f>
        <v>78.6479790967734</v>
      </c>
      <c r="P148" s="399" t="n">
        <f aca="false">MATCH(t-pas/2-T_ini,CdP_t)</f>
        <v>14</v>
      </c>
      <c r="Q148" s="397" t="n">
        <f aca="false">(INDEX(CdP,2,i_P+1)-INDEX(CdP,2,i_P+0))/(INDEX(CdP,1,i_P+1)-INDEX(CdP,1,i_P+0))*(t-pas/2-T_ini-INDEX(CdP,1,i_P+0))+INDEX(CdP,2,i_P+0)</f>
        <v>1072.71833333333</v>
      </c>
      <c r="R148" s="396" t="n">
        <f aca="false">Poussee/(g*ISP)</f>
        <v>0.52716784497687</v>
      </c>
      <c r="S148" s="398" t="n">
        <f aca="false">S147-Débit*pas</f>
        <v>8.54264339433743</v>
      </c>
      <c r="T148" s="397" t="n">
        <f aca="false">m*g</f>
        <v>83.8033316984502</v>
      </c>
      <c r="U148" s="400" t="n">
        <f aca="false">IF(pos_xz&lt;L_rampe,Poids*COS(Beta),0)</f>
        <v>0</v>
      </c>
      <c r="V148" s="396" t="n">
        <f aca="false">Rho_moyen*(20000-Alt_rampe-pos_z)/(20000+Alt_rampe+pos_z)</f>
        <v>1.20920975519122</v>
      </c>
      <c r="W148" s="397" t="n">
        <f aca="false">1/2*Rho*Sref*Cx*vit_xz^2</f>
        <v>146.324342411063</v>
      </c>
      <c r="Y148" s="401" t="str">
        <f aca="false">IF(AND(pos_z&lt;=0,K147&gt;0),"Impact balistique","") &amp; IF(AND(H149&lt;0,vit_z&gt;=0),"Apogée","") &amp; IF(AND(Poussee=0,Q147&gt;0),"Fin de propulsion","") &amp; IF(AND(L149&gt;L_rampe,pos_xz&lt;=L_rampe),"Sortie de rampe","")</f>
        <v/>
      </c>
      <c r="Z148" s="402" t="str">
        <f aca="false">IF(ABS(t-T_para)&lt;pas/2,"Para","")</f>
        <v/>
      </c>
      <c r="AA148" s="403" t="str">
        <f aca="false">IF(ABS(t-T_satellite)&lt;pas/2,"Satellite","")</f>
        <v/>
      </c>
      <c r="AC148" s="399" t="e">
        <f aca="false">IF(ABS(t-ROUND(t,0))&lt;0.001,t,NA())</f>
        <v>#N/A</v>
      </c>
      <c r="AD148" s="404" t="e">
        <f aca="false">IF(ABS(t-ROUND(t,0))&lt;0.001,pos_x,NA())</f>
        <v>#N/A</v>
      </c>
      <c r="AE148" s="405" t="n">
        <f aca="false">IF(t&lt;T_para, pos_z, NA())</f>
        <v>129.736106554507</v>
      </c>
      <c r="AG148" s="396" t="n">
        <f aca="false">IF(AND(L147&lt;L_rampe,Poussee&lt;Poids*SIN(M147)),0,(-W147+Poussee)/m-Poids*SIN(M147)/m)</f>
        <v>99.0108449997305</v>
      </c>
      <c r="AH148" s="397" t="n">
        <f aca="false">IF(AND(L147&lt;L_rampe,Poussee&lt;Poids*SIN(M147)), g*SIN(M147), (-W147+Poussee)/m)</f>
        <v>108.62913332894</v>
      </c>
    </row>
    <row r="149" customFormat="false" ht="12.75" hidden="false" customHeight="false" outlineLevel="0" collapsed="false">
      <c r="A149" s="396" t="n">
        <f aca="false">IF(B148+0.01&lt;=T_ini+ROUNDUP(Temps_fin_propu,0), 0.01, IF(K148&gt;0, 0.1, 0.0001))</f>
        <v>0.01</v>
      </c>
      <c r="B149" s="397" t="n">
        <f aca="false">B148+pas</f>
        <v>1.45</v>
      </c>
      <c r="D149" s="396" t="n">
        <f aca="false">IF(AND(L148&lt;L_rampe,Poussee&lt;Poids*SIN(M148)),0,(-W148+Poussee)/m*COS(M148)-U148/m*SIN(M148))</f>
        <v>21.0962142095899</v>
      </c>
      <c r="E149" s="398" t="n">
        <f aca="false">IF(AND(L148&lt;L_rampe,Poussee&lt;Poids*SIN(M148)),0,(-W148+Poussee)/m*SIN(M148)+U148/m*COS(M148)-Poids/m)</f>
        <v>95.2696262486476</v>
      </c>
      <c r="F149" s="397" t="n">
        <f aca="false">SQRT(acc_x^2+acc_z^2)</f>
        <v>97.5774151099213</v>
      </c>
      <c r="G149" s="396" t="n">
        <f aca="false">G148+acc_x*pas</f>
        <v>35.5088815151882</v>
      </c>
      <c r="H149" s="398" t="n">
        <f aca="false">H148+acc_z*pas</f>
        <v>176.770600756145</v>
      </c>
      <c r="I149" s="397" t="n">
        <f aca="false">SQRT(vit_x^2+vit_z^2)</f>
        <v>180.301763602434</v>
      </c>
      <c r="J149" s="396" t="n">
        <f aca="false">J148+0.5*(vit_x+G148)*pas*(K148&gt;=0)</f>
        <v>25.4604764583802</v>
      </c>
      <c r="K149" s="398" t="n">
        <f aca="false">K148+0.5*(vit_z+H148)*pas</f>
        <v>131.499049080756</v>
      </c>
      <c r="L149" s="397" t="n">
        <f aca="false">SQRT(pos_x^2+pos_z^2)</f>
        <v>133.94116533251</v>
      </c>
      <c r="M149" s="396" t="n">
        <f aca="false">IF(AND(L148&gt;L_rampe,G149&gt;0),ATAN2(G149,H149),$M$4)</f>
        <v>1.37255908898398</v>
      </c>
      <c r="N149" s="397" t="n">
        <f aca="false">DEGREES(Beta)</f>
        <v>78.6418429311033</v>
      </c>
      <c r="P149" s="399" t="n">
        <f aca="false">MATCH(t-pas/2-T_ini,CdP_t)</f>
        <v>14</v>
      </c>
      <c r="Q149" s="397" t="n">
        <f aca="false">(INDEX(CdP,2,i_P+1)-INDEX(CdP,2,i_P+0))/(INDEX(CdP,1,i_P+1)-INDEX(CdP,1,i_P+0))*(t-pas/2-T_ini-INDEX(CdP,1,i_P+0))+INDEX(CdP,2,i_P+0)</f>
        <v>1061.335</v>
      </c>
      <c r="R149" s="396" t="n">
        <f aca="false">Poussee/(g*ISP)</f>
        <v>0.52157371358607</v>
      </c>
      <c r="S149" s="398" t="n">
        <f aca="false">S148-Débit*pas</f>
        <v>8.53742765720157</v>
      </c>
      <c r="T149" s="397" t="n">
        <f aca="false">m*g</f>
        <v>83.7521653171474</v>
      </c>
      <c r="U149" s="400" t="n">
        <f aca="false">IF(pos_xz&lt;L_rampe,Poids*COS(Beta),0)</f>
        <v>0</v>
      </c>
      <c r="V149" s="396" t="n">
        <f aca="false">Rho_moyen*(20000-Alt_rampe-pos_z)/(20000+Alt_rampe+pos_z)</f>
        <v>1.20899658815956</v>
      </c>
      <c r="W149" s="397" t="n">
        <f aca="false">1/2*Rho*Sref*Cx*vit_xz^2</f>
        <v>147.894686658632</v>
      </c>
      <c r="Y149" s="401" t="str">
        <f aca="false">IF(AND(pos_z&lt;=0,K148&gt;0),"Impact balistique","") &amp; IF(AND(H150&lt;0,vit_z&gt;=0),"Apogée","") &amp; IF(AND(Poussee=0,Q148&gt;0),"Fin de propulsion","") &amp; IF(AND(L150&gt;L_rampe,pos_xz&lt;=L_rampe),"Sortie de rampe","")</f>
        <v/>
      </c>
      <c r="Z149" s="402" t="str">
        <f aca="false">IF(ABS(t-T_para)&lt;pas/2,"Para","")</f>
        <v/>
      </c>
      <c r="AA149" s="403" t="str">
        <f aca="false">IF(ABS(t-T_satellite)&lt;pas/2,"Satellite","")</f>
        <v/>
      </c>
      <c r="AC149" s="399" t="e">
        <f aca="false">IF(ABS(t-ROUND(t,0))&lt;0.001,t,NA())</f>
        <v>#N/A</v>
      </c>
      <c r="AD149" s="404" t="e">
        <f aca="false">IF(ABS(t-ROUND(t,0))&lt;0.001,pos_x,NA())</f>
        <v>#N/A</v>
      </c>
      <c r="AE149" s="405" t="n">
        <f aca="false">IF(t&lt;T_para, pos_z, NA())</f>
        <v>131.499049080756</v>
      </c>
      <c r="AG149" s="396" t="n">
        <f aca="false">IF(AND(L148&lt;L_rampe,Poussee&lt;Poids*SIN(M148)),0,(-W148+Poussee)/m-Poids*SIN(M148)/m)</f>
        <v>97.5583072496942</v>
      </c>
      <c r="AH149" s="397" t="n">
        <f aca="false">IF(AND(L148&lt;L_rampe,Poussee&lt;Poids*SIN(M148)), g*SIN(M148), (-W148+Poussee)/m)</f>
        <v>107.176387821816</v>
      </c>
    </row>
    <row r="150" customFormat="false" ht="12.75" hidden="false" customHeight="false" outlineLevel="0" collapsed="false">
      <c r="A150" s="396" t="n">
        <f aca="false">IF(B149+0.01&lt;=T_ini+ROUNDUP(Temps_fin_propu,0), 0.01, IF(K149&gt;0, 0.1, 0.0001))</f>
        <v>0.01</v>
      </c>
      <c r="B150" s="397" t="n">
        <f aca="false">B149+pas</f>
        <v>1.46</v>
      </c>
      <c r="D150" s="396" t="n">
        <f aca="false">IF(AND(L149&lt;L_rampe,Poussee&lt;Poids*SIN(M149)),0,(-W149+Poussee)/m*COS(M149)-U149/m*SIN(M149))</f>
        <v>20.8212360713914</v>
      </c>
      <c r="E150" s="398" t="n">
        <f aca="false">IF(AND(L149&lt;L_rampe,Poussee&lt;Poids*SIN(M149)),0,(-W149+Poussee)/m*SIN(M149)+U149/m*COS(M149)-Poids/m)</f>
        <v>93.8424455790325</v>
      </c>
      <c r="F150" s="397" t="n">
        <f aca="false">SQRT(acc_x^2+acc_z^2)</f>
        <v>96.1245466246488</v>
      </c>
      <c r="G150" s="396" t="n">
        <f aca="false">G149+acc_x*pas</f>
        <v>35.7170938759021</v>
      </c>
      <c r="H150" s="398" t="n">
        <f aca="false">H149+acc_z*pas</f>
        <v>177.709025211935</v>
      </c>
      <c r="I150" s="397" t="n">
        <f aca="false">SQRT(vit_x^2+vit_z^2)</f>
        <v>181.26281592405</v>
      </c>
      <c r="J150" s="396" t="n">
        <f aca="false">J149+0.5*(vit_x+G149)*pas*(K149&gt;=0)</f>
        <v>25.8166063353356</v>
      </c>
      <c r="K150" s="398" t="n">
        <f aca="false">K149+0.5*(vit_z+H149)*pas</f>
        <v>133.271447210596</v>
      </c>
      <c r="L150" s="397" t="n">
        <f aca="false">SQRT(pos_x^2+pos_z^2)</f>
        <v>135.748944026392</v>
      </c>
      <c r="M150" s="396" t="n">
        <f aca="false">IF(AND(L149&gt;L_rampe,G150&gt;0),ATAN2(G150,H150),$M$4)</f>
        <v>1.37245250368599</v>
      </c>
      <c r="N150" s="397" t="n">
        <f aca="false">DEGREES(Beta)</f>
        <v>78.63573604337</v>
      </c>
      <c r="P150" s="399" t="n">
        <f aca="false">MATCH(t-pas/2-T_ini,CdP_t)</f>
        <v>14</v>
      </c>
      <c r="Q150" s="397" t="n">
        <f aca="false">(INDEX(CdP,2,i_P+1)-INDEX(CdP,2,i_P+0))/(INDEX(CdP,1,i_P+1)-INDEX(CdP,1,i_P+0))*(t-pas/2-T_ini-INDEX(CdP,1,i_P+0))+INDEX(CdP,2,i_P+0)</f>
        <v>1049.95166666667</v>
      </c>
      <c r="R150" s="396" t="n">
        <f aca="false">Poussee/(g*ISP)</f>
        <v>0.51597958219527</v>
      </c>
      <c r="S150" s="398" t="n">
        <f aca="false">S149-Débit*pas</f>
        <v>8.53226786137961</v>
      </c>
      <c r="T150" s="397" t="n">
        <f aca="false">m*g</f>
        <v>83.701547720134</v>
      </c>
      <c r="U150" s="400" t="n">
        <f aca="false">IF(pos_xz&lt;L_rampe,Poids*COS(Beta),0)</f>
        <v>0</v>
      </c>
      <c r="V150" s="396" t="n">
        <f aca="false">Rho_moyen*(20000-Alt_rampe-pos_z)/(20000+Alt_rampe+pos_z)</f>
        <v>1.20878231543135</v>
      </c>
      <c r="W150" s="397" t="n">
        <f aca="false">1/2*Rho*Sref*Cx*vit_xz^2</f>
        <v>149.449026156474</v>
      </c>
      <c r="Y150" s="401" t="str">
        <f aca="false">IF(AND(pos_z&lt;=0,K149&gt;0),"Impact balistique","") &amp; IF(AND(H151&lt;0,vit_z&gt;=0),"Apogée","") &amp; IF(AND(Poussee=0,Q149&gt;0),"Fin de propulsion","") &amp; IF(AND(L151&gt;L_rampe,pos_xz&lt;=L_rampe),"Sortie de rampe","")</f>
        <v/>
      </c>
      <c r="Z150" s="402" t="str">
        <f aca="false">IF(ABS(t-T_para)&lt;pas/2,"Para","")</f>
        <v/>
      </c>
      <c r="AA150" s="403" t="str">
        <f aca="false">IF(ABS(t-T_satellite)&lt;pas/2,"Satellite","")</f>
        <v/>
      </c>
      <c r="AC150" s="399" t="e">
        <f aca="false">IF(ABS(t-ROUND(t,0))&lt;0.001,t,NA())</f>
        <v>#N/A</v>
      </c>
      <c r="AD150" s="404" t="e">
        <f aca="false">IF(ABS(t-ROUND(t,0))&lt;0.001,pos_x,NA())</f>
        <v>#N/A</v>
      </c>
      <c r="AE150" s="405" t="n">
        <f aca="false">IF(t&lt;T_para, pos_z, NA())</f>
        <v>133.271447210596</v>
      </c>
      <c r="AG150" s="396" t="n">
        <f aca="false">IF(AND(L149&lt;L_rampe,Poussee&lt;Poids*SIN(M149)),0,(-W149+Poussee)/m-Poids*SIN(M149)/m)</f>
        <v>96.1051292005015</v>
      </c>
      <c r="AH150" s="397" t="n">
        <f aca="false">IF(AND(L149&lt;L_rampe,Poussee&lt;Poids*SIN(M149)), g*SIN(M149), (-W149+Poussee)/m)</f>
        <v>105.723002918262</v>
      </c>
    </row>
    <row r="151" customFormat="false" ht="12.75" hidden="false" customHeight="false" outlineLevel="0" collapsed="false">
      <c r="A151" s="396" t="n">
        <f aca="false">IF(B150+0.01&lt;=T_ini+ROUNDUP(Temps_fin_propu,0), 0.01, IF(K150&gt;0, 0.1, 0.0001))</f>
        <v>0.01</v>
      </c>
      <c r="B151" s="397" t="n">
        <f aca="false">B150+pas</f>
        <v>1.47</v>
      </c>
      <c r="D151" s="396" t="n">
        <f aca="false">IF(AND(L150&lt;L_rampe,Poussee&lt;Poids*SIN(M150)),0,(-W150+Poussee)/m*COS(M150)-U150/m*SIN(M150))</f>
        <v>20.5457887176941</v>
      </c>
      <c r="E151" s="398" t="n">
        <f aca="false">IF(AND(L150&lt;L_rampe,Poussee&lt;Poids*SIN(M150)),0,(-W150+Poussee)/m*SIN(M150)+U150/m*COS(M150)-Poids/m)</f>
        <v>92.4147806027464</v>
      </c>
      <c r="F151" s="397" t="n">
        <f aca="false">SQRT(acc_x^2+acc_z^2)</f>
        <v>94.6711207702004</v>
      </c>
      <c r="G151" s="396" t="n">
        <f aca="false">G150+acc_x*pas</f>
        <v>35.922551763079</v>
      </c>
      <c r="H151" s="398" t="n">
        <f aca="false">H150+acc_z*pas</f>
        <v>178.633173017962</v>
      </c>
      <c r="I151" s="397" t="n">
        <f aca="false">SQRT(vit_x^2+vit_z^2)</f>
        <v>182.209330791912</v>
      </c>
      <c r="J151" s="396" t="n">
        <f aca="false">J150+0.5*(vit_x+G150)*pas*(K150&gt;=0)</f>
        <v>26.1748045635305</v>
      </c>
      <c r="K151" s="398" t="n">
        <f aca="false">K150+0.5*(vit_z+H150)*pas</f>
        <v>135.053158201746</v>
      </c>
      <c r="L151" s="397" t="n">
        <f aca="false">SQRT(pos_x^2+pos_z^2)</f>
        <v>137.566260159258</v>
      </c>
      <c r="M151" s="396" t="n">
        <f aca="false">IF(AND(L150&gt;L_rampe,G151&gt;0),ATAN2(G151,H151),$M$4)</f>
        <v>1.37234641580181</v>
      </c>
      <c r="N151" s="397" t="n">
        <f aca="false">DEGREES(Beta)</f>
        <v>78.6296576553495</v>
      </c>
      <c r="P151" s="399" t="n">
        <f aca="false">MATCH(t-pas/2-T_ini,CdP_t)</f>
        <v>14</v>
      </c>
      <c r="Q151" s="397" t="n">
        <f aca="false">(INDEX(CdP,2,i_P+1)-INDEX(CdP,2,i_P+0))/(INDEX(CdP,1,i_P+1)-INDEX(CdP,1,i_P+0))*(t-pas/2-T_ini-INDEX(CdP,1,i_P+0))+INDEX(CdP,2,i_P+0)</f>
        <v>1038.56833333333</v>
      </c>
      <c r="R151" s="396" t="n">
        <f aca="false">Poussee/(g*ISP)</f>
        <v>0.51038545080447</v>
      </c>
      <c r="S151" s="398" t="n">
        <f aca="false">S150-Débit*pas</f>
        <v>8.52716400687157</v>
      </c>
      <c r="T151" s="397" t="n">
        <f aca="false">m*g</f>
        <v>83.6514789074101</v>
      </c>
      <c r="U151" s="400" t="n">
        <f aca="false">IF(pos_xz&lt;L_rampe,Poids*COS(Beta),0)</f>
        <v>0</v>
      </c>
      <c r="V151" s="396" t="n">
        <f aca="false">Rho_moyen*(20000-Alt_rampe-pos_z)/(20000+Alt_rampe+pos_z)</f>
        <v>1.20856695485259</v>
      </c>
      <c r="W151" s="397" t="n">
        <f aca="false">1/2*Rho*Sref*Cx*vit_xz^2</f>
        <v>150.986976461551</v>
      </c>
      <c r="Y151" s="401" t="str">
        <f aca="false">IF(AND(pos_z&lt;=0,K150&gt;0),"Impact balistique","") &amp; IF(AND(H152&lt;0,vit_z&gt;=0),"Apogée","") &amp; IF(AND(Poussee=0,Q150&gt;0),"Fin de propulsion","") &amp; IF(AND(L152&gt;L_rampe,pos_xz&lt;=L_rampe),"Sortie de rampe","")</f>
        <v/>
      </c>
      <c r="Z151" s="402" t="str">
        <f aca="false">IF(ABS(t-T_para)&lt;pas/2,"Para","")</f>
        <v/>
      </c>
      <c r="AA151" s="403" t="str">
        <f aca="false">IF(ABS(t-T_satellite)&lt;pas/2,"Satellite","")</f>
        <v/>
      </c>
      <c r="AC151" s="399" t="e">
        <f aca="false">IF(ABS(t-ROUND(t,0))&lt;0.001,t,NA())</f>
        <v>#N/A</v>
      </c>
      <c r="AD151" s="404" t="e">
        <f aca="false">IF(ABS(t-ROUND(t,0))&lt;0.001,pos_x,NA())</f>
        <v>#N/A</v>
      </c>
      <c r="AE151" s="405" t="n">
        <f aca="false">IF(t&lt;T_para, pos_z, NA())</f>
        <v>135.053158201746</v>
      </c>
      <c r="AG151" s="396" t="n">
        <f aca="false">IF(AND(L150&lt;L_rampe,Poussee&lt;Poids*SIN(M150)),0,(-W150+Poussee)/m-Poids*SIN(M150)/m)</f>
        <v>94.6513842511526</v>
      </c>
      <c r="AH151" s="397" t="n">
        <f aca="false">IF(AND(L150&lt;L_rampe,Poussee&lt;Poids*SIN(M150)), g*SIN(M150), (-W150+Poussee)/m)</f>
        <v>104.269051992007</v>
      </c>
    </row>
    <row r="152" customFormat="false" ht="12.75" hidden="false" customHeight="false" outlineLevel="0" collapsed="false">
      <c r="A152" s="396" t="n">
        <f aca="false">IF(B151+0.01&lt;=T_ini+ROUNDUP(Temps_fin_propu,0), 0.01, IF(K151&gt;0, 0.1, 0.0001))</f>
        <v>0.01</v>
      </c>
      <c r="B152" s="397" t="n">
        <f aca="false">B151+pas</f>
        <v>1.48</v>
      </c>
      <c r="D152" s="396" t="n">
        <f aca="false">IF(AND(L151&lt;L_rampe,Poussee&lt;Poids*SIN(M151)),0,(-W151+Poussee)/m*COS(M151)-U151/m*SIN(M151))</f>
        <v>20.2698898763976</v>
      </c>
      <c r="E152" s="398" t="n">
        <f aca="false">IF(AND(L151&lt;L_rampe,Poussee&lt;Poids*SIN(M151)),0,(-W151+Poussee)/m*SIN(M151)+U151/m*COS(M151)-Poids/m)</f>
        <v>90.9867020056489</v>
      </c>
      <c r="F152" s="397" t="n">
        <f aca="false">SQRT(acc_x^2+acc_z^2)</f>
        <v>93.2172107363551</v>
      </c>
      <c r="G152" s="396" t="n">
        <f aca="false">G151+acc_x*pas</f>
        <v>36.125250661843</v>
      </c>
      <c r="H152" s="398" t="n">
        <f aca="false">H151+acc_z*pas</f>
        <v>179.543040038019</v>
      </c>
      <c r="I152" s="397" t="n">
        <f aca="false">SQRT(vit_x^2+vit_z^2)</f>
        <v>183.14130326465</v>
      </c>
      <c r="J152" s="396" t="n">
        <f aca="false">J151+0.5*(vit_x+G151)*pas*(K151&gt;=0)</f>
        <v>26.5350435756551</v>
      </c>
      <c r="K152" s="398" t="n">
        <f aca="false">K151+0.5*(vit_z+H151)*pas</f>
        <v>136.844039267026</v>
      </c>
      <c r="L152" s="397" t="n">
        <f aca="false">SQRT(pos_x^2+pos_z^2)</f>
        <v>139.392968332255</v>
      </c>
      <c r="M152" s="396" t="n">
        <f aca="false">IF(AND(L151&gt;L_rampe,G152&gt;0),ATAN2(G152,H152),$M$4)</f>
        <v>1.37224081206794</v>
      </c>
      <c r="N152" s="397" t="n">
        <f aca="false">DEGREES(Beta)</f>
        <v>78.6236070070977</v>
      </c>
      <c r="P152" s="399" t="n">
        <f aca="false">MATCH(t-pas/2-T_ini,CdP_t)</f>
        <v>14</v>
      </c>
      <c r="Q152" s="397" t="n">
        <f aca="false">(INDEX(CdP,2,i_P+1)-INDEX(CdP,2,i_P+0))/(INDEX(CdP,1,i_P+1)-INDEX(CdP,1,i_P+0))*(t-pas/2-T_ini-INDEX(CdP,1,i_P+0))+INDEX(CdP,2,i_P+0)</f>
        <v>1027.185</v>
      </c>
      <c r="R152" s="396" t="n">
        <f aca="false">Poussee/(g*ISP)</f>
        <v>0.50479131941367</v>
      </c>
      <c r="S152" s="398" t="n">
        <f aca="false">S151-Débit*pas</f>
        <v>8.52211609367743</v>
      </c>
      <c r="T152" s="397" t="n">
        <f aca="false">m*g</f>
        <v>83.6019588789756</v>
      </c>
      <c r="U152" s="400" t="n">
        <f aca="false">IF(pos_xz&lt;L_rampe,Poids*COS(Beta),0)</f>
        <v>0</v>
      </c>
      <c r="V152" s="396" t="n">
        <f aca="false">Rho_moyen*(20000-Alt_rampe-pos_z)/(20000+Alt_rampe+pos_z)</f>
        <v>1.20835052426535</v>
      </c>
      <c r="W152" s="397" t="n">
        <f aca="false">1/2*Rho*Sref*Cx*vit_xz^2</f>
        <v>152.508160366183</v>
      </c>
      <c r="Y152" s="401" t="str">
        <f aca="false">IF(AND(pos_z&lt;=0,K151&gt;0),"Impact balistique","") &amp; IF(AND(H153&lt;0,vit_z&gt;=0),"Apogée","") &amp; IF(AND(Poussee=0,Q151&gt;0),"Fin de propulsion","") &amp; IF(AND(L153&gt;L_rampe,pos_xz&lt;=L_rampe),"Sortie de rampe","")</f>
        <v/>
      </c>
      <c r="Z152" s="402" t="str">
        <f aca="false">IF(ABS(t-T_para)&lt;pas/2,"Para","")</f>
        <v/>
      </c>
      <c r="AA152" s="403" t="str">
        <f aca="false">IF(ABS(t-T_satellite)&lt;pas/2,"Satellite","")</f>
        <v/>
      </c>
      <c r="AC152" s="399" t="e">
        <f aca="false">IF(ABS(t-ROUND(t,0))&lt;0.001,t,NA())</f>
        <v>#N/A</v>
      </c>
      <c r="AD152" s="404" t="e">
        <f aca="false">IF(ABS(t-ROUND(t,0))&lt;0.001,pos_x,NA())</f>
        <v>#N/A</v>
      </c>
      <c r="AE152" s="405" t="n">
        <f aca="false">IF(t&lt;T_para, pos_z, NA())</f>
        <v>136.844039267026</v>
      </c>
      <c r="AG152" s="396" t="n">
        <f aca="false">IF(AND(L151&lt;L_rampe,Poussee&lt;Poids*SIN(M151)),0,(-W151+Poussee)/m-Poids*SIN(M151)/m)</f>
        <v>93.1971451528949</v>
      </c>
      <c r="AH152" s="397" t="n">
        <f aca="false">IF(AND(L151&lt;L_rampe,Poussee&lt;Poids*SIN(M151)), g*SIN(M151), (-W151+Poussee)/m)</f>
        <v>102.814607769601</v>
      </c>
    </row>
    <row r="153" customFormat="false" ht="12.75" hidden="false" customHeight="false" outlineLevel="0" collapsed="false">
      <c r="A153" s="396" t="n">
        <f aca="false">IF(B152+0.01&lt;=T_ini+ROUNDUP(Temps_fin_propu,0), 0.01, IF(K152&gt;0, 0.1, 0.0001))</f>
        <v>0.01</v>
      </c>
      <c r="B153" s="397" t="n">
        <f aca="false">B152+pas</f>
        <v>1.49</v>
      </c>
      <c r="D153" s="396" t="n">
        <f aca="false">IF(AND(L152&lt;L_rampe,Poussee&lt;Poids*SIN(M152)),0,(-W152+Poussee)/m*COS(M152)-U152/m*SIN(M152))</f>
        <v>19.9935570681782</v>
      </c>
      <c r="E153" s="398" t="n">
        <f aca="false">IF(AND(L152&lt;L_rampe,Poussee&lt;Poids*SIN(M152)),0,(-W152+Poussee)/m*SIN(M152)+U152/m*COS(M152)-Poids/m)</f>
        <v>89.5582798438247</v>
      </c>
      <c r="F153" s="397" t="n">
        <f aca="false">SQRT(acc_x^2+acc_z^2)</f>
        <v>91.7628890828057</v>
      </c>
      <c r="G153" s="396" t="n">
        <f aca="false">G152+acc_x*pas</f>
        <v>36.3251862325248</v>
      </c>
      <c r="H153" s="398" t="n">
        <f aca="false">H152+acc_z*pas</f>
        <v>180.438622836457</v>
      </c>
      <c r="I153" s="397" t="n">
        <f aca="false">SQRT(vit_x^2+vit_z^2)</f>
        <v>184.058729121834</v>
      </c>
      <c r="J153" s="396" t="n">
        <f aca="false">J152+0.5*(vit_x+G152)*pas*(K152&gt;=0)</f>
        <v>26.897295760127</v>
      </c>
      <c r="K153" s="398" t="n">
        <f aca="false">K152+0.5*(vit_z+H152)*pas</f>
        <v>138.643947581398</v>
      </c>
      <c r="L153" s="397" t="n">
        <f aca="false">SQRT(pos_x^2+pos_z^2)</f>
        <v>141.228923100621</v>
      </c>
      <c r="M153" s="396" t="n">
        <f aca="false">IF(AND(L152&gt;L_rampe,G153&gt;0),ATAN2(G153,H153),$M$4)</f>
        <v>1.37213567952772</v>
      </c>
      <c r="N153" s="397" t="n">
        <f aca="false">DEGREES(Beta)</f>
        <v>78.6175833562535</v>
      </c>
      <c r="P153" s="399" t="n">
        <f aca="false">MATCH(t-pas/2-T_ini,CdP_t)</f>
        <v>14</v>
      </c>
      <c r="Q153" s="397" t="n">
        <f aca="false">(INDEX(CdP,2,i_P+1)-INDEX(CdP,2,i_P+0))/(INDEX(CdP,1,i_P+1)-INDEX(CdP,1,i_P+0))*(t-pas/2-T_ini-INDEX(CdP,1,i_P+0))+INDEX(CdP,2,i_P+0)</f>
        <v>1015.80166666667</v>
      </c>
      <c r="R153" s="396" t="n">
        <f aca="false">Poussee/(g*ISP)</f>
        <v>0.49919718802287</v>
      </c>
      <c r="S153" s="398" t="n">
        <f aca="false">S152-Débit*pas</f>
        <v>8.5171241217972</v>
      </c>
      <c r="T153" s="397" t="n">
        <f aca="false">m*g</f>
        <v>83.5529876348306</v>
      </c>
      <c r="U153" s="400" t="n">
        <f aca="false">IF(pos_xz&lt;L_rampe,Poids*COS(Beta),0)</f>
        <v>0</v>
      </c>
      <c r="V153" s="396" t="n">
        <f aca="false">Rho_moyen*(20000-Alt_rampe-pos_z)/(20000+Alt_rampe+pos_z)</f>
        <v>1.20813304150674</v>
      </c>
      <c r="W153" s="397" t="n">
        <f aca="false">1/2*Rho*Sref*Cx*vit_xz^2</f>
        <v>154.01220791977</v>
      </c>
      <c r="Y153" s="401" t="str">
        <f aca="false">IF(AND(pos_z&lt;=0,K152&gt;0),"Impact balistique","") &amp; IF(AND(H154&lt;0,vit_z&gt;=0),"Apogée","") &amp; IF(AND(Poussee=0,Q152&gt;0),"Fin de propulsion","") &amp; IF(AND(L154&gt;L_rampe,pos_xz&lt;=L_rampe),"Sortie de rampe","")</f>
        <v/>
      </c>
      <c r="Z153" s="402" t="str">
        <f aca="false">IF(ABS(t-T_para)&lt;pas/2,"Para","")</f>
        <v/>
      </c>
      <c r="AA153" s="403" t="str">
        <f aca="false">IF(ABS(t-T_satellite)&lt;pas/2,"Satellite","")</f>
        <v/>
      </c>
      <c r="AC153" s="399" t="e">
        <f aca="false">IF(ABS(t-ROUND(t,0))&lt;0.001,t,NA())</f>
        <v>#N/A</v>
      </c>
      <c r="AD153" s="404" t="e">
        <f aca="false">IF(ABS(t-ROUND(t,0))&lt;0.001,pos_x,NA())</f>
        <v>#N/A</v>
      </c>
      <c r="AE153" s="405" t="n">
        <f aca="false">IF(t&lt;T_para, pos_z, NA())</f>
        <v>138.643947581398</v>
      </c>
      <c r="AG153" s="396" t="n">
        <f aca="false">IF(AND(L152&lt;L_rampe,Poussee&lt;Poids*SIN(M152)),0,(-W152+Poussee)/m-Poids*SIN(M152)/m)</f>
        <v>91.7424839997236</v>
      </c>
      <c r="AH153" s="397" t="n">
        <f aca="false">IF(AND(L152&lt;L_rampe,Poussee&lt;Poids*SIN(M152)), g*SIN(M152), (-W152+Poussee)/m)</f>
        <v>101.3597423209</v>
      </c>
    </row>
    <row r="154" customFormat="false" ht="12.75" hidden="false" customHeight="false" outlineLevel="0" collapsed="false">
      <c r="A154" s="396" t="n">
        <f aca="false">IF(B153+0.01&lt;=T_ini+ROUNDUP(Temps_fin_propu,0), 0.01, IF(K153&gt;0, 0.1, 0.0001))</f>
        <v>0.01</v>
      </c>
      <c r="B154" s="397" t="n">
        <f aca="false">B153+pas</f>
        <v>1.5</v>
      </c>
      <c r="D154" s="396" t="n">
        <f aca="false">IF(AND(L153&lt;L_rampe,Poussee&lt;Poids*SIN(M153)),0,(-W153+Poussee)/m*COS(M153)-U153/m*SIN(M153))</f>
        <v>19.7168076073967</v>
      </c>
      <c r="E154" s="398" t="n">
        <f aca="false">IF(AND(L153&lt;L_rampe,Poussee&lt;Poids*SIN(M153)),0,(-W153+Poussee)/m*SIN(M153)+U153/m*COS(M153)-Poids/m)</f>
        <v>88.1295835340432</v>
      </c>
      <c r="F154" s="397" t="n">
        <f aca="false">SQRT(acc_x^2+acc_z^2)</f>
        <v>90.3082277320898</v>
      </c>
      <c r="G154" s="396" t="n">
        <f aca="false">G153+acc_x*pas</f>
        <v>36.5223543085988</v>
      </c>
      <c r="H154" s="398" t="n">
        <f aca="false">H153+acc_z*pas</f>
        <v>181.319918671798</v>
      </c>
      <c r="I154" s="397" t="n">
        <f aca="false">SQRT(vit_x^2+vit_z^2)</f>
        <v>184.961604857306</v>
      </c>
      <c r="J154" s="396" t="n">
        <f aca="false">J153+0.5*(vit_x+G153)*pas*(K153&gt;=0)</f>
        <v>27.2615334628326</v>
      </c>
      <c r="K154" s="398" t="n">
        <f aca="false">K153+0.5*(vit_z+H153)*pas</f>
        <v>140.452740288939</v>
      </c>
      <c r="L154" s="397" t="n">
        <f aca="false">SQRT(pos_x^2+pos_z^2)</f>
        <v>143.073978980866</v>
      </c>
      <c r="M154" s="396" t="n">
        <f aca="false">IF(AND(L153&gt;L_rampe,G154&gt;0),ATAN2(G154,H154),$M$4)</f>
        <v>1.37203100551973</v>
      </c>
      <c r="N154" s="397" t="n">
        <f aca="false">DEGREES(Beta)</f>
        <v>78.6115859773713</v>
      </c>
      <c r="P154" s="399" t="n">
        <f aca="false">MATCH(t-pas/2-T_ini,CdP_t)</f>
        <v>14</v>
      </c>
      <c r="Q154" s="397" t="n">
        <f aca="false">(INDEX(CdP,2,i_P+1)-INDEX(CdP,2,i_P+0))/(INDEX(CdP,1,i_P+1)-INDEX(CdP,1,i_P+0))*(t-pas/2-T_ini-INDEX(CdP,1,i_P+0))+INDEX(CdP,2,i_P+0)</f>
        <v>1004.41833333333</v>
      </c>
      <c r="R154" s="396" t="n">
        <f aca="false">Poussee/(g*ISP)</f>
        <v>0.49360305663207</v>
      </c>
      <c r="S154" s="398" t="n">
        <f aca="false">S153-Débit*pas</f>
        <v>8.51218809123088</v>
      </c>
      <c r="T154" s="397" t="n">
        <f aca="false">m*g</f>
        <v>83.504565174975</v>
      </c>
      <c r="U154" s="400" t="n">
        <f aca="false">IF(pos_xz&lt;L_rampe,Poids*COS(Beta),0)</f>
        <v>0</v>
      </c>
      <c r="V154" s="396" t="n">
        <f aca="false">Rho_moyen*(20000-Alt_rampe-pos_z)/(20000+Alt_rampe+pos_z)</f>
        <v>1.20791452440791</v>
      </c>
      <c r="W154" s="397" t="n">
        <f aca="false">1/2*Rho*Sref*Cx*vit_xz^2</f>
        <v>155.498756448355</v>
      </c>
      <c r="Y154" s="401" t="str">
        <f aca="false">IF(AND(pos_z&lt;=0,K153&gt;0),"Impact balistique","") &amp; IF(AND(H155&lt;0,vit_z&gt;=0),"Apogée","") &amp; IF(AND(Poussee=0,Q153&gt;0),"Fin de propulsion","") &amp; IF(AND(L155&gt;L_rampe,pos_xz&lt;=L_rampe),"Sortie de rampe","")</f>
        <v/>
      </c>
      <c r="Z154" s="402" t="str">
        <f aca="false">IF(ABS(t-T_para)&lt;pas/2,"Para","")</f>
        <v/>
      </c>
      <c r="AA154" s="403" t="str">
        <f aca="false">IF(ABS(t-T_satellite)&lt;pas/2,"Satellite","")</f>
        <v/>
      </c>
      <c r="AC154" s="399" t="e">
        <f aca="false">IF(ABS(t-ROUND(t,0))&lt;0.001,t,NA())</f>
        <v>#N/A</v>
      </c>
      <c r="AD154" s="404" t="e">
        <f aca="false">IF(ABS(t-ROUND(t,0))&lt;0.001,pos_x,NA())</f>
        <v>#N/A</v>
      </c>
      <c r="AE154" s="405" t="n">
        <f aca="false">IF(t&lt;T_para, pos_z, NA())</f>
        <v>140.452740288939</v>
      </c>
      <c r="AG154" s="396" t="n">
        <f aca="false">IF(AND(L153&lt;L_rampe,Poussee&lt;Poids*SIN(M153)),0,(-W153+Poussee)/m-Poids*SIN(M153)/m)</f>
        <v>90.287472219167</v>
      </c>
      <c r="AH154" s="397" t="n">
        <f aca="false">IF(AND(L153&lt;L_rampe,Poussee&lt;Poids*SIN(M153)), g*SIN(M153), (-W153+Poussee)/m)</f>
        <v>99.9045270498236</v>
      </c>
    </row>
    <row r="155" customFormat="false" ht="12.75" hidden="false" customHeight="false" outlineLevel="0" collapsed="false">
      <c r="A155" s="396" t="n">
        <f aca="false">IF(B154+0.01&lt;=T_ini+ROUNDUP(Temps_fin_propu,0), 0.01, IF(K154&gt;0, 0.1, 0.0001))</f>
        <v>0.01</v>
      </c>
      <c r="B155" s="397" t="n">
        <f aca="false">B154+pas</f>
        <v>1.51</v>
      </c>
      <c r="D155" s="396" t="n">
        <f aca="false">IF(AND(L154&lt;L_rampe,Poussee&lt;Poids*SIN(M154)),0,(-W154+Poussee)/m*COS(M154)-U154/m*SIN(M154))</f>
        <v>19.4396586029266</v>
      </c>
      <c r="E155" s="398" t="n">
        <f aca="false">IF(AND(L154&lt;L_rampe,Poussee&lt;Poids*SIN(M154)),0,(-W154+Poussee)/m*SIN(M154)+U154/m*COS(M154)-Poids/m)</f>
        <v>86.700681844524</v>
      </c>
      <c r="F155" s="397" t="n">
        <f aca="false">SQRT(acc_x^2+acc_z^2)</f>
        <v>88.8532979630116</v>
      </c>
      <c r="G155" s="396" t="n">
        <f aca="false">G154+acc_x*pas</f>
        <v>36.716750894628</v>
      </c>
      <c r="H155" s="398" t="n">
        <f aca="false">H154+acc_z*pas</f>
        <v>182.186925490243</v>
      </c>
      <c r="I155" s="397" t="n">
        <f aca="false">SQRT(vit_x^2+vit_z^2)</f>
        <v>185.849927672425</v>
      </c>
      <c r="J155" s="396" t="n">
        <f aca="false">J154+0.5*(vit_x+G154)*pas*(K154&gt;=0)</f>
        <v>27.6277289888487</v>
      </c>
      <c r="K155" s="398" t="n">
        <f aca="false">K154+0.5*(vit_z+H154)*pas</f>
        <v>142.270274509749</v>
      </c>
      <c r="L155" s="397" t="n">
        <f aca="false">SQRT(pos_x^2+pos_z^2)</f>
        <v>144.927990457885</v>
      </c>
      <c r="M155" s="396" t="n">
        <f aca="false">IF(AND(L154&gt;L_rampe,G155&gt;0),ATAN2(G155,H155),$M$4)</f>
        <v>1.37192677766667</v>
      </c>
      <c r="N155" s="397" t="n">
        <f aca="false">DEGREES(Beta)</f>
        <v>78.6056141612829</v>
      </c>
      <c r="P155" s="399" t="n">
        <f aca="false">MATCH(t-pas/2-T_ini,CdP_t)</f>
        <v>14</v>
      </c>
      <c r="Q155" s="397" t="n">
        <f aca="false">(INDEX(CdP,2,i_P+1)-INDEX(CdP,2,i_P+0))/(INDEX(CdP,1,i_P+1)-INDEX(CdP,1,i_P+0))*(t-pas/2-T_ini-INDEX(CdP,1,i_P+0))+INDEX(CdP,2,i_P+0)</f>
        <v>993.034999999999</v>
      </c>
      <c r="R155" s="396" t="n">
        <f aca="false">Poussee/(g*ISP)</f>
        <v>0.48800892524127</v>
      </c>
      <c r="S155" s="398" t="n">
        <f aca="false">S154-Débit*pas</f>
        <v>8.50730800197847</v>
      </c>
      <c r="T155" s="397" t="n">
        <f aca="false">m*g</f>
        <v>83.4566914994088</v>
      </c>
      <c r="U155" s="400" t="n">
        <f aca="false">IF(pos_xz&lt;L_rampe,Poids*COS(Beta),0)</f>
        <v>0</v>
      </c>
      <c r="V155" s="396" t="n">
        <f aca="false">Rho_moyen*(20000-Alt_rampe-pos_z)/(20000+Alt_rampe+pos_z)</f>
        <v>1.20769499079307</v>
      </c>
      <c r="W155" s="397" t="n">
        <f aca="false">1/2*Rho*Sref*Cx*vit_xz^2</f>
        <v>156.967450572059</v>
      </c>
      <c r="Y155" s="401" t="str">
        <f aca="false">IF(AND(pos_z&lt;=0,K154&gt;0),"Impact balistique","") &amp; IF(AND(H156&lt;0,vit_z&gt;=0),"Apogée","") &amp; IF(AND(Poussee=0,Q154&gt;0),"Fin de propulsion","") &amp; IF(AND(L156&gt;L_rampe,pos_xz&lt;=L_rampe),"Sortie de rampe","")</f>
        <v/>
      </c>
      <c r="Z155" s="402" t="str">
        <f aca="false">IF(ABS(t-T_para)&lt;pas/2,"Para","")</f>
        <v/>
      </c>
      <c r="AA155" s="403" t="str">
        <f aca="false">IF(ABS(t-T_satellite)&lt;pas/2,"Satellite","")</f>
        <v/>
      </c>
      <c r="AC155" s="399" t="e">
        <f aca="false">IF(ABS(t-ROUND(t,0))&lt;0.001,t,NA())</f>
        <v>#N/A</v>
      </c>
      <c r="AD155" s="404" t="e">
        <f aca="false">IF(ABS(t-ROUND(t,0))&lt;0.001,pos_x,NA())</f>
        <v>#N/A</v>
      </c>
      <c r="AE155" s="405" t="n">
        <f aca="false">IF(t&lt;T_para, pos_z, NA())</f>
        <v>142.270274509749</v>
      </c>
      <c r="AG155" s="396" t="n">
        <f aca="false">IF(AND(L154&lt;L_rampe,Poussee&lt;Poids*SIN(M154)),0,(-W154+Poussee)/m-Poids*SIN(M154)/m)</f>
        <v>88.8321805633586</v>
      </c>
      <c r="AH155" s="397" t="n">
        <f aca="false">IF(AND(L154&lt;L_rampe,Poussee&lt;Poids*SIN(M154)), g*SIN(M154), (-W154+Poussee)/m)</f>
        <v>98.4490326854118</v>
      </c>
    </row>
    <row r="156" customFormat="false" ht="12.75" hidden="false" customHeight="false" outlineLevel="0" collapsed="false">
      <c r="A156" s="396" t="n">
        <f aca="false">IF(B155+0.01&lt;=T_ini+ROUNDUP(Temps_fin_propu,0), 0.01, IF(K155&gt;0, 0.1, 0.0001))</f>
        <v>0.01</v>
      </c>
      <c r="B156" s="397" t="n">
        <f aca="false">B155+pas</f>
        <v>1.52</v>
      </c>
      <c r="D156" s="396" t="n">
        <f aca="false">IF(AND(L155&lt;L_rampe,Poussee&lt;Poids*SIN(M155)),0,(-W155+Poussee)/m*COS(M155)-U155/m*SIN(M155))</f>
        <v>19.1621269589096</v>
      </c>
      <c r="E156" s="398" t="n">
        <f aca="false">IF(AND(L155&lt;L_rampe,Poussee&lt;Poids*SIN(M155)),0,(-W155+Poussee)/m*SIN(M155)+U155/m*COS(M155)-Poids/m)</f>
        <v>85.2716428860053</v>
      </c>
      <c r="F156" s="397" t="n">
        <f aca="false">SQRT(acc_x^2+acc_z^2)</f>
        <v>87.3981704045788</v>
      </c>
      <c r="G156" s="396" t="n">
        <f aca="false">G155+acc_x*pas</f>
        <v>36.9083721642171</v>
      </c>
      <c r="H156" s="398" t="n">
        <f aca="false">H155+acc_z*pas</f>
        <v>183.039641919103</v>
      </c>
      <c r="I156" s="397" t="n">
        <f aca="false">SQRT(vit_x^2+vit_z^2)</f>
        <v>186.72369546923</v>
      </c>
      <c r="J156" s="396" t="n">
        <f aca="false">J155+0.5*(vit_x+G155)*pas*(K155&gt;=0)</f>
        <v>27.995854604143</v>
      </c>
      <c r="K156" s="398" t="n">
        <f aca="false">K155+0.5*(vit_z+H155)*pas</f>
        <v>144.096407346796</v>
      </c>
      <c r="L156" s="397" t="n">
        <f aca="false">SQRT(pos_x^2+pos_z^2)</f>
        <v>146.790811991998</v>
      </c>
      <c r="M156" s="396" t="n">
        <f aca="false">IF(AND(L155&gt;L_rampe,G156&gt;0),ATAN2(G156,H156),$M$4)</f>
        <v>1.37182298386461</v>
      </c>
      <c r="N156" s="397" t="n">
        <f aca="false">DEGREES(Beta)</f>
        <v>78.5996672144855</v>
      </c>
      <c r="P156" s="399" t="n">
        <f aca="false">MATCH(t-pas/2-T_ini,CdP_t)</f>
        <v>14</v>
      </c>
      <c r="Q156" s="397" t="n">
        <f aca="false">(INDEX(CdP,2,i_P+1)-INDEX(CdP,2,i_P+0))/(INDEX(CdP,1,i_P+1)-INDEX(CdP,1,i_P+0))*(t-pas/2-T_ini-INDEX(CdP,1,i_P+0))+INDEX(CdP,2,i_P+0)</f>
        <v>981.651666666665</v>
      </c>
      <c r="R156" s="396" t="n">
        <f aca="false">Poussee/(g*ISP)</f>
        <v>0.48241479385047</v>
      </c>
      <c r="S156" s="398" t="n">
        <f aca="false">S155-Débit*pas</f>
        <v>8.50248385403996</v>
      </c>
      <c r="T156" s="397" t="n">
        <f aca="false">m*g</f>
        <v>83.4093666081321</v>
      </c>
      <c r="U156" s="400" t="n">
        <f aca="false">IF(pos_xz&lt;L_rampe,Poids*COS(Beta),0)</f>
        <v>0</v>
      </c>
      <c r="V156" s="396" t="n">
        <f aca="false">Rho_moyen*(20000-Alt_rampe-pos_z)/(20000+Alt_rampe+pos_z)</f>
        <v>1.20747445847852</v>
      </c>
      <c r="W156" s="397" t="n">
        <f aca="false">1/2*Rho*Sref*Cx*vit_xz^2</f>
        <v>158.417942220404</v>
      </c>
      <c r="Y156" s="401" t="str">
        <f aca="false">IF(AND(pos_z&lt;=0,K155&gt;0),"Impact balistique","") &amp; IF(AND(H157&lt;0,vit_z&gt;=0),"Apogée","") &amp; IF(AND(Poussee=0,Q155&gt;0),"Fin de propulsion","") &amp; IF(AND(L157&gt;L_rampe,pos_xz&lt;=L_rampe),"Sortie de rampe","")</f>
        <v/>
      </c>
      <c r="Z156" s="402" t="str">
        <f aca="false">IF(ABS(t-T_para)&lt;pas/2,"Para","")</f>
        <v/>
      </c>
      <c r="AA156" s="403" t="str">
        <f aca="false">IF(ABS(t-T_satellite)&lt;pas/2,"Satellite","")</f>
        <v/>
      </c>
      <c r="AC156" s="399" t="e">
        <f aca="false">IF(ABS(t-ROUND(t,0))&lt;0.001,t,NA())</f>
        <v>#N/A</v>
      </c>
      <c r="AD156" s="404" t="e">
        <f aca="false">IF(ABS(t-ROUND(t,0))&lt;0.001,pos_x,NA())</f>
        <v>#N/A</v>
      </c>
      <c r="AE156" s="405" t="n">
        <f aca="false">IF(t&lt;T_para, pos_z, NA())</f>
        <v>144.096407346796</v>
      </c>
      <c r="AG156" s="396" t="n">
        <f aca="false">IF(AND(L155&lt;L_rampe,Poussee&lt;Poids*SIN(M155)),0,(-W155+Poussee)/m-Poids*SIN(M155)/m)</f>
        <v>87.3766791003934</v>
      </c>
      <c r="AH156" s="397" t="n">
        <f aca="false">IF(AND(L155&lt;L_rampe,Poussee&lt;Poids*SIN(M155)), g*SIN(M155), (-W155+Poussee)/m)</f>
        <v>96.9933292731578</v>
      </c>
    </row>
    <row r="157" customFormat="false" ht="12.75" hidden="false" customHeight="false" outlineLevel="0" collapsed="false">
      <c r="A157" s="396" t="n">
        <f aca="false">IF(B156+0.01&lt;=T_ini+ROUNDUP(Temps_fin_propu,0), 0.01, IF(K156&gt;0, 0.1, 0.0001))</f>
        <v>0.01</v>
      </c>
      <c r="B157" s="397" t="n">
        <f aca="false">B156+pas</f>
        <v>1.53</v>
      </c>
      <c r="D157" s="396" t="n">
        <f aca="false">IF(AND(L156&lt;L_rampe,Poussee&lt;Poids*SIN(M156)),0,(-W156+Poussee)/m*COS(M156)-U156/m*SIN(M156))</f>
        <v>18.8842293754459</v>
      </c>
      <c r="E157" s="398" t="n">
        <f aca="false">IF(AND(L156&lt;L_rampe,Poussee&lt;Poids*SIN(M156)),0,(-W156+Poussee)/m*SIN(M156)+U156/m*COS(M156)-Poids/m)</f>
        <v>83.8425341031153</v>
      </c>
      <c r="F157" s="397" t="n">
        <f aca="false">SQRT(acc_x^2+acc_z^2)</f>
        <v>85.9429150304812</v>
      </c>
      <c r="G157" s="396" t="n">
        <f aca="false">G156+acc_x*pas</f>
        <v>37.0972144579716</v>
      </c>
      <c r="H157" s="398" t="n">
        <f aca="false">H156+acc_z*pas</f>
        <v>183.878067260134</v>
      </c>
      <c r="I157" s="397" t="n">
        <f aca="false">SQRT(vit_x^2+vit_z^2)</f>
        <v>187.582906843516</v>
      </c>
      <c r="J157" s="396" t="n">
        <f aca="false">J156+0.5*(vit_x+G156)*pas*(K156&gt;=0)</f>
        <v>28.3658825372539</v>
      </c>
      <c r="K157" s="398" t="n">
        <f aca="false">K156+0.5*(vit_z+H156)*pas</f>
        <v>145.930995892692</v>
      </c>
      <c r="L157" s="397" t="n">
        <f aca="false">SQRT(pos_x^2+pos_z^2)</f>
        <v>148.66229802593</v>
      </c>
      <c r="M157" s="396" t="n">
        <f aca="false">IF(AND(L156&gt;L_rampe,G157&gt;0),ATAN2(G157,H157),$M$4)</f>
        <v>1.37171961227284</v>
      </c>
      <c r="N157" s="397" t="n">
        <f aca="false">DEGREES(Beta)</f>
        <v>78.5937444585556</v>
      </c>
      <c r="P157" s="399" t="n">
        <f aca="false">MATCH(t-pas/2-T_ini,CdP_t)</f>
        <v>14</v>
      </c>
      <c r="Q157" s="397" t="n">
        <f aca="false">(INDEX(CdP,2,i_P+1)-INDEX(CdP,2,i_P+0))/(INDEX(CdP,1,i_P+1)-INDEX(CdP,1,i_P+0))*(t-pas/2-T_ini-INDEX(CdP,1,i_P+0))+INDEX(CdP,2,i_P+0)</f>
        <v>970.268333333332</v>
      </c>
      <c r="R157" s="396" t="n">
        <f aca="false">Poussee/(g*ISP)</f>
        <v>0.47682066245967</v>
      </c>
      <c r="S157" s="398" t="n">
        <f aca="false">S156-Débit*pas</f>
        <v>8.49771564741537</v>
      </c>
      <c r="T157" s="397" t="n">
        <f aca="false">m*g</f>
        <v>83.3625905011448</v>
      </c>
      <c r="U157" s="400" t="n">
        <f aca="false">IF(pos_xz&lt;L_rampe,Poids*COS(Beta),0)</f>
        <v>0</v>
      </c>
      <c r="V157" s="396" t="n">
        <f aca="false">Rho_moyen*(20000-Alt_rampe-pos_z)/(20000+Alt_rampe+pos_z)</f>
        <v>1.20725294527168</v>
      </c>
      <c r="W157" s="397" t="n">
        <f aca="false">1/2*Rho*Sref*Cx*vit_xz^2</f>
        <v>159.849890645549</v>
      </c>
      <c r="Y157" s="401" t="str">
        <f aca="false">IF(AND(pos_z&lt;=0,K156&gt;0),"Impact balistique","") &amp; IF(AND(H158&lt;0,vit_z&gt;=0),"Apogée","") &amp; IF(AND(Poussee=0,Q156&gt;0),"Fin de propulsion","") &amp; IF(AND(L158&gt;L_rampe,pos_xz&lt;=L_rampe),"Sortie de rampe","")</f>
        <v/>
      </c>
      <c r="Z157" s="402" t="str">
        <f aca="false">IF(ABS(t-T_para)&lt;pas/2,"Para","")</f>
        <v/>
      </c>
      <c r="AA157" s="403" t="str">
        <f aca="false">IF(ABS(t-T_satellite)&lt;pas/2,"Satellite","")</f>
        <v/>
      </c>
      <c r="AC157" s="399" t="e">
        <f aca="false">IF(ABS(t-ROUND(t,0))&lt;0.001,t,NA())</f>
        <v>#N/A</v>
      </c>
      <c r="AD157" s="404" t="e">
        <f aca="false">IF(ABS(t-ROUND(t,0))&lt;0.001,pos_x,NA())</f>
        <v>#N/A</v>
      </c>
      <c r="AE157" s="405" t="n">
        <f aca="false">IF(t&lt;T_para, pos_z, NA())</f>
        <v>145.930995892692</v>
      </c>
      <c r="AG157" s="396" t="n">
        <f aca="false">IF(AND(L156&lt;L_rampe,Poussee&lt;Poids*SIN(M156)),0,(-W156+Poussee)/m-Poids*SIN(M156)/m)</f>
        <v>85.9210372059693</v>
      </c>
      <c r="AH157" s="397" t="n">
        <f aca="false">IF(AND(L156&lt;L_rampe,Poussee&lt;Poids*SIN(M156)), g*SIN(M156), (-W156+Poussee)/m)</f>
        <v>95.5374861666332</v>
      </c>
    </row>
    <row r="158" customFormat="false" ht="12.75" hidden="false" customHeight="false" outlineLevel="0" collapsed="false">
      <c r="A158" s="396" t="n">
        <f aca="false">IF(B157+0.01&lt;=T_ini+ROUNDUP(Temps_fin_propu,0), 0.01, IF(K157&gt;0, 0.1, 0.0001))</f>
        <v>0.01</v>
      </c>
      <c r="B158" s="397" t="n">
        <f aca="false">B157+pas</f>
        <v>1.54</v>
      </c>
      <c r="D158" s="396" t="n">
        <f aca="false">IF(AND(L157&lt;L_rampe,Poussee&lt;Poids*SIN(M157)),0,(-W157+Poussee)/m*COS(M157)-U157/m*SIN(M157))</f>
        <v>18.6059823492241</v>
      </c>
      <c r="E158" s="398" t="n">
        <f aca="false">IF(AND(L157&lt;L_rampe,Poussee&lt;Poids*SIN(M157)),0,(-W157+Poussee)/m*SIN(M157)+U157/m*COS(M157)-Poids/m)</f>
        <v>82.4134222660438</v>
      </c>
      <c r="F158" s="397" t="n">
        <f aca="false">SQRT(acc_x^2+acc_z^2)</f>
        <v>84.4876011541391</v>
      </c>
      <c r="G158" s="396" t="n">
        <f aca="false">G157+acc_x*pas</f>
        <v>37.2832742814638</v>
      </c>
      <c r="H158" s="398" t="n">
        <f aca="false">H157+acc_z*pas</f>
        <v>184.702201482794</v>
      </c>
      <c r="I158" s="397" t="n">
        <f aca="false">SQRT(vit_x^2+vit_z^2)</f>
        <v>188.427561077825</v>
      </c>
      <c r="J158" s="396" t="n">
        <f aca="false">J157+0.5*(vit_x+G157)*pas*(K157&gt;=0)</f>
        <v>28.7377849809511</v>
      </c>
      <c r="K158" s="398" t="n">
        <f aca="false">K157+0.5*(vit_z+H157)*pas</f>
        <v>147.773897236407</v>
      </c>
      <c r="L158" s="397" t="n">
        <f aca="false">SQRT(pos_x^2+pos_z^2)</f>
        <v>150.542302991709</v>
      </c>
      <c r="M158" s="396" t="n">
        <f aca="false">IF(AND(L157&gt;L_rampe,G158&gt;0),ATAN2(G158,H158),$M$4)</f>
        <v>1.37161665130402</v>
      </c>
      <c r="N158" s="397" t="n">
        <f aca="false">DEGREES(Beta)</f>
        <v>78.5878452295875</v>
      </c>
      <c r="P158" s="399" t="n">
        <f aca="false">MATCH(t-pas/2-T_ini,CdP_t)</f>
        <v>14</v>
      </c>
      <c r="Q158" s="397" t="n">
        <f aca="false">(INDEX(CdP,2,i_P+1)-INDEX(CdP,2,i_P+0))/(INDEX(CdP,1,i_P+1)-INDEX(CdP,1,i_P+0))*(t-pas/2-T_ini-INDEX(CdP,1,i_P+0))+INDEX(CdP,2,i_P+0)</f>
        <v>958.884999999999</v>
      </c>
      <c r="R158" s="396" t="n">
        <f aca="false">Poussee/(g*ISP)</f>
        <v>0.47122653106887</v>
      </c>
      <c r="S158" s="398" t="n">
        <f aca="false">S157-Débit*pas</f>
        <v>8.49300338210468</v>
      </c>
      <c r="T158" s="397" t="n">
        <f aca="false">m*g</f>
        <v>83.3163631784469</v>
      </c>
      <c r="U158" s="400" t="n">
        <f aca="false">IF(pos_xz&lt;L_rampe,Poids*COS(Beta),0)</f>
        <v>0</v>
      </c>
      <c r="V158" s="396" t="n">
        <f aca="false">Rho_moyen*(20000-Alt_rampe-pos_z)/(20000+Alt_rampe+pos_z)</f>
        <v>1.20703046897013</v>
      </c>
      <c r="W158" s="397" t="n">
        <f aca="false">1/2*Rho*Sref*Cx*vit_xz^2</f>
        <v>161.262962433469</v>
      </c>
      <c r="Y158" s="401" t="str">
        <f aca="false">IF(AND(pos_z&lt;=0,K157&gt;0),"Impact balistique","") &amp; IF(AND(H159&lt;0,vit_z&gt;=0),"Apogée","") &amp; IF(AND(Poussee=0,Q157&gt;0),"Fin de propulsion","") &amp; IF(AND(L159&gt;L_rampe,pos_xz&lt;=L_rampe),"Sortie de rampe","")</f>
        <v/>
      </c>
      <c r="Z158" s="402" t="str">
        <f aca="false">IF(ABS(t-T_para)&lt;pas/2,"Para","")</f>
        <v/>
      </c>
      <c r="AA158" s="403" t="str">
        <f aca="false">IF(ABS(t-T_satellite)&lt;pas/2,"Satellite","")</f>
        <v/>
      </c>
      <c r="AC158" s="399" t="e">
        <f aca="false">IF(ABS(t-ROUND(t,0))&lt;0.001,t,NA())</f>
        <v>#N/A</v>
      </c>
      <c r="AD158" s="404" t="e">
        <f aca="false">IF(ABS(t-ROUND(t,0))&lt;0.001,pos_x,NA())</f>
        <v>#N/A</v>
      </c>
      <c r="AE158" s="405" t="n">
        <f aca="false">IF(t&lt;T_para, pos_z, NA())</f>
        <v>147.773897236407</v>
      </c>
      <c r="AG158" s="396" t="n">
        <f aca="false">IF(AND(L157&lt;L_rampe,Poussee&lt;Poids*SIN(M157)),0,(-W157+Poussee)/m-Poids*SIN(M157)/m)</f>
        <v>84.4653235553138</v>
      </c>
      <c r="AH158" s="397" t="n">
        <f aca="false">IF(AND(L157&lt;L_rampe,Poussee&lt;Poids*SIN(M157)), g*SIN(M157), (-W157+Poussee)/m)</f>
        <v>94.0815720193953</v>
      </c>
    </row>
    <row r="159" customFormat="false" ht="12.75" hidden="false" customHeight="false" outlineLevel="0" collapsed="false">
      <c r="A159" s="396" t="n">
        <f aca="false">IF(B158+0.01&lt;=T_ini+ROUNDUP(Temps_fin_propu,0), 0.01, IF(K158&gt;0, 0.1, 0.0001))</f>
        <v>0.01</v>
      </c>
      <c r="B159" s="397" t="n">
        <f aca="false">B158+pas</f>
        <v>1.55</v>
      </c>
      <c r="D159" s="396" t="n">
        <f aca="false">IF(AND(L158&lt;L_rampe,Poussee&lt;Poids*SIN(M158)),0,(-W158+Poussee)/m*COS(M158)-U158/m*SIN(M158))</f>
        <v>18.3274021740984</v>
      </c>
      <c r="E159" s="398" t="n">
        <f aca="false">IF(AND(L158&lt;L_rampe,Poussee&lt;Poids*SIN(M158)),0,(-W158+Poussee)/m*SIN(M158)+U158/m*COS(M158)-Poids/m)</f>
        <v>80.9843734625127</v>
      </c>
      <c r="F159" s="397" t="n">
        <f aca="false">SQRT(acc_x^2+acc_z^2)</f>
        <v>83.032297424357</v>
      </c>
      <c r="G159" s="396" t="n">
        <f aca="false">G158+acc_x*pas</f>
        <v>37.4665483032048</v>
      </c>
      <c r="H159" s="398" t="n">
        <f aca="false">H158+acc_z*pas</f>
        <v>185.51204521742</v>
      </c>
      <c r="I159" s="397" t="n">
        <f aca="false">SQRT(vit_x^2+vit_z^2)</f>
        <v>189.257658134371</v>
      </c>
      <c r="J159" s="396" t="n">
        <f aca="false">J158+0.5*(vit_x+G158)*pas*(K158&gt;=0)</f>
        <v>29.1115340938744</v>
      </c>
      <c r="K159" s="398" t="n">
        <f aca="false">K158+0.5*(vit_z+H158)*pas</f>
        <v>149.624968469908</v>
      </c>
      <c r="L159" s="397" t="n">
        <f aca="false">SQRT(pos_x^2+pos_z^2)</f>
        <v>152.430681317508</v>
      </c>
      <c r="M159" s="396" t="n">
        <f aca="false">IF(AND(L158&gt;L_rampe,G159&gt;0),ATAN2(G159,H159),$M$4)</f>
        <v>1.37151408961478</v>
      </c>
      <c r="N159" s="397" t="n">
        <f aca="false">DEGREES(Beta)</f>
        <v>78.581968877654</v>
      </c>
      <c r="P159" s="399" t="n">
        <f aca="false">MATCH(t-pas/2-T_ini,CdP_t)</f>
        <v>14</v>
      </c>
      <c r="Q159" s="397" t="n">
        <f aca="false">(INDEX(CdP,2,i_P+1)-INDEX(CdP,2,i_P+0))/(INDEX(CdP,1,i_P+1)-INDEX(CdP,1,i_P+0))*(t-pas/2-T_ini-INDEX(CdP,1,i_P+0))+INDEX(CdP,2,i_P+0)</f>
        <v>947.501666666665</v>
      </c>
      <c r="R159" s="396" t="n">
        <f aca="false">Poussee/(g*ISP)</f>
        <v>0.46563239967807</v>
      </c>
      <c r="S159" s="398" t="n">
        <f aca="false">S158-Débit*pas</f>
        <v>8.4883470581079</v>
      </c>
      <c r="T159" s="397" t="n">
        <f aca="false">m*g</f>
        <v>83.2706846400385</v>
      </c>
      <c r="U159" s="400" t="n">
        <f aca="false">IF(pos_xz&lt;L_rampe,Poids*COS(Beta),0)</f>
        <v>0</v>
      </c>
      <c r="V159" s="396" t="n">
        <f aca="false">Rho_moyen*(20000-Alt_rampe-pos_z)/(20000+Alt_rampe+pos_z)</f>
        <v>1.20680704736069</v>
      </c>
      <c r="W159" s="397" t="n">
        <f aca="false">1/2*Rho*Sref*Cx*vit_xz^2</f>
        <v>162.656831513096</v>
      </c>
      <c r="Y159" s="401" t="str">
        <f aca="false">IF(AND(pos_z&lt;=0,K158&gt;0),"Impact balistique","") &amp; IF(AND(H160&lt;0,vit_z&gt;=0),"Apogée","") &amp; IF(AND(Poussee=0,Q158&gt;0),"Fin de propulsion","") &amp; IF(AND(L160&gt;L_rampe,pos_xz&lt;=L_rampe),"Sortie de rampe","")</f>
        <v/>
      </c>
      <c r="Z159" s="402" t="str">
        <f aca="false">IF(ABS(t-T_para)&lt;pas/2,"Para","")</f>
        <v/>
      </c>
      <c r="AA159" s="403" t="str">
        <f aca="false">IF(ABS(t-T_satellite)&lt;pas/2,"Satellite","")</f>
        <v/>
      </c>
      <c r="AC159" s="399" t="e">
        <f aca="false">IF(ABS(t-ROUND(t,0))&lt;0.001,t,NA())</f>
        <v>#N/A</v>
      </c>
      <c r="AD159" s="404" t="e">
        <f aca="false">IF(ABS(t-ROUND(t,0))&lt;0.001,pos_x,NA())</f>
        <v>#N/A</v>
      </c>
      <c r="AE159" s="405" t="n">
        <f aca="false">IF(t&lt;T_para, pos_z, NA())</f>
        <v>149.624968469908</v>
      </c>
      <c r="AG159" s="396" t="n">
        <f aca="false">IF(AND(L158&lt;L_rampe,Poussee&lt;Poids*SIN(M158)),0,(-W158+Poussee)/m-Poids*SIN(M158)/m)</f>
        <v>83.0096061153933</v>
      </c>
      <c r="AH159" s="397" t="n">
        <f aca="false">IF(AND(L158&lt;L_rampe,Poussee&lt;Poids*SIN(M158)), g*SIN(M158), (-W158+Poussee)/m)</f>
        <v>92.6256547771803</v>
      </c>
    </row>
    <row r="160" customFormat="false" ht="12.75" hidden="false" customHeight="false" outlineLevel="0" collapsed="false">
      <c r="A160" s="396" t="n">
        <f aca="false">IF(B159+0.01&lt;=T_ini+ROUNDUP(Temps_fin_propu,0), 0.01, IF(K159&gt;0, 0.1, 0.0001))</f>
        <v>0.01</v>
      </c>
      <c r="B160" s="397" t="n">
        <f aca="false">B159+pas</f>
        <v>1.56</v>
      </c>
      <c r="D160" s="396" t="n">
        <f aca="false">IF(AND(L159&lt;L_rampe,Poussee&lt;Poids*SIN(M159)),0,(-W159+Poussee)/m*COS(M159)-U159/m*SIN(M159))</f>
        <v>17.6777325585383</v>
      </c>
      <c r="E160" s="398" t="n">
        <f aca="false">IF(AND(L159&lt;L_rampe,Poussee&lt;Poids*SIN(M159)),0,(-W159+Poussee)/m*SIN(M159)+U159/m*COS(M159)-Poids/m)</f>
        <v>77.7196089514736</v>
      </c>
      <c r="F160" s="397" t="n">
        <f aca="false">SQRT(acc_x^2+acc_z^2)</f>
        <v>79.7047040266833</v>
      </c>
      <c r="G160" s="396" t="n">
        <f aca="false">G159+acc_x*pas</f>
        <v>37.6433256287902</v>
      </c>
      <c r="H160" s="398" t="n">
        <f aca="false">H159+acc_z*pas</f>
        <v>186.289241306934</v>
      </c>
      <c r="I160" s="397" t="n">
        <f aca="false">SQRT(vit_x^2+vit_z^2)</f>
        <v>190.05446953731</v>
      </c>
      <c r="J160" s="396" t="n">
        <f aca="false">J159+0.5*(vit_x+G159)*pas*(K159&gt;=0)</f>
        <v>29.4870834635344</v>
      </c>
      <c r="K160" s="398" t="n">
        <f aca="false">K159+0.5*(vit_z+H159)*pas</f>
        <v>151.48397490253</v>
      </c>
      <c r="L160" s="397" t="n">
        <f aca="false">SQRT(pos_x^2+pos_z^2)</f>
        <v>154.327193791165</v>
      </c>
      <c r="M160" s="396" t="n">
        <f aca="false">IF(AND(L159&gt;L_rampe,G160&gt;0),ATAN2(G160,H160),$M$4)</f>
        <v>1.37141190602789</v>
      </c>
      <c r="N160" s="397" t="n">
        <f aca="false">DEGREES(Beta)</f>
        <v>78.5761141893901</v>
      </c>
      <c r="P160" s="399" t="n">
        <f aca="false">MATCH(t-pas/2-T_ini,CdP_t)</f>
        <v>15</v>
      </c>
      <c r="Q160" s="397" t="n">
        <f aca="false">(INDEX(CdP,2,i_P+1)-INDEX(CdP,2,i_P+0))/(INDEX(CdP,1,i_P+1)-INDEX(CdP,1,i_P+0))*(t-pas/2-T_ini-INDEX(CdP,1,i_P+0))+INDEX(CdP,2,i_P+0)</f>
        <v>920.235999999995</v>
      </c>
      <c r="R160" s="396" t="n">
        <f aca="false">Poussee/(g*ISP)</f>
        <v>0.452233185465088</v>
      </c>
      <c r="S160" s="398" t="n">
        <f aca="false">S159-Débit*pas</f>
        <v>8.48382472625325</v>
      </c>
      <c r="T160" s="397" t="n">
        <f aca="false">m*g</f>
        <v>83.2263205645444</v>
      </c>
      <c r="U160" s="400" t="n">
        <f aca="false">IF(pos_xz&lt;L_rampe,Poids*COS(Beta),0)</f>
        <v>0</v>
      </c>
      <c r="V160" s="396" t="n">
        <f aca="false">Rho_moyen*(20000-Alt_rampe-pos_z)/(20000+Alt_rampe+pos_z)</f>
        <v>1.20658270929459</v>
      </c>
      <c r="W160" s="397" t="n">
        <f aca="false">1/2*Rho*Sref*Cx*vit_xz^2</f>
        <v>163.99885620916</v>
      </c>
      <c r="Y160" s="401" t="str">
        <f aca="false">IF(AND(pos_z&lt;=0,K159&gt;0),"Impact balistique","") &amp; IF(AND(H161&lt;0,vit_z&gt;=0),"Apogée","") &amp; IF(AND(Poussee=0,Q159&gt;0),"Fin de propulsion","") &amp; IF(AND(L161&gt;L_rampe,pos_xz&lt;=L_rampe),"Sortie de rampe","")</f>
        <v/>
      </c>
      <c r="Z160" s="402" t="str">
        <f aca="false">IF(ABS(t-T_para)&lt;pas/2,"Para","")</f>
        <v/>
      </c>
      <c r="AA160" s="403" t="str">
        <f aca="false">IF(ABS(t-T_satellite)&lt;pas/2,"Satellite","")</f>
        <v/>
      </c>
      <c r="AC160" s="399" t="e">
        <f aca="false">IF(ABS(t-ROUND(t,0))&lt;0.001,t,NA())</f>
        <v>#N/A</v>
      </c>
      <c r="AD160" s="404" t="e">
        <f aca="false">IF(ABS(t-ROUND(t,0))&lt;0.001,pos_x,NA())</f>
        <v>#N/A</v>
      </c>
      <c r="AE160" s="405" t="n">
        <f aca="false">IF(t&lt;T_para, pos_z, NA())</f>
        <v>151.48397490253</v>
      </c>
      <c r="AG160" s="396" t="n">
        <f aca="false">IF(AND(L159&lt;L_rampe,Poussee&lt;Poids*SIN(M159)),0,(-W159+Poussee)/m-Poids*SIN(M159)/m)</f>
        <v>79.6810410713989</v>
      </c>
      <c r="AH160" s="397" t="n">
        <f aca="false">IF(AND(L159&lt;L_rampe,Poussee&lt;Poids*SIN(M159)), g*SIN(M159), (-W159+Poussee)/m)</f>
        <v>89.2968906043715</v>
      </c>
    </row>
    <row r="161" customFormat="false" ht="12.75" hidden="false" customHeight="false" outlineLevel="0" collapsed="false">
      <c r="A161" s="396" t="n">
        <f aca="false">IF(B160+0.01&lt;=T_ini+ROUNDUP(Temps_fin_propu,0), 0.01, IF(K160&gt;0, 0.1, 0.0001))</f>
        <v>0.01</v>
      </c>
      <c r="B161" s="397" t="n">
        <f aca="false">B160+pas</f>
        <v>1.57</v>
      </c>
      <c r="D161" s="396" t="n">
        <f aca="false">IF(AND(L160&lt;L_rampe,Poussee&lt;Poids*SIN(M160)),0,(-W160+Poussee)/m*COS(M160)-U160/m*SIN(M160))</f>
        <v>16.6564612144533</v>
      </c>
      <c r="E161" s="398" t="n">
        <f aca="false">IF(AND(L160&lt;L_rampe,Poussee&lt;Poids*SIN(M160)),0,(-W160+Poussee)/m*SIN(M160)+U160/m*COS(M160)-Poids/m)</f>
        <v>72.6194737690689</v>
      </c>
      <c r="F161" s="397" t="n">
        <f aca="false">SQRT(acc_x^2+acc_z^2)</f>
        <v>74.5052056616521</v>
      </c>
      <c r="G161" s="396" t="n">
        <f aca="false">G160+acc_x*pas</f>
        <v>37.8098902409347</v>
      </c>
      <c r="H161" s="398" t="n">
        <f aca="false">H160+acc_z*pas</f>
        <v>187.015436044625</v>
      </c>
      <c r="I161" s="397" t="n">
        <f aca="false">SQRT(vit_x^2+vit_z^2)</f>
        <v>190.799269178351</v>
      </c>
      <c r="J161" s="396" t="n">
        <f aca="false">J160+0.5*(vit_x+G160)*pas*(K160&gt;=0)</f>
        <v>29.864349542883</v>
      </c>
      <c r="K161" s="398" t="n">
        <f aca="false">K160+0.5*(vit_z+H160)*pas</f>
        <v>153.350498289288</v>
      </c>
      <c r="L161" s="397" t="n">
        <f aca="false">SQRT(pos_x^2+pos_z^2)</f>
        <v>156.231413932001</v>
      </c>
      <c r="M161" s="396" t="n">
        <f aca="false">IF(AND(L160&gt;L_rampe,G161&gt;0),ATAN2(G161,H161),$M$4)</f>
        <v>1.37131006982484</v>
      </c>
      <c r="N161" s="397" t="n">
        <f aca="false">DEGREES(Beta)</f>
        <v>78.5702794047534</v>
      </c>
      <c r="P161" s="399" t="n">
        <f aca="false">MATCH(t-pas/2-T_ini,CdP_t)</f>
        <v>15</v>
      </c>
      <c r="Q161" s="397" t="n">
        <f aca="false">(INDEX(CdP,2,i_P+1)-INDEX(CdP,2,i_P+0))/(INDEX(CdP,1,i_P+1)-INDEX(CdP,1,i_P+0))*(t-pas/2-T_ini-INDEX(CdP,1,i_P+0))+INDEX(CdP,2,i_P+0)</f>
        <v>877.087999999995</v>
      </c>
      <c r="R161" s="396" t="n">
        <f aca="false">Poussee/(g*ISP)</f>
        <v>0.431028888429928</v>
      </c>
      <c r="S161" s="398" t="n">
        <f aca="false">S160-Débit*pas</f>
        <v>8.47951443736895</v>
      </c>
      <c r="T161" s="397" t="n">
        <f aca="false">m*g</f>
        <v>83.1840366305894</v>
      </c>
      <c r="U161" s="400" t="n">
        <f aca="false">IF(pos_xz&lt;L_rampe,Poids*COS(Beta),0)</f>
        <v>0</v>
      </c>
      <c r="V161" s="396" t="n">
        <f aca="false">Rho_moyen*(20000-Alt_rampe-pos_z)/(20000+Alt_rampe+pos_z)</f>
        <v>1.2063575057487</v>
      </c>
      <c r="W161" s="397" t="n">
        <f aca="false">1/2*Rho*Sref*Cx*vit_xz^2</f>
        <v>165.255906679687</v>
      </c>
      <c r="Y161" s="401" t="str">
        <f aca="false">IF(AND(pos_z&lt;=0,K160&gt;0),"Impact balistique","") &amp; IF(AND(H162&lt;0,vit_z&gt;=0),"Apogée","") &amp; IF(AND(Poussee=0,Q160&gt;0),"Fin de propulsion","") &amp; IF(AND(L162&gt;L_rampe,pos_xz&lt;=L_rampe),"Sortie de rampe","")</f>
        <v/>
      </c>
      <c r="Z161" s="402" t="str">
        <f aca="false">IF(ABS(t-T_para)&lt;pas/2,"Para","")</f>
        <v/>
      </c>
      <c r="AA161" s="403" t="str">
        <f aca="false">IF(ABS(t-T_satellite)&lt;pas/2,"Satellite","")</f>
        <v/>
      </c>
      <c r="AC161" s="399" t="e">
        <f aca="false">IF(ABS(t-ROUND(t,0))&lt;0.001,t,NA())</f>
        <v>#N/A</v>
      </c>
      <c r="AD161" s="404" t="e">
        <f aca="false">IF(ABS(t-ROUND(t,0))&lt;0.001,pos_x,NA())</f>
        <v>#N/A</v>
      </c>
      <c r="AE161" s="405" t="n">
        <f aca="false">IF(t&lt;T_para, pos_z, NA())</f>
        <v>153.350498289288</v>
      </c>
      <c r="AG161" s="396" t="n">
        <f aca="false">IF(AND(L160&lt;L_rampe,Poussee&lt;Poids*SIN(M160)),0,(-W160+Poussee)/m-Poids*SIN(M160)/m)</f>
        <v>74.4798651688052</v>
      </c>
      <c r="AH161" s="397" t="n">
        <f aca="false">IF(AND(L160&lt;L_rampe,Poussee&lt;Poids*SIN(M160)), g*SIN(M160), (-W160+Poussee)/m)</f>
        <v>84.0955162064792</v>
      </c>
    </row>
    <row r="162" customFormat="false" ht="12.75" hidden="false" customHeight="false" outlineLevel="0" collapsed="false">
      <c r="A162" s="396" t="n">
        <f aca="false">IF(B161+0.01&lt;=T_ini+ROUNDUP(Temps_fin_propu,0), 0.01, IF(K161&gt;0, 0.1, 0.0001))</f>
        <v>0.01</v>
      </c>
      <c r="B162" s="397" t="n">
        <f aca="false">B161+pas</f>
        <v>1.58</v>
      </c>
      <c r="D162" s="396" t="n">
        <f aca="false">IF(AND(L161&lt;L_rampe,Poussee&lt;Poids*SIN(M161)),0,(-W161+Poussee)/m*COS(M161)-U161/m*SIN(M161))</f>
        <v>15.6346681738693</v>
      </c>
      <c r="E162" s="398" t="n">
        <f aca="false">IF(AND(L161&lt;L_rampe,Poussee&lt;Poids*SIN(M161)),0,(-W161+Poussee)/m*SIN(M161)+U161/m*COS(M161)-Poids/m)</f>
        <v>67.5222606153351</v>
      </c>
      <c r="F162" s="397" t="n">
        <f aca="false">SQRT(acc_x^2+acc_z^2)</f>
        <v>69.3087189862303</v>
      </c>
      <c r="G162" s="396" t="n">
        <f aca="false">G161+acc_x*pas</f>
        <v>37.9662369226734</v>
      </c>
      <c r="H162" s="398" t="n">
        <f aca="false">H161+acc_z*pas</f>
        <v>187.690658650778</v>
      </c>
      <c r="I162" s="397" t="n">
        <f aca="false">SQRT(vit_x^2+vit_z^2)</f>
        <v>191.492084668875</v>
      </c>
      <c r="J162" s="396" t="n">
        <f aca="false">J161+0.5*(vit_x+G161)*pas*(K161&gt;=0)</f>
        <v>30.2432301787011</v>
      </c>
      <c r="K162" s="398" t="n">
        <f aca="false">K161+0.5*(vit_z+H161)*pas</f>
        <v>155.224028762765</v>
      </c>
      <c r="L162" s="397" t="n">
        <f aca="false">SQRT(pos_x^2+pos_z^2)</f>
        <v>158.142821768759</v>
      </c>
      <c r="M162" s="396" t="n">
        <f aca="false">IF(AND(L161&gt;L_rampe,G162&gt;0),ATAN2(G162,H162),$M$4)</f>
        <v>1.37120855092778</v>
      </c>
      <c r="N162" s="397" t="n">
        <f aca="false">DEGREES(Beta)</f>
        <v>78.5644628004109</v>
      </c>
      <c r="P162" s="399" t="n">
        <f aca="false">MATCH(t-pas/2-T_ini,CdP_t)</f>
        <v>15</v>
      </c>
      <c r="Q162" s="397" t="n">
        <f aca="false">(INDEX(CdP,2,i_P+1)-INDEX(CdP,2,i_P+0))/(INDEX(CdP,1,i_P+1)-INDEX(CdP,1,i_P+0))*(t-pas/2-T_ini-INDEX(CdP,1,i_P+0))+INDEX(CdP,2,i_P+0)</f>
        <v>833.939999999995</v>
      </c>
      <c r="R162" s="396" t="n">
        <f aca="false">Poussee/(g*ISP)</f>
        <v>0.409824591394767</v>
      </c>
      <c r="S162" s="398" t="n">
        <f aca="false">S161-Débit*pas</f>
        <v>8.475416191455</v>
      </c>
      <c r="T162" s="397" t="n">
        <f aca="false">m*g</f>
        <v>83.1438328381736</v>
      </c>
      <c r="U162" s="400" t="n">
        <f aca="false">IF(pos_xz&lt;L_rampe,Poids*COS(Beta),0)</f>
        <v>0</v>
      </c>
      <c r="V162" s="396" t="n">
        <f aca="false">Rho_moyen*(20000-Alt_rampe-pos_z)/(20000+Alt_rampe+pos_z)</f>
        <v>1.20613149871586</v>
      </c>
      <c r="W162" s="397" t="n">
        <f aca="false">1/2*Rho*Sref*Cx*vit_xz^2</f>
        <v>166.427029030956</v>
      </c>
      <c r="Y162" s="401" t="str">
        <f aca="false">IF(AND(pos_z&lt;=0,K161&gt;0),"Impact balistique","") &amp; IF(AND(H163&lt;0,vit_z&gt;=0),"Apogée","") &amp; IF(AND(Poussee=0,Q161&gt;0),"Fin de propulsion","") &amp; IF(AND(L163&gt;L_rampe,pos_xz&lt;=L_rampe),"Sortie de rampe","")</f>
        <v/>
      </c>
      <c r="Z162" s="402" t="str">
        <f aca="false">IF(ABS(t-T_para)&lt;pas/2,"Para","")</f>
        <v/>
      </c>
      <c r="AA162" s="403" t="str">
        <f aca="false">IF(ABS(t-T_satellite)&lt;pas/2,"Satellite","")</f>
        <v/>
      </c>
      <c r="AC162" s="399" t="e">
        <f aca="false">IF(ABS(t-ROUND(t,0))&lt;0.001,t,NA())</f>
        <v>#N/A</v>
      </c>
      <c r="AD162" s="404" t="e">
        <f aca="false">IF(ABS(t-ROUND(t,0))&lt;0.001,pos_x,NA())</f>
        <v>#N/A</v>
      </c>
      <c r="AE162" s="405" t="n">
        <f aca="false">IF(t&lt;T_para, pos_z, NA())</f>
        <v>155.224028762765</v>
      </c>
      <c r="AG162" s="396" t="n">
        <f aca="false">IF(AND(L161&lt;L_rampe,Poussee&lt;Poids*SIN(M161)),0,(-W161+Poussee)/m-Poids*SIN(M161)/m)</f>
        <v>69.2814503757179</v>
      </c>
      <c r="AH162" s="397" t="n">
        <f aca="false">IF(AND(L161&lt;L_rampe,Poussee&lt;Poids*SIN(M161)), g*SIN(M161), (-W161+Poussee)/m)</f>
        <v>78.8969034930086</v>
      </c>
    </row>
    <row r="163" customFormat="false" ht="12.75" hidden="false" customHeight="false" outlineLevel="0" collapsed="false">
      <c r="A163" s="396" t="n">
        <f aca="false">IF(B162+0.01&lt;=T_ini+ROUNDUP(Temps_fin_propu,0), 0.01, IF(K162&gt;0, 0.1, 0.0001))</f>
        <v>0.01</v>
      </c>
      <c r="B163" s="397" t="n">
        <f aca="false">B162+pas</f>
        <v>1.59</v>
      </c>
      <c r="D163" s="396" t="n">
        <f aca="false">IF(AND(L162&lt;L_rampe,Poussee&lt;Poids*SIN(M162)),0,(-W162+Poussee)/m*COS(M162)-U162/m*SIN(M162))</f>
        <v>14.6124622956985</v>
      </c>
      <c r="E163" s="398" t="n">
        <f aca="false">IF(AND(L162&lt;L_rampe,Poussee&lt;Poids*SIN(M162)),0,(-W162+Poussee)/m*SIN(M162)+U162/m*COS(M162)-Poids/m)</f>
        <v>62.4284648859266</v>
      </c>
      <c r="F163" s="397" t="n">
        <f aca="false">SQRT(acc_x^2+acc_z^2)</f>
        <v>64.1158114848169</v>
      </c>
      <c r="G163" s="396" t="n">
        <f aca="false">G162+acc_x*pas</f>
        <v>38.1123615456304</v>
      </c>
      <c r="H163" s="398" t="n">
        <f aca="false">H162+acc_z*pas</f>
        <v>188.314943299638</v>
      </c>
      <c r="I163" s="397" t="n">
        <f aca="false">SQRT(vit_x^2+vit_z^2)</f>
        <v>192.132948690563</v>
      </c>
      <c r="J163" s="396" t="n">
        <f aca="false">J162+0.5*(vit_x+G162)*pas*(K162&gt;=0)</f>
        <v>30.6236231710426</v>
      </c>
      <c r="K163" s="398" t="n">
        <f aca="false">K162+0.5*(vit_z+H162)*pas</f>
        <v>157.104056772517</v>
      </c>
      <c r="L163" s="397" t="n">
        <f aca="false">SQRT(pos_x^2+pos_z^2)</f>
        <v>160.060897631196</v>
      </c>
      <c r="M163" s="396" t="n">
        <f aca="false">IF(AND(L162&gt;L_rampe,G163&gt;0),ATAN2(G163,H163),$M$4)</f>
        <v>1.37110731984396</v>
      </c>
      <c r="N163" s="397" t="n">
        <f aca="false">DEGREES(Beta)</f>
        <v>78.5586626865525</v>
      </c>
      <c r="P163" s="399" t="n">
        <f aca="false">MATCH(t-pas/2-T_ini,CdP_t)</f>
        <v>15</v>
      </c>
      <c r="Q163" s="397" t="n">
        <f aca="false">(INDEX(CdP,2,i_P+1)-INDEX(CdP,2,i_P+0))/(INDEX(CdP,1,i_P+1)-INDEX(CdP,1,i_P+0))*(t-pas/2-T_ini-INDEX(CdP,1,i_P+0))+INDEX(CdP,2,i_P+0)</f>
        <v>790.791999999995</v>
      </c>
      <c r="R163" s="396" t="n">
        <f aca="false">Poussee/(g*ISP)</f>
        <v>0.388620294359607</v>
      </c>
      <c r="S163" s="398" t="n">
        <f aca="false">S162-Débit*pas</f>
        <v>8.47152998851141</v>
      </c>
      <c r="T163" s="397" t="n">
        <f aca="false">m*g</f>
        <v>83.1057091872969</v>
      </c>
      <c r="U163" s="400" t="n">
        <f aca="false">IF(pos_xz&lt;L_rampe,Poids*COS(Beta),0)</f>
        <v>0</v>
      </c>
      <c r="V163" s="396" t="n">
        <f aca="false">Rho_moyen*(20000-Alt_rampe-pos_z)/(20000+Alt_rampe+pos_z)</f>
        <v>1.20590475010653</v>
      </c>
      <c r="W163" s="397" t="n">
        <f aca="false">1/2*Rho*Sref*Cx*vit_xz^2</f>
        <v>167.511353845244</v>
      </c>
      <c r="Y163" s="401" t="str">
        <f aca="false">IF(AND(pos_z&lt;=0,K162&gt;0),"Impact balistique","") &amp; IF(AND(H164&lt;0,vit_z&gt;=0),"Apogée","") &amp; IF(AND(Poussee=0,Q162&gt;0),"Fin de propulsion","") &amp; IF(AND(L164&gt;L_rampe,pos_xz&lt;=L_rampe),"Sortie de rampe","")</f>
        <v/>
      </c>
      <c r="Z163" s="402" t="str">
        <f aca="false">IF(ABS(t-T_para)&lt;pas/2,"Para","")</f>
        <v/>
      </c>
      <c r="AA163" s="403" t="str">
        <f aca="false">IF(ABS(t-T_satellite)&lt;pas/2,"Satellite","")</f>
        <v/>
      </c>
      <c r="AC163" s="399" t="e">
        <f aca="false">IF(ABS(t-ROUND(t,0))&lt;0.001,t,NA())</f>
        <v>#N/A</v>
      </c>
      <c r="AD163" s="404" t="e">
        <f aca="false">IF(ABS(t-ROUND(t,0))&lt;0.001,pos_x,NA())</f>
        <v>#N/A</v>
      </c>
      <c r="AE163" s="405" t="n">
        <f aca="false">IF(t&lt;T_para, pos_z, NA())</f>
        <v>157.104056772517</v>
      </c>
      <c r="AG163" s="396" t="n">
        <f aca="false">IF(AND(L162&lt;L_rampe,Poussee&lt;Poids*SIN(M162)),0,(-W162+Poussee)/m-Poids*SIN(M162)/m)</f>
        <v>64.0863037224711</v>
      </c>
      <c r="AH163" s="397" t="n">
        <f aca="false">IF(AND(L162&lt;L_rampe,Poussee&lt;Poids*SIN(M162)), g*SIN(M162), (-W162+Poussee)/m)</f>
        <v>73.7015594368156</v>
      </c>
    </row>
    <row r="164" customFormat="false" ht="12.75" hidden="false" customHeight="false" outlineLevel="0" collapsed="false">
      <c r="A164" s="396" t="n">
        <f aca="false">IF(B163+0.01&lt;=T_ini+ROUNDUP(Temps_fin_propu,0), 0.01, IF(K163&gt;0, 0.1, 0.0001))</f>
        <v>0.01</v>
      </c>
      <c r="B164" s="397" t="n">
        <f aca="false">B163+pas</f>
        <v>1.6</v>
      </c>
      <c r="D164" s="396" t="n">
        <f aca="false">IF(AND(L163&lt;L_rampe,Poussee&lt;Poids*SIN(M163)),0,(-W163+Poussee)/m*COS(M163)-U163/m*SIN(M163))</f>
        <v>13.5899500954617</v>
      </c>
      <c r="E164" s="398" t="n">
        <f aca="false">IF(AND(L163&lt;L_rampe,Poussee&lt;Poids*SIN(M163)),0,(-W163+Poussee)/m*SIN(M163)+U163/m*COS(M163)-Poids/m)</f>
        <v>57.3385727434589</v>
      </c>
      <c r="F164" s="397" t="n">
        <f aca="false">SQRT(acc_x^2+acc_z^2)</f>
        <v>58.9270622706925</v>
      </c>
      <c r="G164" s="396" t="n">
        <f aca="false">G163+acc_x*pas</f>
        <v>38.248261046585</v>
      </c>
      <c r="H164" s="398" t="n">
        <f aca="false">H163+acc_z*pas</f>
        <v>188.888329027072</v>
      </c>
      <c r="I164" s="397" t="n">
        <f aca="false">SQRT(vit_x^2+vit_z^2)</f>
        <v>192.721898900273</v>
      </c>
      <c r="J164" s="396" t="n">
        <f aca="false">J163+0.5*(vit_x+G163)*pas*(K163&gt;=0)</f>
        <v>31.0054262840037</v>
      </c>
      <c r="K164" s="398" t="n">
        <f aca="false">K163+0.5*(vit_z+H163)*pas</f>
        <v>158.99007313415</v>
      </c>
      <c r="L164" s="397" t="n">
        <f aca="false">SQRT(pos_x^2+pos_z^2)</f>
        <v>161.985122200328</v>
      </c>
      <c r="M164" s="396" t="n">
        <f aca="false">IF(AND(L163&gt;L_rampe,G164&gt;0),ATAN2(G164,H164),$M$4)</f>
        <v>1.37100634761261</v>
      </c>
      <c r="N164" s="397" t="n">
        <f aca="false">DEGREES(Beta)</f>
        <v>78.5528774038484</v>
      </c>
      <c r="P164" s="399" t="n">
        <f aca="false">MATCH(t-pas/2-T_ini,CdP_t)</f>
        <v>15</v>
      </c>
      <c r="Q164" s="397" t="n">
        <f aca="false">(INDEX(CdP,2,i_P+1)-INDEX(CdP,2,i_P+0))/(INDEX(CdP,1,i_P+1)-INDEX(CdP,1,i_P+0))*(t-pas/2-T_ini-INDEX(CdP,1,i_P+0))+INDEX(CdP,2,i_P+0)</f>
        <v>747.643999999995</v>
      </c>
      <c r="R164" s="396" t="n">
        <f aca="false">Poussee/(g*ISP)</f>
        <v>0.367415997324447</v>
      </c>
      <c r="S164" s="398" t="n">
        <f aca="false">S163-Débit*pas</f>
        <v>8.46785582853816</v>
      </c>
      <c r="T164" s="397" t="n">
        <f aca="false">m*g</f>
        <v>83.0696656779594</v>
      </c>
      <c r="U164" s="400" t="n">
        <f aca="false">IF(pos_xz&lt;L_rampe,Poids*COS(Beta),0)</f>
        <v>0</v>
      </c>
      <c r="V164" s="396" t="n">
        <f aca="false">Rho_moyen*(20000-Alt_rampe-pos_z)/(20000+Alt_rampe+pos_z)</f>
        <v>1.20567732174253</v>
      </c>
      <c r="W164" s="397" t="n">
        <f aca="false">1/2*Rho*Sref*Cx*vit_xz^2</f>
        <v>168.508095902462</v>
      </c>
      <c r="Y164" s="401" t="str">
        <f aca="false">IF(AND(pos_z&lt;=0,K163&gt;0),"Impact balistique","") &amp; IF(AND(H165&lt;0,vit_z&gt;=0),"Apogée","") &amp; IF(AND(Poussee=0,Q163&gt;0),"Fin de propulsion","") &amp; IF(AND(L165&gt;L_rampe,pos_xz&lt;=L_rampe),"Sortie de rampe","")</f>
        <v/>
      </c>
      <c r="Z164" s="402" t="str">
        <f aca="false">IF(ABS(t-T_para)&lt;pas/2,"Para","")</f>
        <v/>
      </c>
      <c r="AA164" s="403" t="str">
        <f aca="false">IF(ABS(t-T_satellite)&lt;pas/2,"Satellite","")</f>
        <v/>
      </c>
      <c r="AC164" s="399" t="e">
        <f aca="false">IF(ABS(t-ROUND(t,0))&lt;0.001,t,NA())</f>
        <v>#N/A</v>
      </c>
      <c r="AD164" s="404" t="e">
        <f aca="false">IF(ABS(t-ROUND(t,0))&lt;0.001,pos_x,NA())</f>
        <v>#N/A</v>
      </c>
      <c r="AE164" s="405" t="n">
        <f aca="false">IF(t&lt;T_para, pos_z, NA())</f>
        <v>158.99007313415</v>
      </c>
      <c r="AG164" s="396" t="n">
        <f aca="false">IF(AND(L163&lt;L_rampe,Poussee&lt;Poids*SIN(M163)),0,(-W163+Poussee)/m-Poids*SIN(M163)/m)</f>
        <v>58.8949227272631</v>
      </c>
      <c r="AH164" s="397" t="n">
        <f aca="false">IF(AND(L163&lt;L_rampe,Poussee&lt;Poids*SIN(M163)), g*SIN(M163), (-W163+Poussee)/m)</f>
        <v>68.509981499638</v>
      </c>
    </row>
    <row r="165" customFormat="false" ht="12.75" hidden="false" customHeight="false" outlineLevel="0" collapsed="false">
      <c r="A165" s="396" t="n">
        <f aca="false">IF(B164+0.01&lt;=T_ini+ROUNDUP(Temps_fin_propu,0), 0.01, IF(K164&gt;0, 0.1, 0.0001))</f>
        <v>0.01</v>
      </c>
      <c r="B165" s="397" t="n">
        <f aca="false">B164+pas</f>
        <v>1.61</v>
      </c>
      <c r="D165" s="396" t="n">
        <f aca="false">IF(AND(L164&lt;L_rampe,Poussee&lt;Poids*SIN(M164)),0,(-W164+Poussee)/m*COS(M164)-U164/m*SIN(M164))</f>
        <v>12.09461647034</v>
      </c>
      <c r="E165" s="398" t="n">
        <f aca="false">IF(AND(L164&lt;L_rampe,Poussee&lt;Poids*SIN(M164)),0,(-W164+Poussee)/m*SIN(M164)+U164/m*COS(M164)-Poids/m)</f>
        <v>49.9190395117141</v>
      </c>
      <c r="F165" s="397" t="n">
        <f aca="false">SQRT(acc_x^2+acc_z^2)</f>
        <v>51.3633162221511</v>
      </c>
      <c r="G165" s="396" t="n">
        <f aca="false">G164+acc_x*pas</f>
        <v>38.3692072112884</v>
      </c>
      <c r="H165" s="398" t="n">
        <f aca="false">H164+acc_z*pas</f>
        <v>189.387519422189</v>
      </c>
      <c r="I165" s="397" t="n">
        <f aca="false">SQRT(vit_x^2+vit_z^2)</f>
        <v>193.235163919285</v>
      </c>
      <c r="J165" s="396" t="n">
        <f aca="false">J164+0.5*(vit_x+G164)*pas*(K164&gt;=0)</f>
        <v>31.388513625293</v>
      </c>
      <c r="K165" s="398" t="n">
        <f aca="false">K164+0.5*(vit_z+H164)*pas</f>
        <v>160.881452376397</v>
      </c>
      <c r="L165" s="397" t="n">
        <f aca="false">SQRT(pos_x^2+pos_z^2)</f>
        <v>163.91485749115</v>
      </c>
      <c r="M165" s="396" t="n">
        <f aca="false">IF(AND(L164&gt;L_rampe,G165&gt;0),ATAN2(G165,H165),$M$4)</f>
        <v>1.37090559333887</v>
      </c>
      <c r="N165" s="397" t="n">
        <f aca="false">DEGREES(Beta)</f>
        <v>78.5471046091953</v>
      </c>
      <c r="P165" s="399" t="n">
        <f aca="false">MATCH(t-pas/2-T_ini,CdP_t)</f>
        <v>16</v>
      </c>
      <c r="Q165" s="397" t="n">
        <f aca="false">(INDEX(CdP,2,i_P+1)-INDEX(CdP,2,i_P+0))/(INDEX(CdP,1,i_P+1)-INDEX(CdP,1,i_P+0))*(t-pas/2-T_ini-INDEX(CdP,1,i_P+0))+INDEX(CdP,2,i_P+0)</f>
        <v>684.34499999999</v>
      </c>
      <c r="R165" s="396" t="n">
        <f aca="false">Poussee/(g*ISP)</f>
        <v>0.3363088591482</v>
      </c>
      <c r="S165" s="398" t="n">
        <f aca="false">S164-Débit*pas</f>
        <v>8.46449273994668</v>
      </c>
      <c r="T165" s="397" t="n">
        <f aca="false">m*g</f>
        <v>83.0366737788769</v>
      </c>
      <c r="U165" s="400" t="n">
        <f aca="false">IF(pos_xz&lt;L_rampe,Poids*COS(Beta),0)</f>
        <v>0</v>
      </c>
      <c r="V165" s="396" t="n">
        <f aca="false">Rho_moyen*(20000-Alt_rampe-pos_z)/(20000+Alt_rampe+pos_z)</f>
        <v>1.20544928941955</v>
      </c>
      <c r="W165" s="397" t="n">
        <f aca="false">1/2*Rho*Sref*Cx*vit_xz^2</f>
        <v>169.374806441036</v>
      </c>
      <c r="Y165" s="401" t="str">
        <f aca="false">IF(AND(pos_z&lt;=0,K164&gt;0),"Impact balistique","") &amp; IF(AND(H166&lt;0,vit_z&gt;=0),"Apogée","") &amp; IF(AND(Poussee=0,Q164&gt;0),"Fin de propulsion","") &amp; IF(AND(L166&gt;L_rampe,pos_xz&lt;=L_rampe),"Sortie de rampe","")</f>
        <v/>
      </c>
      <c r="Z165" s="402" t="str">
        <f aca="false">IF(ABS(t-T_para)&lt;pas/2,"Para","")</f>
        <v/>
      </c>
      <c r="AA165" s="403" t="str">
        <f aca="false">IF(ABS(t-T_satellite)&lt;pas/2,"Satellite","")</f>
        <v/>
      </c>
      <c r="AC165" s="399" t="e">
        <f aca="false">IF(ABS(t-ROUND(t,0))&lt;0.001,t,NA())</f>
        <v>#N/A</v>
      </c>
      <c r="AD165" s="404" t="e">
        <f aca="false">IF(ABS(t-ROUND(t,0))&lt;0.001,pos_x,NA())</f>
        <v>#N/A</v>
      </c>
      <c r="AE165" s="405" t="n">
        <f aca="false">IF(t&lt;T_para, pos_z, NA())</f>
        <v>160.881452376397</v>
      </c>
      <c r="AG165" s="396" t="n">
        <f aca="false">IF(AND(L164&lt;L_rampe,Poussee&lt;Poids*SIN(M164)),0,(-W164+Poussee)/m-Poids*SIN(M164)/m)</f>
        <v>51.3264038205568</v>
      </c>
      <c r="AH165" s="397" t="n">
        <f aca="false">IF(AND(L164&lt;L_rampe,Poussee&lt;Poids*SIN(M164)), g*SIN(M164), (-W164+Poussee)/m)</f>
        <v>60.9412660563966</v>
      </c>
    </row>
    <row r="166" customFormat="false" ht="12.75" hidden="false" customHeight="false" outlineLevel="0" collapsed="false">
      <c r="A166" s="396" t="n">
        <f aca="false">IF(B165+0.01&lt;=T_ini+ROUNDUP(Temps_fin_propu,0), 0.01, IF(K165&gt;0, 0.1, 0.0001))</f>
        <v>0.01</v>
      </c>
      <c r="B166" s="397" t="n">
        <f aca="false">B165+pas</f>
        <v>1.62</v>
      </c>
      <c r="D166" s="396" t="n">
        <f aca="false">IF(AND(L165&lt;L_rampe,Poussee&lt;Poids*SIN(M165)),0,(-W165+Poussee)/m*COS(M165)-U165/m*SIN(M165))</f>
        <v>10.126244069303</v>
      </c>
      <c r="E166" s="398" t="n">
        <f aca="false">IF(AND(L165&lt;L_rampe,Poussee&lt;Poids*SIN(M165)),0,(-W165+Poussee)/m*SIN(M165)+U165/m*COS(M165)-Poids/m)</f>
        <v>40.1723787024906</v>
      </c>
      <c r="F166" s="397" t="n">
        <f aca="false">SQRT(acc_x^2+acc_z^2)</f>
        <v>41.4289853794106</v>
      </c>
      <c r="G166" s="396" t="n">
        <f aca="false">G165+acc_x*pas</f>
        <v>38.4704696519814</v>
      </c>
      <c r="H166" s="398" t="n">
        <f aca="false">H165+acc_z*pas</f>
        <v>189.789243209214</v>
      </c>
      <c r="I166" s="397" t="n">
        <f aca="false">SQRT(vit_x^2+vit_z^2)</f>
        <v>193.648996571555</v>
      </c>
      <c r="J166" s="396" t="n">
        <f aca="false">J165+0.5*(vit_x+G165)*pas*(K165&gt;=0)</f>
        <v>31.7727120096094</v>
      </c>
      <c r="K166" s="398" t="n">
        <f aca="false">K165+0.5*(vit_z+H165)*pas</f>
        <v>162.777336189554</v>
      </c>
      <c r="L166" s="397" t="n">
        <f aca="false">SQRT(pos_x^2+pos_z^2)</f>
        <v>165.849227931313</v>
      </c>
      <c r="M166" s="396" t="n">
        <f aca="false">IF(AND(L165&gt;L_rampe,G166&gt;0),ATAN2(G166,H166),$M$4)</f>
        <v>1.37080500435452</v>
      </c>
      <c r="N166" s="397" t="n">
        <f aca="false">DEGREES(Beta)</f>
        <v>78.5413412849262</v>
      </c>
      <c r="P166" s="399" t="n">
        <f aca="false">MATCH(t-pas/2-T_ini,CdP_t)</f>
        <v>16</v>
      </c>
      <c r="Q166" s="397" t="n">
        <f aca="false">(INDEX(CdP,2,i_P+1)-INDEX(CdP,2,i_P+0))/(INDEX(CdP,1,i_P+1)-INDEX(CdP,1,i_P+0))*(t-pas/2-T_ini-INDEX(CdP,1,i_P+0))+INDEX(CdP,2,i_P+0)</f>
        <v>600.89499999999</v>
      </c>
      <c r="R166" s="396" t="n">
        <f aca="false">Poussee/(g*ISP)</f>
        <v>0.29529887983087</v>
      </c>
      <c r="S166" s="398" t="n">
        <f aca="false">S165-Débit*pas</f>
        <v>8.46153975114837</v>
      </c>
      <c r="T166" s="397" t="n">
        <f aca="false">m*g</f>
        <v>83.0077049587655</v>
      </c>
      <c r="U166" s="400" t="n">
        <f aca="false">IF(pos_xz&lt;L_rampe,Poids*COS(Beta),0)</f>
        <v>0</v>
      </c>
      <c r="V166" s="396" t="n">
        <f aca="false">Rho_moyen*(20000-Alt_rampe-pos_z)/(20000+Alt_rampe+pos_z)</f>
        <v>1.20522075694162</v>
      </c>
      <c r="W166" s="397" t="n">
        <f aca="false">1/2*Rho*Sref*Cx*vit_xz^2</f>
        <v>170.068801599794</v>
      </c>
      <c r="Y166" s="401" t="str">
        <f aca="false">IF(AND(pos_z&lt;=0,K165&gt;0),"Impact balistique","") &amp; IF(AND(H167&lt;0,vit_z&gt;=0),"Apogée","") &amp; IF(AND(Poussee=0,Q165&gt;0),"Fin de propulsion","") &amp; IF(AND(L167&gt;L_rampe,pos_xz&lt;=L_rampe),"Sortie de rampe","")</f>
        <v/>
      </c>
      <c r="Z166" s="402" t="str">
        <f aca="false">IF(ABS(t-T_para)&lt;pas/2,"Para","")</f>
        <v/>
      </c>
      <c r="AA166" s="403" t="str">
        <f aca="false">IF(ABS(t-T_satellite)&lt;pas/2,"Satellite","")</f>
        <v/>
      </c>
      <c r="AC166" s="399" t="e">
        <f aca="false">IF(ABS(t-ROUND(t,0))&lt;0.001,t,NA())</f>
        <v>#N/A</v>
      </c>
      <c r="AD166" s="404" t="e">
        <f aca="false">IF(ABS(t-ROUND(t,0))&lt;0.001,pos_x,NA())</f>
        <v>#N/A</v>
      </c>
      <c r="AE166" s="405" t="n">
        <f aca="false">IF(t&lt;T_para, pos_z, NA())</f>
        <v>162.777336189554</v>
      </c>
      <c r="AG166" s="396" t="n">
        <f aca="false">IF(AND(L165&lt;L_rampe,Poussee&lt;Poids*SIN(M165)),0,(-W165+Poussee)/m-Poids*SIN(M165)/m)</f>
        <v>41.3831672586305</v>
      </c>
      <c r="AH166" s="397" t="n">
        <f aca="false">IF(AND(L165&lt;L_rampe,Poussee&lt;Poids*SIN(M165)), g*SIN(M165), (-W165+Poussee)/m)</f>
        <v>50.9978332844669</v>
      </c>
    </row>
    <row r="167" customFormat="false" ht="12.75" hidden="false" customHeight="false" outlineLevel="0" collapsed="false">
      <c r="A167" s="396" t="n">
        <f aca="false">IF(B166+0.01&lt;=T_ini+ROUNDUP(Temps_fin_propu,0), 0.01, IF(K166&gt;0, 0.1, 0.0001))</f>
        <v>0.01</v>
      </c>
      <c r="B167" s="397" t="n">
        <f aca="false">B166+pas</f>
        <v>1.63</v>
      </c>
      <c r="D167" s="396" t="n">
        <f aca="false">IF(AND(L166&lt;L_rampe,Poussee&lt;Poids*SIN(M166)),0,(-W166+Poussee)/m*COS(M166)-U166/m*SIN(M166))</f>
        <v>8.20328342663696</v>
      </c>
      <c r="E167" s="398" t="n">
        <f aca="false">IF(AND(L166&lt;L_rampe,Poussee&lt;Poids*SIN(M166)),0,(-W166+Poussee)/m*SIN(M166)+U166/m*COS(M166)-Poids/m)</f>
        <v>30.6598712403665</v>
      </c>
      <c r="F167" s="397" t="n">
        <f aca="false">SQRT(acc_x^2+acc_z^2)</f>
        <v>31.7383295630629</v>
      </c>
      <c r="G167" s="396" t="n">
        <f aca="false">G166+acc_x*pas</f>
        <v>38.5525024862478</v>
      </c>
      <c r="H167" s="398" t="n">
        <f aca="false">H166+acc_z*pas</f>
        <v>190.095841921618</v>
      </c>
      <c r="I167" s="397" t="n">
        <f aca="false">SQRT(vit_x^2+vit_z^2)</f>
        <v>193.965781940632</v>
      </c>
      <c r="J167" s="396" t="n">
        <f aca="false">J166+0.5*(vit_x+G166)*pas*(K166&gt;=0)</f>
        <v>32.1578268703005</v>
      </c>
      <c r="K167" s="398" t="n">
        <f aca="false">K166+0.5*(vit_z+H166)*pas</f>
        <v>164.676761615208</v>
      </c>
      <c r="L167" s="397" t="n">
        <f aca="false">SQRT(pos_x^2+pos_z^2)</f>
        <v>167.787251139925</v>
      </c>
      <c r="M167" s="396" t="n">
        <f aca="false">IF(AND(L166&gt;L_rampe,G167&gt;0),ATAN2(G167,H167),$M$4)</f>
        <v>1.370704529792</v>
      </c>
      <c r="N167" s="397" t="n">
        <f aca="false">DEGREES(Beta)</f>
        <v>78.5355845165457</v>
      </c>
      <c r="P167" s="399" t="n">
        <f aca="false">MATCH(t-pas/2-T_ini,CdP_t)</f>
        <v>17</v>
      </c>
      <c r="Q167" s="397" t="n">
        <f aca="false">(INDEX(CdP,2,i_P+1)-INDEX(CdP,2,i_P+0))/(INDEX(CdP,1,i_P+1)-INDEX(CdP,1,i_P+0))*(t-pas/2-T_ini-INDEX(CdP,1,i_P+0))+INDEX(CdP,2,i_P+0)</f>
        <v>519.36499999999</v>
      </c>
      <c r="R167" s="396" t="n">
        <f aca="false">Poussee/(g*ISP)</f>
        <v>0.255232449468476</v>
      </c>
      <c r="S167" s="398" t="n">
        <f aca="false">S166-Débit*pas</f>
        <v>8.45898742665368</v>
      </c>
      <c r="T167" s="397" t="n">
        <f aca="false">m*g</f>
        <v>82.9826666554726</v>
      </c>
      <c r="U167" s="400" t="n">
        <f aca="false">IF(pos_xz&lt;L_rampe,Poids*COS(Beta),0)</f>
        <v>0</v>
      </c>
      <c r="V167" s="396" t="n">
        <f aca="false">Rho_moyen*(20000-Alt_rampe-pos_z)/(20000+Alt_rampe+pos_z)</f>
        <v>1.20499184064655</v>
      </c>
      <c r="W167" s="397" t="n">
        <f aca="false">1/2*Rho*Sref*Cx*vit_xz^2</f>
        <v>170.593270828792</v>
      </c>
      <c r="Y167" s="401" t="str">
        <f aca="false">IF(AND(pos_z&lt;=0,K166&gt;0),"Impact balistique","") &amp; IF(AND(H168&lt;0,vit_z&gt;=0),"Apogée","") &amp; IF(AND(Poussee=0,Q166&gt;0),"Fin de propulsion","") &amp; IF(AND(L168&gt;L_rampe,pos_xz&lt;=L_rampe),"Sortie de rampe","")</f>
        <v/>
      </c>
      <c r="Z167" s="402" t="str">
        <f aca="false">IF(ABS(t-T_para)&lt;pas/2,"Para","")</f>
        <v/>
      </c>
      <c r="AA167" s="403" t="str">
        <f aca="false">IF(ABS(t-T_satellite)&lt;pas/2,"Satellite","")</f>
        <v/>
      </c>
      <c r="AC167" s="399" t="e">
        <f aca="false">IF(ABS(t-ROUND(t,0))&lt;0.001,t,NA())</f>
        <v>#N/A</v>
      </c>
      <c r="AD167" s="404" t="e">
        <f aca="false">IF(ABS(t-ROUND(t,0))&lt;0.001,pos_x,NA())</f>
        <v>#N/A</v>
      </c>
      <c r="AE167" s="405" t="n">
        <f aca="false">IF(t&lt;T_para, pos_z, NA())</f>
        <v>164.676761615208</v>
      </c>
      <c r="AG167" s="396" t="n">
        <f aca="false">IF(AND(L166&lt;L_rampe,Poussee&lt;Poids*SIN(M166)),0,(-W166+Poussee)/m-Poids*SIN(M166)/m)</f>
        <v>31.6784390021117</v>
      </c>
      <c r="AH167" s="397" t="n">
        <f aca="false">IF(AND(L166&lt;L_rampe,Poussee&lt;Poids*SIN(M166)), g*SIN(M166), (-W166+Poussee)/m)</f>
        <v>41.2929090424686</v>
      </c>
    </row>
    <row r="168" customFormat="false" ht="12.75" hidden="false" customHeight="false" outlineLevel="0" collapsed="false">
      <c r="A168" s="396" t="n">
        <f aca="false">IF(B167+0.01&lt;=T_ini+ROUNDUP(Temps_fin_propu,0), 0.01, IF(K167&gt;0, 0.1, 0.0001))</f>
        <v>0.01</v>
      </c>
      <c r="B168" s="397" t="n">
        <f aca="false">B167+pas</f>
        <v>1.64</v>
      </c>
      <c r="D168" s="396" t="n">
        <f aca="false">IF(AND(L167&lt;L_rampe,Poussee&lt;Poids*SIN(M167)),0,(-W167+Poussee)/m*COS(M167)-U167/m*SIN(M167))</f>
        <v>6.32606062974938</v>
      </c>
      <c r="E168" s="398" t="n">
        <f aca="false">IF(AND(L167&lt;L_rampe,Poussee&lt;Poids*SIN(M167)),0,(-W167+Poussee)/m*SIN(M167)+U167/m*COS(M167)-Poids/m)</f>
        <v>21.3827305338577</v>
      </c>
      <c r="F168" s="397" t="n">
        <f aca="false">SQRT(acc_x^2+acc_z^2)</f>
        <v>22.2988835634172</v>
      </c>
      <c r="G168" s="396" t="n">
        <f aca="false">G167+acc_x*pas</f>
        <v>38.6157630925453</v>
      </c>
      <c r="H168" s="398" t="n">
        <f aca="false">H167+acc_z*pas</f>
        <v>190.309669226956</v>
      </c>
      <c r="I168" s="397" t="n">
        <f aca="false">SQRT(vit_x^2+vit_z^2)</f>
        <v>194.187917648069</v>
      </c>
      <c r="J168" s="396" t="n">
        <f aca="false">J167+0.5*(vit_x+G167)*pas*(K167&gt;=0)</f>
        <v>32.5436681981945</v>
      </c>
      <c r="K168" s="398" t="n">
        <f aca="false">K167+0.5*(vit_z+H167)*pas</f>
        <v>166.578789170951</v>
      </c>
      <c r="L168" s="397" t="n">
        <f aca="false">SQRT(pos_x^2+pos_z^2)</f>
        <v>169.727968648229</v>
      </c>
      <c r="M168" s="396" t="n">
        <f aca="false">IF(AND(L167&gt;L_rampe,G168&gt;0),ATAN2(G168,H168),$M$4)</f>
        <v>1.37060412041887</v>
      </c>
      <c r="N168" s="397" t="n">
        <f aca="false">DEGREES(Beta)</f>
        <v>78.5298314832415</v>
      </c>
      <c r="P168" s="399" t="n">
        <f aca="false">MATCH(t-pas/2-T_ini,CdP_t)</f>
        <v>17</v>
      </c>
      <c r="Q168" s="397" t="n">
        <f aca="false">(INDEX(CdP,2,i_P+1)-INDEX(CdP,2,i_P+0))/(INDEX(CdP,1,i_P+1)-INDEX(CdP,1,i_P+0))*(t-pas/2-T_ini-INDEX(CdP,1,i_P+0))+INDEX(CdP,2,i_P+0)</f>
        <v>439.754999999989</v>
      </c>
      <c r="R168" s="396" t="n">
        <f aca="false">Poussee/(g*ISP)</f>
        <v>0.216109568061015</v>
      </c>
      <c r="S168" s="398" t="n">
        <f aca="false">S167-Débit*pas</f>
        <v>8.45682633097307</v>
      </c>
      <c r="T168" s="397" t="n">
        <f aca="false">m*g</f>
        <v>82.9614663068459</v>
      </c>
      <c r="U168" s="400" t="n">
        <f aca="false">IF(pos_xz&lt;L_rampe,Poids*COS(Beta),0)</f>
        <v>0</v>
      </c>
      <c r="V168" s="396" t="n">
        <f aca="false">Rho_moyen*(20000-Alt_rampe-pos_z)/(20000+Alt_rampe+pos_z)</f>
        <v>1.20476265395656</v>
      </c>
      <c r="W168" s="397" t="n">
        <f aca="false">1/2*Rho*Sref*Cx*vit_xz^2</f>
        <v>170.951711308467</v>
      </c>
      <c r="Y168" s="401" t="str">
        <f aca="false">IF(AND(pos_z&lt;=0,K167&gt;0),"Impact balistique","") &amp; IF(AND(H169&lt;0,vit_z&gt;=0),"Apogée","") &amp; IF(AND(Poussee=0,Q167&gt;0),"Fin de propulsion","") &amp; IF(AND(L169&gt;L_rampe,pos_xz&lt;=L_rampe),"Sortie de rampe","")</f>
        <v/>
      </c>
      <c r="Z168" s="402" t="str">
        <f aca="false">IF(ABS(t-T_para)&lt;pas/2,"Para","")</f>
        <v/>
      </c>
      <c r="AA168" s="403" t="str">
        <f aca="false">IF(ABS(t-T_satellite)&lt;pas/2,"Satellite","")</f>
        <v/>
      </c>
      <c r="AC168" s="399" t="e">
        <f aca="false">IF(ABS(t-ROUND(t,0))&lt;0.001,t,NA())</f>
        <v>#N/A</v>
      </c>
      <c r="AD168" s="404" t="e">
        <f aca="false">IF(ABS(t-ROUND(t,0))&lt;0.001,pos_x,NA())</f>
        <v>#N/A</v>
      </c>
      <c r="AE168" s="405" t="n">
        <f aca="false">IF(t&lt;T_para, pos_z, NA())</f>
        <v>166.578789170951</v>
      </c>
      <c r="AG168" s="396" t="n">
        <f aca="false">IF(AND(L167&lt;L_rampe,Poussee&lt;Poids*SIN(M167)),0,(-W167+Poussee)/m-Poids*SIN(M167)/m)</f>
        <v>22.2134728531247</v>
      </c>
      <c r="AH168" s="397" t="n">
        <f aca="false">IF(AND(L167&lt;L_rampe,Poussee&lt;Poids*SIN(M167)), g*SIN(M167), (-W167+Poussee)/m)</f>
        <v>31.8277470338245</v>
      </c>
    </row>
    <row r="169" customFormat="false" ht="12.75" hidden="false" customHeight="false" outlineLevel="0" collapsed="false">
      <c r="A169" s="396" t="n">
        <f aca="false">IF(B168+0.01&lt;=T_ini+ROUNDUP(Temps_fin_propu,0), 0.01, IF(K168&gt;0, 0.1, 0.0001))</f>
        <v>0.01</v>
      </c>
      <c r="B169" s="397" t="n">
        <f aca="false">B168+pas</f>
        <v>1.65</v>
      </c>
      <c r="D169" s="396" t="n">
        <f aca="false">IF(AND(L168&lt;L_rampe,Poussee&lt;Poids*SIN(M168)),0,(-W168+Poussee)/m*COS(M168)-U168/m*SIN(M168))</f>
        <v>4.9021005250654</v>
      </c>
      <c r="E169" s="398" t="n">
        <f aca="false">IF(AND(L168&lt;L_rampe,Poussee&lt;Poids*SIN(M168)),0,(-W168+Poussee)/m*SIN(M168)+U168/m*COS(M168)-Poids/m)</f>
        <v>14.3489717444321</v>
      </c>
      <c r="F169" s="397" t="n">
        <f aca="false">SQRT(acc_x^2+acc_z^2)</f>
        <v>15.1632311754572</v>
      </c>
      <c r="G169" s="396" t="n">
        <f aca="false">G168+acc_x*pas</f>
        <v>38.664784097796</v>
      </c>
      <c r="H169" s="398" t="n">
        <f aca="false">H168+acc_z*pas</f>
        <v>190.453158944401</v>
      </c>
      <c r="I169" s="397" t="n">
        <f aca="false">SQRT(vit_x^2+vit_z^2)</f>
        <v>194.338290826153</v>
      </c>
      <c r="J169" s="396" t="n">
        <f aca="false">J168+0.5*(vit_x+G168)*pas*(K168&gt;=0)</f>
        <v>32.9300709341462</v>
      </c>
      <c r="K169" s="398" t="n">
        <f aca="false">K168+0.5*(vit_z+H168)*pas</f>
        <v>168.482603311807</v>
      </c>
      <c r="L169" s="397" t="n">
        <f aca="false">SQRT(pos_x^2+pos_z^2)</f>
        <v>171.670548407267</v>
      </c>
      <c r="M169" s="396" t="n">
        <f aca="false">IF(AND(L168&gt;L_rampe,G169&gt;0),ATAN2(G169,H169),$M$4)</f>
        <v>1.37050373906565</v>
      </c>
      <c r="N169" s="397" t="n">
        <f aca="false">DEGREES(Beta)</f>
        <v>78.5240800553602</v>
      </c>
      <c r="P169" s="399" t="n">
        <f aca="false">MATCH(t-pas/2-T_ini,CdP_t)</f>
        <v>18</v>
      </c>
      <c r="Q169" s="397" t="n">
        <f aca="false">(INDEX(CdP,2,i_P+1)-INDEX(CdP,2,i_P+0))/(INDEX(CdP,1,i_P+1)-INDEX(CdP,1,i_P+0))*(t-pas/2-T_ini-INDEX(CdP,1,i_P+0))+INDEX(CdP,2,i_P+0)</f>
        <v>379.377499999994</v>
      </c>
      <c r="R169" s="396" t="n">
        <f aca="false">Poussee/(g*ISP)</f>
        <v>0.186438147734689</v>
      </c>
      <c r="S169" s="398" t="n">
        <f aca="false">S168-Débit*pas</f>
        <v>8.45496194949573</v>
      </c>
      <c r="T169" s="397" t="n">
        <f aca="false">m*g</f>
        <v>82.9431767245531</v>
      </c>
      <c r="U169" s="400" t="n">
        <f aca="false">IF(pos_xz&lt;L_rampe,Poids*COS(Beta),0)</f>
        <v>0</v>
      </c>
      <c r="V169" s="396" t="n">
        <f aca="false">Rho_moyen*(20000-Alt_rampe-pos_z)/(20000+Alt_rampe+pos_z)</f>
        <v>1.20453329527893</v>
      </c>
      <c r="W169" s="397" t="n">
        <f aca="false">1/2*Rho*Sref*Cx*vit_xz^2</f>
        <v>171.183977724325</v>
      </c>
      <c r="Y169" s="401" t="str">
        <f aca="false">IF(AND(pos_z&lt;=0,K168&gt;0),"Impact balistique","") &amp; IF(AND(H170&lt;0,vit_z&gt;=0),"Apogée","") &amp; IF(AND(Poussee=0,Q168&gt;0),"Fin de propulsion","") &amp; IF(AND(L170&gt;L_rampe,pos_xz&lt;=L_rampe),"Sortie de rampe","")</f>
        <v/>
      </c>
      <c r="Z169" s="402" t="str">
        <f aca="false">IF(ABS(t-T_para)&lt;pas/2,"Para","")</f>
        <v/>
      </c>
      <c r="AA169" s="403" t="str">
        <f aca="false">IF(ABS(t-T_satellite)&lt;pas/2,"Satellite","")</f>
        <v/>
      </c>
      <c r="AC169" s="399" t="e">
        <f aca="false">IF(ABS(t-ROUND(t,0))&lt;0.001,t,NA())</f>
        <v>#N/A</v>
      </c>
      <c r="AD169" s="404" t="e">
        <f aca="false">IF(ABS(t-ROUND(t,0))&lt;0.001,pos_x,NA())</f>
        <v>#N/A</v>
      </c>
      <c r="AE169" s="405" t="n">
        <f aca="false">IF(t&lt;T_para, pos_z, NA())</f>
        <v>168.482603311807</v>
      </c>
      <c r="AG169" s="396" t="n">
        <f aca="false">IF(AND(L168&lt;L_rampe,Poussee&lt;Poids*SIN(M168)),0,(-W168+Poussee)/m-Poids*SIN(M168)/m)</f>
        <v>15.0372198967273</v>
      </c>
      <c r="AH169" s="397" t="n">
        <f aca="false">IF(AND(L168&lt;L_rampe,Poussee&lt;Poids*SIN(M168)), g*SIN(M168), (-W168+Poussee)/m)</f>
        <v>24.6512982478837</v>
      </c>
    </row>
    <row r="170" customFormat="false" ht="12.75" hidden="false" customHeight="false" outlineLevel="0" collapsed="false">
      <c r="A170" s="396" t="n">
        <f aca="false">IF(B169+0.01&lt;=T_ini+ROUNDUP(Temps_fin_propu,0), 0.01, IF(K169&gt;0, 0.1, 0.0001))</f>
        <v>0.01</v>
      </c>
      <c r="B170" s="397" t="n">
        <f aca="false">B169+pas</f>
        <v>1.66</v>
      </c>
      <c r="D170" s="396" t="n">
        <f aca="false">IF(AND(L169&lt;L_rampe,Poussee&lt;Poids*SIN(M169)),0,(-W169+Poussee)/m*COS(M169)-U169/m*SIN(M169))</f>
        <v>3.93163849599366</v>
      </c>
      <c r="E170" s="398" t="n">
        <f aca="false">IF(AND(L169&lt;L_rampe,Poussee&lt;Poids*SIN(M169)),0,(-W169+Poussee)/m*SIN(M169)+U169/m*COS(M169)-Poids/m)</f>
        <v>9.55627835540117</v>
      </c>
      <c r="F170" s="397" t="n">
        <f aca="false">SQRT(acc_x^2+acc_z^2)</f>
        <v>10.3334523402921</v>
      </c>
      <c r="G170" s="396" t="n">
        <f aca="false">G169+acc_x*pas</f>
        <v>38.7041004827559</v>
      </c>
      <c r="H170" s="398" t="n">
        <f aca="false">H169+acc_z*pas</f>
        <v>190.548721727955</v>
      </c>
      <c r="I170" s="397" t="n">
        <f aca="false">SQRT(vit_x^2+vit_z^2)</f>
        <v>194.439766370814</v>
      </c>
      <c r="J170" s="396" t="n">
        <f aca="false">J169+0.5*(vit_x+G169)*pas*(K169&gt;=0)</f>
        <v>33.3169153570489</v>
      </c>
      <c r="K170" s="398" t="n">
        <f aca="false">K169+0.5*(vit_z+H169)*pas</f>
        <v>170.387612715169</v>
      </c>
      <c r="L170" s="397" t="n">
        <f aca="false">SQRT(pos_x^2+pos_z^2)</f>
        <v>173.614387121814</v>
      </c>
      <c r="M170" s="396" t="n">
        <f aca="false">IF(AND(L169&gt;L_rampe,G170&gt;0),ATAN2(G170,H170),$M$4)</f>
        <v>1.37040336046705</v>
      </c>
      <c r="N170" s="397" t="n">
        <f aca="false">DEGREES(Beta)</f>
        <v>78.5183287853073</v>
      </c>
      <c r="P170" s="399" t="n">
        <f aca="false">MATCH(t-pas/2-T_ini,CdP_t)</f>
        <v>18</v>
      </c>
      <c r="Q170" s="397" t="n">
        <f aca="false">(INDEX(CdP,2,i_P+1)-INDEX(CdP,2,i_P+0))/(INDEX(CdP,1,i_P+1)-INDEX(CdP,1,i_P+0))*(t-pas/2-T_ini-INDEX(CdP,1,i_P+0))+INDEX(CdP,2,i_P+0)</f>
        <v>338.232499999994</v>
      </c>
      <c r="R170" s="396" t="n">
        <f aca="false">Poussee/(g*ISP)</f>
        <v>0.166218188489495</v>
      </c>
      <c r="S170" s="398" t="n">
        <f aca="false">S169-Débit*pas</f>
        <v>8.45329976761083</v>
      </c>
      <c r="T170" s="397" t="n">
        <f aca="false">m*g</f>
        <v>82.9268707202623</v>
      </c>
      <c r="U170" s="400" t="n">
        <f aca="false">IF(pos_xz&lt;L_rampe,Poids*COS(Beta),0)</f>
        <v>0</v>
      </c>
      <c r="V170" s="396" t="n">
        <f aca="false">Rho_moyen*(20000-Alt_rampe-pos_z)/(20000+Alt_rampe+pos_z)</f>
        <v>1.2043038359417</v>
      </c>
      <c r="W170" s="397" t="n">
        <f aca="false">1/2*Rho*Sref*Cx*vit_xz^2</f>
        <v>171.330151000431</v>
      </c>
      <c r="Y170" s="401" t="str">
        <f aca="false">IF(AND(pos_z&lt;=0,K169&gt;0),"Impact balistique","") &amp; IF(AND(H171&lt;0,vit_z&gt;=0),"Apogée","") &amp; IF(AND(Poussee=0,Q169&gt;0),"Fin de propulsion","") &amp; IF(AND(L171&gt;L_rampe,pos_xz&lt;=L_rampe),"Sortie de rampe","")</f>
        <v/>
      </c>
      <c r="Z170" s="402" t="str">
        <f aca="false">IF(ABS(t-T_para)&lt;pas/2,"Para","")</f>
        <v/>
      </c>
      <c r="AA170" s="403" t="str">
        <f aca="false">IF(ABS(t-T_satellite)&lt;pas/2,"Satellite","")</f>
        <v/>
      </c>
      <c r="AC170" s="399" t="e">
        <f aca="false">IF(ABS(t-ROUND(t,0))&lt;0.001,t,NA())</f>
        <v>#N/A</v>
      </c>
      <c r="AD170" s="404" t="e">
        <f aca="false">IF(ABS(t-ROUND(t,0))&lt;0.001,pos_x,NA())</f>
        <v>#N/A</v>
      </c>
      <c r="AE170" s="405" t="n">
        <f aca="false">IF(t&lt;T_para, pos_z, NA())</f>
        <v>170.387612715169</v>
      </c>
      <c r="AG170" s="396" t="n">
        <f aca="false">IF(AND(L169&lt;L_rampe,Poussee&lt;Poids*SIN(M169)),0,(-W169+Poussee)/m-Poids*SIN(M169)/m)</f>
        <v>10.1474565087147</v>
      </c>
      <c r="AH170" s="397" t="n">
        <f aca="false">IF(AND(L169&lt;L_rampe,Poussee&lt;Poids*SIN(M169)), g*SIN(M169), (-W169+Poussee)/m)</f>
        <v>19.7613389880863</v>
      </c>
    </row>
    <row r="171" customFormat="false" ht="12.75" hidden="false" customHeight="false" outlineLevel="0" collapsed="false">
      <c r="A171" s="396" t="n">
        <f aca="false">IF(B170+0.01&lt;=T_ini+ROUNDUP(Temps_fin_propu,0), 0.01, IF(K170&gt;0, 0.1, 0.0001))</f>
        <v>0.01</v>
      </c>
      <c r="B171" s="397" t="n">
        <f aca="false">B170+pas</f>
        <v>1.67</v>
      </c>
      <c r="D171" s="396" t="n">
        <f aca="false">IF(AND(L170&lt;L_rampe,Poussee&lt;Poids*SIN(M170)),0,(-W170+Poussee)/m*COS(M170)-U170/m*SIN(M170))</f>
        <v>2.61750031885143</v>
      </c>
      <c r="E171" s="398" t="n">
        <f aca="false">IF(AND(L170&lt;L_rampe,Poussee&lt;Poids*SIN(M170)),0,(-W170+Poussee)/m*SIN(M170)+U170/m*COS(M170)-Poids/m)</f>
        <v>3.07652451958859</v>
      </c>
      <c r="F171" s="397" t="n">
        <f aca="false">SQRT(acc_x^2+acc_z^2)</f>
        <v>4.03934537255941</v>
      </c>
      <c r="G171" s="396" t="n">
        <f aca="false">G170+acc_x*pas</f>
        <v>38.7302754859444</v>
      </c>
      <c r="H171" s="398" t="n">
        <f aca="false">H170+acc_z*pas</f>
        <v>190.579486973151</v>
      </c>
      <c r="I171" s="397" t="n">
        <f aca="false">SQRT(vit_x^2+vit_z^2)</f>
        <v>194.4751271864</v>
      </c>
      <c r="J171" s="396" t="n">
        <f aca="false">J170+0.5*(vit_x+G170)*pas*(K170&gt;=0)</f>
        <v>33.7040872368924</v>
      </c>
      <c r="K171" s="398" t="n">
        <f aca="false">K170+0.5*(vit_z+H170)*pas</f>
        <v>172.293253758675</v>
      </c>
      <c r="L171" s="397" t="n">
        <f aca="false">SQRT(pos_x^2+pos_z^2)</f>
        <v>175.558909734662</v>
      </c>
      <c r="M171" s="396" t="n">
        <f aca="false">IF(AND(L170&gt;L_rampe,G171&gt;0),ATAN2(G171,H171),$M$4)</f>
        <v>1.37030295049831</v>
      </c>
      <c r="N171" s="397" t="n">
        <f aca="false">DEGREES(Beta)</f>
        <v>78.5125757178775</v>
      </c>
      <c r="P171" s="399" t="n">
        <f aca="false">MATCH(t-pas/2-T_ini,CdP_t)</f>
        <v>19</v>
      </c>
      <c r="Q171" s="397" t="n">
        <f aca="false">(INDEX(CdP,2,i_P+1)-INDEX(CdP,2,i_P+0))/(INDEX(CdP,1,i_P+1)-INDEX(CdP,1,i_P+0))*(t-pas/2-T_ini-INDEX(CdP,1,i_P+0))+INDEX(CdP,2,i_P+0)</f>
        <v>282.46999999999</v>
      </c>
      <c r="R171" s="396" t="n">
        <f aca="false">Poussee/(g*ISP)</f>
        <v>0.138814725677239</v>
      </c>
      <c r="S171" s="398" t="n">
        <f aca="false">S170-Débit*pas</f>
        <v>8.45191162035406</v>
      </c>
      <c r="T171" s="397" t="n">
        <f aca="false">m*g</f>
        <v>82.9132529956733</v>
      </c>
      <c r="U171" s="400" t="n">
        <f aca="false">IF(pos_xz&lt;L_rampe,Poids*COS(Beta),0)</f>
        <v>0</v>
      </c>
      <c r="V171" s="396" t="n">
        <f aca="false">Rho_moyen*(20000-Alt_rampe-pos_z)/(20000+Alt_rampe+pos_z)</f>
        <v>1.20407434388353</v>
      </c>
      <c r="W171" s="397" t="n">
        <f aca="false">1/2*Rho*Sref*Cx*vit_xz^2</f>
        <v>171.359812330659</v>
      </c>
      <c r="Y171" s="401" t="str">
        <f aca="false">IF(AND(pos_z&lt;=0,K170&gt;0),"Impact balistique","") &amp; IF(AND(H172&lt;0,vit_z&gt;=0),"Apogée","") &amp; IF(AND(Poussee=0,Q170&gt;0),"Fin de propulsion","") &amp; IF(AND(L172&gt;L_rampe,pos_xz&lt;=L_rampe),"Sortie de rampe","")</f>
        <v/>
      </c>
      <c r="Z171" s="402" t="str">
        <f aca="false">IF(ABS(t-T_para)&lt;pas/2,"Para","")</f>
        <v/>
      </c>
      <c r="AA171" s="403" t="str">
        <f aca="false">IF(ABS(t-T_satellite)&lt;pas/2,"Satellite","")</f>
        <v/>
      </c>
      <c r="AC171" s="399" t="e">
        <f aca="false">IF(ABS(t-ROUND(t,0))&lt;0.001,t,NA())</f>
        <v>#N/A</v>
      </c>
      <c r="AD171" s="404" t="e">
        <f aca="false">IF(ABS(t-ROUND(t,0))&lt;0.001,pos_x,NA())</f>
        <v>#N/A</v>
      </c>
      <c r="AE171" s="405" t="n">
        <f aca="false">IF(t&lt;T_para, pos_z, NA())</f>
        <v>172.293253758675</v>
      </c>
      <c r="AG171" s="396" t="n">
        <f aca="false">IF(AND(L170&lt;L_rampe,Poussee&lt;Poids*SIN(M170)),0,(-W170+Poussee)/m-Poids*SIN(M170)/m)</f>
        <v>3.53598352209288</v>
      </c>
      <c r="AH171" s="397" t="n">
        <f aca="false">IF(AND(L170&lt;L_rampe,Poussee&lt;Poids*SIN(M170)), g*SIN(M170), (-W170+Poussee)/m)</f>
        <v>13.1496700381852</v>
      </c>
    </row>
    <row r="172" customFormat="false" ht="12.75" hidden="false" customHeight="false" outlineLevel="0" collapsed="false">
      <c r="A172" s="396" t="n">
        <f aca="false">IF(B171+0.01&lt;=T_ini+ROUNDUP(Temps_fin_propu,0), 0.01, IF(K171&gt;0, 0.1, 0.0001))</f>
        <v>0.01</v>
      </c>
      <c r="B172" s="397" t="n">
        <f aca="false">B171+pas</f>
        <v>1.68</v>
      </c>
      <c r="D172" s="396" t="n">
        <f aca="false">IF(AND(L171&lt;L_rampe,Poussee&lt;Poids*SIN(M171)),0,(-W171+Poussee)/m*COS(M171)-U171/m*SIN(M171))</f>
        <v>1.20906343143944</v>
      </c>
      <c r="E172" s="398" t="n">
        <f aca="false">IF(AND(L171&lt;L_rampe,Poussee&lt;Poids*SIN(M171)),0,(-W171+Poussee)/m*SIN(M171)+U171/m*COS(M171)-Poids/m)</f>
        <v>-3.86057966692365</v>
      </c>
      <c r="F172" s="397" t="n">
        <f aca="false">SQRT(acc_x^2+acc_z^2)</f>
        <v>4.04548016258991</v>
      </c>
      <c r="G172" s="396" t="n">
        <f aca="false">G171+acc_x*pas</f>
        <v>38.7423661202588</v>
      </c>
      <c r="H172" s="398" t="n">
        <f aca="false">H171+acc_z*pas</f>
        <v>190.540881176481</v>
      </c>
      <c r="I172" s="397" t="n">
        <f aca="false">SQRT(vit_x^2+vit_z^2)</f>
        <v>194.439703589843</v>
      </c>
      <c r="J172" s="396" t="n">
        <f aca="false">J171+0.5*(vit_x+G171)*pas*(K171&gt;=0)</f>
        <v>34.0914504449235</v>
      </c>
      <c r="K172" s="398" t="n">
        <f aca="false">K171+0.5*(vit_z+H171)*pas</f>
        <v>174.198855599423</v>
      </c>
      <c r="L172" s="397" t="n">
        <f aca="false">SQRT(pos_x^2+pos_z^2)</f>
        <v>177.503431757212</v>
      </c>
      <c r="M172" s="396" t="n">
        <f aca="false">IF(AND(L171&gt;L_rampe,G172&gt;0),ATAN2(G172,H172),$M$4)</f>
        <v>1.37020247259137</v>
      </c>
      <c r="N172" s="397" t="n">
        <f aca="false">DEGREES(Beta)</f>
        <v>78.5068187578756</v>
      </c>
      <c r="P172" s="399" t="n">
        <f aca="false">MATCH(t-pas/2-T_ini,CdP_t)</f>
        <v>20</v>
      </c>
      <c r="Q172" s="397" t="n">
        <f aca="false">(INDEX(CdP,2,i_P+1)-INDEX(CdP,2,i_P+0))/(INDEX(CdP,1,i_P+1)-INDEX(CdP,1,i_P+0))*(t-pas/2-T_ini-INDEX(CdP,1,i_P+0))+INDEX(CdP,2,i_P+0)</f>
        <v>222.664999999993</v>
      </c>
      <c r="R172" s="396" t="n">
        <f aca="false">Poussee/(g*ISP)</f>
        <v>0.109424650026277</v>
      </c>
      <c r="S172" s="398" t="n">
        <f aca="false">S171-Débit*pas</f>
        <v>8.4508173738538</v>
      </c>
      <c r="T172" s="397" t="n">
        <f aca="false">m*g</f>
        <v>82.9025184375058</v>
      </c>
      <c r="U172" s="400" t="n">
        <f aca="false">IF(pos_xz&lt;L_rampe,Poids*COS(Beta),0)</f>
        <v>0</v>
      </c>
      <c r="V172" s="396" t="n">
        <f aca="false">Rho_moyen*(20000-Alt_rampe-pos_z)/(20000+Alt_rampe+pos_z)</f>
        <v>1.20384489990044</v>
      </c>
      <c r="W172" s="397" t="n">
        <f aca="false">1/2*Rho*Sref*Cx*vit_xz^2</f>
        <v>171.264749919235</v>
      </c>
      <c r="Y172" s="401" t="str">
        <f aca="false">IF(AND(pos_z&lt;=0,K171&gt;0),"Impact balistique","") &amp; IF(AND(H173&lt;0,vit_z&gt;=0),"Apogée","") &amp; IF(AND(Poussee=0,Q171&gt;0),"Fin de propulsion","") &amp; IF(AND(L173&gt;L_rampe,pos_xz&lt;=L_rampe),"Sortie de rampe","")</f>
        <v/>
      </c>
      <c r="Z172" s="402" t="str">
        <f aca="false">IF(ABS(t-T_para)&lt;pas/2,"Para","")</f>
        <v/>
      </c>
      <c r="AA172" s="403" t="str">
        <f aca="false">IF(ABS(t-T_satellite)&lt;pas/2,"Satellite","")</f>
        <v/>
      </c>
      <c r="AC172" s="399" t="e">
        <f aca="false">IF(ABS(t-ROUND(t,0))&lt;0.001,t,NA())</f>
        <v>#N/A</v>
      </c>
      <c r="AD172" s="404" t="e">
        <f aca="false">IF(ABS(t-ROUND(t,0))&lt;0.001,pos_x,NA())</f>
        <v>#N/A</v>
      </c>
      <c r="AE172" s="405" t="n">
        <f aca="false">IF(t&lt;T_para, pos_z, NA())</f>
        <v>174.198855599423</v>
      </c>
      <c r="AG172" s="396" t="n">
        <f aca="false">IF(AND(L171&lt;L_rampe,Poussee&lt;Poids*SIN(M171)),0,(-W171+Poussee)/m-Poids*SIN(M171)/m)</f>
        <v>-3.54245780696336</v>
      </c>
      <c r="AH172" s="397" t="n">
        <f aca="false">IF(AND(L171&lt;L_rampe,Poussee&lt;Poids*SIN(M171)), g*SIN(M171), (-W171+Poussee)/m)</f>
        <v>6.07103258769597</v>
      </c>
    </row>
    <row r="173" customFormat="false" ht="12.75" hidden="false" customHeight="false" outlineLevel="0" collapsed="false">
      <c r="A173" s="396" t="n">
        <f aca="false">IF(B172+0.01&lt;=T_ini+ROUNDUP(Temps_fin_propu,0), 0.01, IF(K172&gt;0, 0.1, 0.0001))</f>
        <v>0.01</v>
      </c>
      <c r="B173" s="397" t="n">
        <f aca="false">B172+pas</f>
        <v>1.69</v>
      </c>
      <c r="D173" s="396" t="n">
        <f aca="false">IF(AND(L172&lt;L_rampe,Poussee&lt;Poids*SIN(M172)),0,(-W172+Poussee)/m*COS(M172)-U172/m*SIN(M172))</f>
        <v>-0.90992992235293</v>
      </c>
      <c r="E173" s="398" t="n">
        <f aca="false">IF(AND(L172&lt;L_rampe,Poussee&lt;Poids*SIN(M172)),0,(-W172+Poussee)/m*SIN(M172)+U172/m*COS(M172)-Poids/m)</f>
        <v>-14.2851745073028</v>
      </c>
      <c r="F173" s="397" t="n">
        <f aca="false">SQRT(acc_x^2+acc_z^2)</f>
        <v>14.3141253022211</v>
      </c>
      <c r="G173" s="396" t="n">
        <f aca="false">G172+acc_x*pas</f>
        <v>38.7332668210353</v>
      </c>
      <c r="H173" s="398" t="n">
        <f aca="false">H172+acc_z*pas</f>
        <v>190.398029431408</v>
      </c>
      <c r="I173" s="397" t="n">
        <f aca="false">SQRT(vit_x^2+vit_z^2)</f>
        <v>194.297904183223</v>
      </c>
      <c r="J173" s="396" t="n">
        <f aca="false">J172+0.5*(vit_x+G172)*pas*(K172&gt;=0)</f>
        <v>34.4788286096299</v>
      </c>
      <c r="K173" s="398" t="n">
        <f aca="false">K172+0.5*(vit_z+H172)*pas</f>
        <v>176.103550152462</v>
      </c>
      <c r="L173" s="397" t="n">
        <f aca="false">SQRT(pos_x^2+pos_z^2)</f>
        <v>179.44706740037</v>
      </c>
      <c r="M173" s="396" t="n">
        <f aca="false">IF(AND(L172&gt;L_rampe,G173&gt;0),ATAN2(G173,H173),$M$4)</f>
        <v>1.3701018716412</v>
      </c>
      <c r="N173" s="397" t="n">
        <f aca="false">DEGREES(Beta)</f>
        <v>78.5010547480155</v>
      </c>
      <c r="P173" s="399" t="n">
        <f aca="false">MATCH(t-pas/2-T_ini,CdP_t)</f>
        <v>21</v>
      </c>
      <c r="Q173" s="397" t="n">
        <f aca="false">(INDEX(CdP,2,i_P+1)-INDEX(CdP,2,i_P+0))/(INDEX(CdP,1,i_P+1)-INDEX(CdP,1,i_P+0))*(t-pas/2-T_ini-INDEX(CdP,1,i_P+0))+INDEX(CdP,2,i_P+0)</f>
        <v>132.674999999981</v>
      </c>
      <c r="R173" s="396" t="n">
        <f aca="false">Poussee/(g*ISP)</f>
        <v>0.0652007070811969</v>
      </c>
      <c r="S173" s="398" t="n">
        <f aca="false">S172-Débit*pas</f>
        <v>8.45016536678299</v>
      </c>
      <c r="T173" s="397" t="n">
        <f aca="false">m*g</f>
        <v>82.8961222481411</v>
      </c>
      <c r="U173" s="400" t="n">
        <f aca="false">IF(pos_xz&lt;L_rampe,Poids*COS(Beta),0)</f>
        <v>0</v>
      </c>
      <c r="V173" s="396" t="n">
        <f aca="false">Rho_moyen*(20000-Alt_rampe-pos_z)/(20000+Alt_rampe+pos_z)</f>
        <v>1.20361560846964</v>
      </c>
      <c r="W173" s="397" t="n">
        <f aca="false">1/2*Rho*Sref*Cx*vit_xz^2</f>
        <v>170.982471336405</v>
      </c>
      <c r="Y173" s="401" t="str">
        <f aca="false">IF(AND(pos_z&lt;=0,K172&gt;0),"Impact balistique","") &amp; IF(AND(H174&lt;0,vit_z&gt;=0),"Apogée","") &amp; IF(AND(Poussee=0,Q172&gt;0),"Fin de propulsion","") &amp; IF(AND(L174&gt;L_rampe,pos_xz&lt;=L_rampe),"Sortie de rampe","")</f>
        <v/>
      </c>
      <c r="Z173" s="402" t="str">
        <f aca="false">IF(ABS(t-T_para)&lt;pas/2,"Para","")</f>
        <v/>
      </c>
      <c r="AA173" s="403" t="str">
        <f aca="false">IF(ABS(t-T_satellite)&lt;pas/2,"Satellite","")</f>
        <v/>
      </c>
      <c r="AC173" s="399" t="e">
        <f aca="false">IF(ABS(t-ROUND(t,0))&lt;0.001,t,NA())</f>
        <v>#N/A</v>
      </c>
      <c r="AD173" s="404" t="e">
        <f aca="false">IF(ABS(t-ROUND(t,0))&lt;0.001,pos_x,NA())</f>
        <v>#N/A</v>
      </c>
      <c r="AE173" s="405" t="n">
        <f aca="false">IF(t&lt;T_para, pos_z, NA())</f>
        <v>176.103550152462</v>
      </c>
      <c r="AG173" s="396" t="n">
        <f aca="false">IF(AND(L172&lt;L_rampe,Poussee&lt;Poids*SIN(M172)),0,(-W172+Poussee)/m-Poids*SIN(M172)/m)</f>
        <v>-14.1800389821253</v>
      </c>
      <c r="AH173" s="397" t="n">
        <f aca="false">IF(AND(L172&lt;L_rampe,Poussee&lt;Poids*SIN(M172)), g*SIN(M172), (-W172+Poussee)/m)</f>
        <v>-4.56674493861943</v>
      </c>
    </row>
    <row r="174" customFormat="false" ht="12.75" hidden="false" customHeight="false" outlineLevel="0" collapsed="false">
      <c r="A174" s="396" t="n">
        <f aca="false">IF(B173+0.01&lt;=T_ini+ROUNDUP(Temps_fin_propu,0), 0.01, IF(K173&gt;0, 0.1, 0.0001))</f>
        <v>0.01</v>
      </c>
      <c r="B174" s="397" t="n">
        <f aca="false">B173+pas</f>
        <v>1.7</v>
      </c>
      <c r="D174" s="396" t="n">
        <f aca="false">IF(AND(L173&lt;L_rampe,Poussee&lt;Poids*SIN(M173)),0,(-W173+Poussee)/m*COS(M173)-U173/m*SIN(M173))</f>
        <v>-3.23990695355466</v>
      </c>
      <c r="E174" s="398" t="n">
        <f aca="false">IF(AND(L173&lt;L_rampe,Poussee&lt;Poids*SIN(M173)),0,(-W173+Poussee)/m*SIN(M173)+U173/m*COS(M173)-Poids/m)</f>
        <v>-25.7361521200405</v>
      </c>
      <c r="F174" s="397" t="n">
        <f aca="false">SQRT(acc_x^2+acc_z^2)</f>
        <v>25.9392853219505</v>
      </c>
      <c r="G174" s="396" t="n">
        <f aca="false">G173+acc_x*pas</f>
        <v>38.7008677514997</v>
      </c>
      <c r="H174" s="398" t="n">
        <f aca="false">H173+acc_z*pas</f>
        <v>190.140667910208</v>
      </c>
      <c r="I174" s="397" t="n">
        <f aca="false">SQRT(vit_x^2+vit_z^2)</f>
        <v>194.039250560445</v>
      </c>
      <c r="J174" s="396" t="n">
        <f aca="false">J173+0.5*(vit_x+G173)*pas*(K173&gt;=0)</f>
        <v>34.8659992824926</v>
      </c>
      <c r="K174" s="398" t="n">
        <f aca="false">K173+0.5*(vit_z+H173)*pas</f>
        <v>178.00624363917</v>
      </c>
      <c r="L174" s="397" t="n">
        <f aca="false">SQRT(pos_x^2+pos_z^2)</f>
        <v>181.388700531468</v>
      </c>
      <c r="M174" s="396" t="n">
        <f aca="false">IF(AND(L173&gt;L_rampe,G174&gt;0),ATAN2(G174,H174),$M$4)</f>
        <v>1.37000108675006</v>
      </c>
      <c r="N174" s="397" t="n">
        <f aca="false">DEGREES(Beta)</f>
        <v>78.4952801991145</v>
      </c>
      <c r="P174" s="399" t="n">
        <f aca="false">MATCH(t-pas/2-T_ini,CdP_t)</f>
        <v>22</v>
      </c>
      <c r="Q174" s="397" t="n">
        <f aca="false">(INDEX(CdP,2,i_P+1)-INDEX(CdP,2,i_P+0))/(INDEX(CdP,1,i_P+1)-INDEX(CdP,1,i_P+0))*(t-pas/2-T_ini-INDEX(CdP,1,i_P+0))+INDEX(CdP,2,i_P+0)</f>
        <v>33.6499999999903</v>
      </c>
      <c r="R174" s="396" t="n">
        <f aca="false">Poussee/(g*ISP)</f>
        <v>0.0165366782987146</v>
      </c>
      <c r="S174" s="398" t="n">
        <f aca="false">S173-Débit*pas</f>
        <v>8.45</v>
      </c>
      <c r="T174" s="397" t="n">
        <f aca="false">m*g</f>
        <v>82.8945</v>
      </c>
      <c r="U174" s="400" t="n">
        <f aca="false">IF(pos_xz&lt;L_rampe,Poids*COS(Beta),0)</f>
        <v>0</v>
      </c>
      <c r="V174" s="396" t="n">
        <f aca="false">Rho_moyen*(20000-Alt_rampe-pos_z)/(20000+Alt_rampe+pos_z)</f>
        <v>1.20338660115127</v>
      </c>
      <c r="W174" s="397" t="n">
        <f aca="false">1/2*Rho*Sref*Cx*vit_xz^2</f>
        <v>170.495097506197</v>
      </c>
      <c r="Y174" s="401" t="str">
        <f aca="false">IF(AND(pos_z&lt;=0,K173&gt;0),"Impact balistique","") &amp; IF(AND(H175&lt;0,vit_z&gt;=0),"Apogée","") &amp; IF(AND(Poussee=0,Q173&gt;0),"Fin de propulsion","") &amp; IF(AND(L175&gt;L_rampe,pos_xz&lt;=L_rampe),"Sortie de rampe","")</f>
        <v/>
      </c>
      <c r="Z174" s="402" t="str">
        <f aca="false">IF(ABS(t-T_para)&lt;pas/2,"Para","")</f>
        <v/>
      </c>
      <c r="AA174" s="403" t="str">
        <f aca="false">IF(ABS(t-T_satellite)&lt;pas/2,"Satellite","")</f>
        <v/>
      </c>
      <c r="AC174" s="399" t="e">
        <f aca="false">IF(ABS(t-ROUND(t,0))&lt;0.001,t,NA())</f>
        <v>#N/A</v>
      </c>
      <c r="AD174" s="404" t="e">
        <f aca="false">IF(ABS(t-ROUND(t,0))&lt;0.001,pos_x,NA())</f>
        <v>#N/A</v>
      </c>
      <c r="AE174" s="405" t="n">
        <f aca="false">IF(t&lt;T_para, pos_z, NA())</f>
        <v>178.00624363917</v>
      </c>
      <c r="AG174" s="396" t="n">
        <f aca="false">IF(AND(L173&lt;L_rampe,Poussee&lt;Poids*SIN(M173)),0,(-W173+Poussee)/m-Poids*SIN(M173)/m)</f>
        <v>-25.8654608264373</v>
      </c>
      <c r="AH174" s="397" t="n">
        <f aca="false">IF(AND(L173&lt;L_rampe,Poussee&lt;Poids*SIN(M173)), g*SIN(M173), (-W173+Poussee)/m)</f>
        <v>-16.252363471765</v>
      </c>
    </row>
    <row r="175" customFormat="false" ht="12.75" hidden="false" customHeight="false" outlineLevel="0" collapsed="false">
      <c r="A175" s="396" t="n">
        <f aca="false">IF(B174+0.01&lt;=T_ini+ROUNDUP(Temps_fin_propu,0), 0.01, IF(K174&gt;0, 0.1, 0.0001))</f>
        <v>0.01</v>
      </c>
      <c r="B175" s="397" t="n">
        <f aca="false">B174+pas</f>
        <v>1.71</v>
      </c>
      <c r="D175" s="396" t="n">
        <f aca="false">IF(AND(L174&lt;L_rampe,Poussee&lt;Poids*SIN(M174)),0,(-W174+Poussee)/m*COS(M174)-U174/m*SIN(M174))</f>
        <v>-4.02426249304543</v>
      </c>
      <c r="E175" s="398" t="n">
        <f aca="false">IF(AND(L174&lt;L_rampe,Poussee&lt;Poids*SIN(M174)),0,(-W174+Poussee)/m*SIN(M174)+U174/m*COS(M174)-Poids/m)</f>
        <v>-29.581545258026</v>
      </c>
      <c r="F175" s="397" t="n">
        <f aca="false">SQRT(acc_x^2+acc_z^2)</f>
        <v>29.8540199716148</v>
      </c>
      <c r="G175" s="396" t="n">
        <f aca="false">G174+acc_x*pas</f>
        <v>38.6606251265693</v>
      </c>
      <c r="H175" s="398" t="n">
        <f aca="false">H174+acc_z*pas</f>
        <v>189.844852457628</v>
      </c>
      <c r="I175" s="397" t="n">
        <f aca="false">SQRT(vit_x^2+vit_z^2)</f>
        <v>193.741353200177</v>
      </c>
      <c r="J175" s="396" t="n">
        <f aca="false">J174+0.5*(vit_x+G174)*pas*(K174&gt;=0)</f>
        <v>35.2528067468829</v>
      </c>
      <c r="K175" s="398" t="n">
        <f aca="false">K174+0.5*(vit_z+H174)*pas</f>
        <v>179.90617124101</v>
      </c>
      <c r="L175" s="397" t="n">
        <f aca="false">SQRT(pos_x^2+pos_z^2)</f>
        <v>183.327550668558</v>
      </c>
      <c r="M175" s="396" t="n">
        <f aca="false">IF(AND(L174&gt;L_rampe,G175&gt;0),ATAN2(G175,H175),$M$4)</f>
        <v>1.36990009688459</v>
      </c>
      <c r="N175" s="397" t="n">
        <f aca="false">DEGREES(Beta)</f>
        <v>78.4894939060497</v>
      </c>
      <c r="P175" s="399" t="n">
        <f aca="false">MATCH(t-pas/2-T_ini,CdP_t)</f>
        <v>23</v>
      </c>
      <c r="Q175" s="397" t="n">
        <f aca="false">(INDEX(CdP,2,i_P+1)-INDEX(CdP,2,i_P+0))/(INDEX(CdP,1,i_P+1)-INDEX(CdP,1,i_P+0))*(t-pas/2-T_ini-INDEX(CdP,1,i_P+0))+INDEX(CdP,2,i_P+0)</f>
        <v>0</v>
      </c>
      <c r="R175" s="396" t="n">
        <f aca="false">Poussee/(g*ISP)</f>
        <v>0</v>
      </c>
      <c r="S175" s="398" t="n">
        <f aca="false">S174-Débit*pas</f>
        <v>8.45</v>
      </c>
      <c r="T175" s="397" t="n">
        <f aca="false">m*g</f>
        <v>82.8945</v>
      </c>
      <c r="U175" s="400" t="n">
        <f aca="false">IF(pos_xz&lt;L_rampe,Poids*COS(Beta),0)</f>
        <v>0</v>
      </c>
      <c r="V175" s="396" t="n">
        <f aca="false">Rho_moyen*(20000-Alt_rampe-pos_z)/(20000+Alt_rampe+pos_z)</f>
        <v>1.20315796982403</v>
      </c>
      <c r="W175" s="397" t="n">
        <f aca="false">1/2*Rho*Sref*Cx*vit_xz^2</f>
        <v>169.939703653492</v>
      </c>
      <c r="Y175" s="401" t="str">
        <f aca="false">IF(AND(pos_z&lt;=0,K174&gt;0),"Impact balistique","") &amp; IF(AND(H176&lt;0,vit_z&gt;=0),"Apogée","") &amp; IF(AND(Poussee=0,Q174&gt;0),"Fin de propulsion","") &amp; IF(AND(L176&gt;L_rampe,pos_xz&lt;=L_rampe),"Sortie de rampe","")</f>
        <v>Fin de propulsion</v>
      </c>
      <c r="Z175" s="402" t="str">
        <f aca="false">IF(ABS(t-T_para)&lt;pas/2,"Para","")</f>
        <v/>
      </c>
      <c r="AA175" s="403" t="str">
        <f aca="false">IF(ABS(t-T_satellite)&lt;pas/2,"Satellite","")</f>
        <v/>
      </c>
      <c r="AC175" s="399" t="e">
        <f aca="false">IF(ABS(t-ROUND(t,0))&lt;0.001,t,NA())</f>
        <v>#N/A</v>
      </c>
      <c r="AD175" s="404" t="e">
        <f aca="false">IF(ABS(t-ROUND(t,0))&lt;0.001,pos_x,NA())</f>
        <v>#N/A</v>
      </c>
      <c r="AE175" s="405" t="n">
        <f aca="false">IF(t&lt;T_para, pos_z, NA())</f>
        <v>179.90617124101</v>
      </c>
      <c r="AG175" s="396" t="n">
        <f aca="false">IF(AND(L174&lt;L_rampe,Poussee&lt;Poids*SIN(M174)),0,(-W174+Poussee)/m-Poids*SIN(M174)/m)</f>
        <v>-29.7898348247699</v>
      </c>
      <c r="AH175" s="397" t="n">
        <f aca="false">IF(AND(L174&lt;L_rampe,Poussee&lt;Poids*SIN(M174)), g*SIN(M174), (-W174+Poussee)/m)</f>
        <v>-20.176934616118</v>
      </c>
    </row>
    <row r="176" customFormat="false" ht="12.75" hidden="false" customHeight="false" outlineLevel="0" collapsed="false">
      <c r="A176" s="396" t="n">
        <f aca="false">IF(B175+0.01&lt;=T_ini+ROUNDUP(Temps_fin_propu,0), 0.01, IF(K175&gt;0, 0.1, 0.0001))</f>
        <v>0.01</v>
      </c>
      <c r="B176" s="397" t="n">
        <f aca="false">B175+pas</f>
        <v>1.72</v>
      </c>
      <c r="D176" s="396" t="n">
        <f aca="false">IF(AND(L175&lt;L_rampe,Poussee&lt;Poids*SIN(M175)),0,(-W175+Poussee)/m*COS(M175)-U175/m*SIN(M175))</f>
        <v>-4.01314351547329</v>
      </c>
      <c r="E176" s="398" t="n">
        <f aca="false">IF(AND(L175&lt;L_rampe,Poussee&lt;Poids*SIN(M175)),0,(-W175+Poussee)/m*SIN(M175)+U175/m*COS(M175)-Poids/m)</f>
        <v>-29.5167335588094</v>
      </c>
      <c r="F176" s="397" t="n">
        <f aca="false">SQRT(acc_x^2+acc_z^2)</f>
        <v>29.7883010737022</v>
      </c>
      <c r="G176" s="396" t="n">
        <f aca="false">G175+acc_x*pas</f>
        <v>38.6204936914146</v>
      </c>
      <c r="H176" s="398" t="n">
        <f aca="false">H175+acc_z*pas</f>
        <v>189.54968512204</v>
      </c>
      <c r="I176" s="397" t="n">
        <f aca="false">SQRT(vit_x^2+vit_z^2)</f>
        <v>193.444115089689</v>
      </c>
      <c r="J176" s="396" t="n">
        <f aca="false">J175+0.5*(vit_x+G175)*pas*(K175&gt;=0)</f>
        <v>35.6392123409729</v>
      </c>
      <c r="K176" s="398" t="n">
        <f aca="false">K175+0.5*(vit_z+H175)*pas</f>
        <v>181.803143928908</v>
      </c>
      <c r="L176" s="397" t="n">
        <f aca="false">SQRT(pos_x^2+pos_z^2)</f>
        <v>185.263424881222</v>
      </c>
      <c r="M176" s="396" t="n">
        <f aca="false">IF(AND(L175&gt;L_rampe,G176&gt;0),ATAN2(G176,H176),$M$4)</f>
        <v>1.36979890165753</v>
      </c>
      <c r="N176" s="397" t="n">
        <f aca="false">DEGREES(Beta)</f>
        <v>78.4836958466322</v>
      </c>
      <c r="P176" s="399" t="n">
        <f aca="false">MATCH(t-pas/2-T_ini,CdP_t)</f>
        <v>23</v>
      </c>
      <c r="Q176" s="397" t="n">
        <f aca="false">(INDEX(CdP,2,i_P+1)-INDEX(CdP,2,i_P+0))/(INDEX(CdP,1,i_P+1)-INDEX(CdP,1,i_P+0))*(t-pas/2-T_ini-INDEX(CdP,1,i_P+0))+INDEX(CdP,2,i_P+0)</f>
        <v>0</v>
      </c>
      <c r="R176" s="396" t="n">
        <f aca="false">Poussee/(g*ISP)</f>
        <v>0</v>
      </c>
      <c r="S176" s="398" t="n">
        <f aca="false">S175-Débit*pas</f>
        <v>8.45</v>
      </c>
      <c r="T176" s="397" t="n">
        <f aca="false">m*g</f>
        <v>82.8945</v>
      </c>
      <c r="U176" s="400" t="n">
        <f aca="false">IF(pos_xz&lt;L_rampe,Poids*COS(Beta),0)</f>
        <v>0</v>
      </c>
      <c r="V176" s="396" t="n">
        <f aca="false">Rho_moyen*(20000-Alt_rampe-pos_z)/(20000+Alt_rampe+pos_z)</f>
        <v>1.20292973702849</v>
      </c>
      <c r="W176" s="397" t="n">
        <f aca="false">1/2*Rho*Sref*Cx*vit_xz^2</f>
        <v>169.386522607491</v>
      </c>
      <c r="Y176" s="401" t="str">
        <f aca="false">IF(AND(pos_z&lt;=0,K175&gt;0),"Impact balistique","") &amp; IF(AND(H177&lt;0,vit_z&gt;=0),"Apogée","") &amp; IF(AND(Poussee=0,Q175&gt;0),"Fin de propulsion","") &amp; IF(AND(L177&gt;L_rampe,pos_xz&lt;=L_rampe),"Sortie de rampe","")</f>
        <v/>
      </c>
      <c r="Z176" s="402" t="str">
        <f aca="false">IF(ABS(t-T_para)&lt;pas/2,"Para","")</f>
        <v/>
      </c>
      <c r="AA176" s="403" t="str">
        <f aca="false">IF(ABS(t-T_satellite)&lt;pas/2,"Satellite","")</f>
        <v/>
      </c>
      <c r="AC176" s="399" t="e">
        <f aca="false">IF(ABS(t-ROUND(t,0))&lt;0.001,t,NA())</f>
        <v>#N/A</v>
      </c>
      <c r="AD176" s="404" t="e">
        <f aca="false">IF(ABS(t-ROUND(t,0))&lt;0.001,pos_x,NA())</f>
        <v>#N/A</v>
      </c>
      <c r="AE176" s="405" t="n">
        <f aca="false">IF(t&lt;T_para, pos_z, NA())</f>
        <v>181.803143928908</v>
      </c>
      <c r="AG176" s="396" t="n">
        <f aca="false">IF(AND(L175&lt;L_rampe,Poussee&lt;Poids*SIN(M175)),0,(-W175+Poussee)/m-Poids*SIN(M175)/m)</f>
        <v>-29.7239100966952</v>
      </c>
      <c r="AH176" s="397" t="n">
        <f aca="false">IF(AND(L175&lt;L_rampe,Poussee&lt;Poids*SIN(M175)), g*SIN(M175), (-W175+Poussee)/m)</f>
        <v>-20.1112075329576</v>
      </c>
    </row>
    <row r="177" customFormat="false" ht="12.75" hidden="false" customHeight="false" outlineLevel="0" collapsed="false">
      <c r="A177" s="396" t="n">
        <f aca="false">IF(B176+0.01&lt;=T_ini+ROUNDUP(Temps_fin_propu,0), 0.01, IF(K176&gt;0, 0.1, 0.0001))</f>
        <v>0.01</v>
      </c>
      <c r="B177" s="397" t="n">
        <f aca="false">B176+pas</f>
        <v>1.73</v>
      </c>
      <c r="D177" s="396" t="n">
        <f aca="false">IF(AND(L176&lt;L_rampe,Poussee&lt;Poids*SIN(M176)),0,(-W176+Poussee)/m*COS(M176)-U176/m*SIN(M176))</f>
        <v>-4.00206780374938</v>
      </c>
      <c r="E177" s="398" t="n">
        <f aca="false">IF(AND(L176&lt;L_rampe,Poussee&lt;Poids*SIN(M176)),0,(-W176+Poussee)/m*SIN(M176)+U176/m*COS(M176)-Poids/m)</f>
        <v>-29.452180084466</v>
      </c>
      <c r="F177" s="397" t="n">
        <f aca="false">SQRT(acc_x^2+acc_z^2)</f>
        <v>29.7228440502187</v>
      </c>
      <c r="G177" s="396" t="n">
        <f aca="false">G176+acc_x*pas</f>
        <v>38.5804730133771</v>
      </c>
      <c r="H177" s="398" t="n">
        <f aca="false">H176+acc_z*pas</f>
        <v>189.255163321195</v>
      </c>
      <c r="I177" s="397" t="n">
        <f aca="false">SQRT(vit_x^2+vit_z^2)</f>
        <v>193.147533615286</v>
      </c>
      <c r="J177" s="396" t="n">
        <f aca="false">J176+0.5*(vit_x+G176)*pas*(K176&gt;=0)</f>
        <v>36.0252171744968</v>
      </c>
      <c r="K177" s="398" t="n">
        <f aca="false">K176+0.5*(vit_z+H176)*pas</f>
        <v>183.697168171124</v>
      </c>
      <c r="L177" s="397" t="n">
        <f aca="false">SQRT(pos_x^2+pos_z^2)</f>
        <v>187.196329735815</v>
      </c>
      <c r="M177" s="396" t="n">
        <f aca="false">IF(AND(L176&gt;L_rampe,G177&gt;0),ATAN2(G177,H177),$M$4)</f>
        <v>1.36969750068036</v>
      </c>
      <c r="N177" s="397" t="n">
        <f aca="false">DEGREES(Beta)</f>
        <v>78.4778859986019</v>
      </c>
      <c r="P177" s="399" t="n">
        <f aca="false">MATCH(t-pas/2-T_ini,CdP_t)</f>
        <v>23</v>
      </c>
      <c r="Q177" s="397" t="n">
        <f aca="false">(INDEX(CdP,2,i_P+1)-INDEX(CdP,2,i_P+0))/(INDEX(CdP,1,i_P+1)-INDEX(CdP,1,i_P+0))*(t-pas/2-T_ini-INDEX(CdP,1,i_P+0))+INDEX(CdP,2,i_P+0)</f>
        <v>0</v>
      </c>
      <c r="R177" s="396" t="n">
        <f aca="false">Poussee/(g*ISP)</f>
        <v>0</v>
      </c>
      <c r="S177" s="398" t="n">
        <f aca="false">S176-Débit*pas</f>
        <v>8.45</v>
      </c>
      <c r="T177" s="397" t="n">
        <f aca="false">m*g</f>
        <v>82.8945</v>
      </c>
      <c r="U177" s="400" t="n">
        <f aca="false">IF(pos_xz&lt;L_rampe,Poids*COS(Beta),0)</f>
        <v>0</v>
      </c>
      <c r="V177" s="396" t="n">
        <f aca="false">Rho_moyen*(20000-Alt_rampe-pos_z)/(20000+Alt_rampe+pos_z)</f>
        <v>1.20270190177402</v>
      </c>
      <c r="W177" s="397" t="n">
        <f aca="false">1/2*Rho*Sref*Cx*vit_xz^2</f>
        <v>168.835542706547</v>
      </c>
      <c r="Y177" s="401" t="str">
        <f aca="false">IF(AND(pos_z&lt;=0,K176&gt;0),"Impact balistique","") &amp; IF(AND(H178&lt;0,vit_z&gt;=0),"Apogée","") &amp; IF(AND(Poussee=0,Q176&gt;0),"Fin de propulsion","") &amp; IF(AND(L178&gt;L_rampe,pos_xz&lt;=L_rampe),"Sortie de rampe","")</f>
        <v/>
      </c>
      <c r="Z177" s="402" t="str">
        <f aca="false">IF(ABS(t-T_para)&lt;pas/2,"Para","")</f>
        <v/>
      </c>
      <c r="AA177" s="403" t="str">
        <f aca="false">IF(ABS(t-T_satellite)&lt;pas/2,"Satellite","")</f>
        <v/>
      </c>
      <c r="AC177" s="399" t="e">
        <f aca="false">IF(ABS(t-ROUND(t,0))&lt;0.001,t,NA())</f>
        <v>#N/A</v>
      </c>
      <c r="AD177" s="404" t="e">
        <f aca="false">IF(ABS(t-ROUND(t,0))&lt;0.001,pos_x,NA())</f>
        <v>#N/A</v>
      </c>
      <c r="AE177" s="405" t="n">
        <f aca="false">IF(t&lt;T_para, pos_z, NA())</f>
        <v>183.697168171124</v>
      </c>
      <c r="AG177" s="396" t="n">
        <f aca="false">IF(AND(L176&lt;L_rampe,Poussee&lt;Poids*SIN(M176)),0,(-W176+Poussee)/m-Poids*SIN(M176)/m)</f>
        <v>-29.6582467389893</v>
      </c>
      <c r="AH177" s="397" t="n">
        <f aca="false">IF(AND(L176&lt;L_rampe,Poussee&lt;Poids*SIN(M176)), g*SIN(M176), (-W176+Poussee)/m)</f>
        <v>-20.0457423204131</v>
      </c>
    </row>
    <row r="178" customFormat="false" ht="12.75" hidden="false" customHeight="false" outlineLevel="0" collapsed="false">
      <c r="A178" s="396" t="n">
        <f aca="false">IF(B177+0.01&lt;=T_ini+ROUNDUP(Temps_fin_propu,0), 0.01, IF(K177&gt;0, 0.1, 0.0001))</f>
        <v>0.01</v>
      </c>
      <c r="B178" s="397" t="n">
        <f aca="false">B177+pas</f>
        <v>1.74</v>
      </c>
      <c r="D178" s="396" t="n">
        <f aca="false">IF(AND(L177&lt;L_rampe,Poussee&lt;Poids*SIN(M177)),0,(-W177+Poussee)/m*COS(M177)-U177/m*SIN(M177))</f>
        <v>-3.99103512832604</v>
      </c>
      <c r="E178" s="398" t="n">
        <f aca="false">IF(AND(L177&lt;L_rampe,Poussee&lt;Poids*SIN(M177)),0,(-W177+Poussee)/m*SIN(M177)+U177/m*COS(M177)-Poids/m)</f>
        <v>-29.3878834741108</v>
      </c>
      <c r="F178" s="397" t="n">
        <f aca="false">SQRT(acc_x^2+acc_z^2)</f>
        <v>29.6576475210601</v>
      </c>
      <c r="G178" s="396" t="n">
        <f aca="false">G177+acc_x*pas</f>
        <v>38.5405626620938</v>
      </c>
      <c r="H178" s="398" t="n">
        <f aca="false">H177+acc_z*pas</f>
        <v>188.961284486454</v>
      </c>
      <c r="I178" s="397" t="n">
        <f aca="false">SQRT(vit_x^2+vit_z^2)</f>
        <v>192.851606177085</v>
      </c>
      <c r="J178" s="396" t="n">
        <f aca="false">J177+0.5*(vit_x+G177)*pas*(K177&gt;=0)</f>
        <v>36.4108223528742</v>
      </c>
      <c r="K178" s="398" t="n">
        <f aca="false">K177+0.5*(vit_z+H177)*pas</f>
        <v>185.588250410162</v>
      </c>
      <c r="L178" s="397" t="n">
        <f aca="false">SQRT(pos_x^2+pos_z^2)</f>
        <v>189.126271772902</v>
      </c>
      <c r="M178" s="396" t="n">
        <f aca="false">IF(AND(L177&gt;L_rampe,G178&gt;0),ATAN2(G178,H178),$M$4)</f>
        <v>1.36959589356333</v>
      </c>
      <c r="N178" s="397" t="n">
        <f aca="false">DEGREES(Beta)</f>
        <v>78.4720643396273</v>
      </c>
      <c r="P178" s="399" t="n">
        <f aca="false">MATCH(t-pas/2-T_ini,CdP_t)</f>
        <v>23</v>
      </c>
      <c r="Q178" s="397" t="n">
        <f aca="false">(INDEX(CdP,2,i_P+1)-INDEX(CdP,2,i_P+0))/(INDEX(CdP,1,i_P+1)-INDEX(CdP,1,i_P+0))*(t-pas/2-T_ini-INDEX(CdP,1,i_P+0))+INDEX(CdP,2,i_P+0)</f>
        <v>0</v>
      </c>
      <c r="R178" s="396" t="n">
        <f aca="false">Poussee/(g*ISP)</f>
        <v>0</v>
      </c>
      <c r="S178" s="398" t="n">
        <f aca="false">S177-Débit*pas</f>
        <v>8.45</v>
      </c>
      <c r="T178" s="397" t="n">
        <f aca="false">m*g</f>
        <v>82.8945</v>
      </c>
      <c r="U178" s="400" t="n">
        <f aca="false">IF(pos_xz&lt;L_rampe,Poids*COS(Beta),0)</f>
        <v>0</v>
      </c>
      <c r="V178" s="396" t="n">
        <f aca="false">Rho_moyen*(20000-Alt_rampe-pos_z)/(20000+Alt_rampe+pos_z)</f>
        <v>1.20247446307414</v>
      </c>
      <c r="W178" s="397" t="n">
        <f aca="false">1/2*Rho*Sref*Cx*vit_xz^2</f>
        <v>168.28675236657</v>
      </c>
      <c r="Y178" s="401" t="str">
        <f aca="false">IF(AND(pos_z&lt;=0,K177&gt;0),"Impact balistique","") &amp; IF(AND(H179&lt;0,vit_z&gt;=0),"Apogée","") &amp; IF(AND(Poussee=0,Q177&gt;0),"Fin de propulsion","") &amp; IF(AND(L179&gt;L_rampe,pos_xz&lt;=L_rampe),"Sortie de rampe","")</f>
        <v/>
      </c>
      <c r="Z178" s="402" t="str">
        <f aca="false">IF(ABS(t-T_para)&lt;pas/2,"Para","")</f>
        <v/>
      </c>
      <c r="AA178" s="403" t="str">
        <f aca="false">IF(ABS(t-T_satellite)&lt;pas/2,"Satellite","")</f>
        <v/>
      </c>
      <c r="AC178" s="399" t="e">
        <f aca="false">IF(ABS(t-ROUND(t,0))&lt;0.001,t,NA())</f>
        <v>#N/A</v>
      </c>
      <c r="AD178" s="404" t="e">
        <f aca="false">IF(ABS(t-ROUND(t,0))&lt;0.001,pos_x,NA())</f>
        <v>#N/A</v>
      </c>
      <c r="AE178" s="405" t="n">
        <f aca="false">IF(t&lt;T_para, pos_z, NA())</f>
        <v>185.588250410162</v>
      </c>
      <c r="AG178" s="396" t="n">
        <f aca="false">IF(AND(L177&lt;L_rampe,Poussee&lt;Poids*SIN(M177)),0,(-W177+Poussee)/m-Poids*SIN(M177)/m)</f>
        <v>-29.5928433702171</v>
      </c>
      <c r="AH178" s="397" t="n">
        <f aca="false">IF(AND(L177&lt;L_rampe,Poussee&lt;Poids*SIN(M177)), g*SIN(M177), (-W177+Poussee)/m)</f>
        <v>-19.9805375984079</v>
      </c>
    </row>
    <row r="179" customFormat="false" ht="12.75" hidden="false" customHeight="false" outlineLevel="0" collapsed="false">
      <c r="A179" s="396" t="n">
        <f aca="false">IF(B178+0.01&lt;=T_ini+ROUNDUP(Temps_fin_propu,0), 0.01, IF(K178&gt;0, 0.1, 0.0001))</f>
        <v>0.01</v>
      </c>
      <c r="B179" s="397" t="n">
        <f aca="false">B178+pas</f>
        <v>1.75</v>
      </c>
      <c r="D179" s="396" t="n">
        <f aca="false">IF(AND(L178&lt;L_rampe,Poussee&lt;Poids*SIN(M178)),0,(-W178+Poussee)/m*COS(M178)-U178/m*SIN(M178))</f>
        <v>-3.98004526118084</v>
      </c>
      <c r="E179" s="398" t="n">
        <f aca="false">IF(AND(L178&lt;L_rampe,Poussee&lt;Poids*SIN(M178)),0,(-W178+Poussee)/m*SIN(M178)+U178/m*COS(M178)-Poids/m)</f>
        <v>-29.3238423759093</v>
      </c>
      <c r="F179" s="397" t="n">
        <f aca="false">SQRT(acc_x^2+acc_z^2)</f>
        <v>29.5927101153007</v>
      </c>
      <c r="G179" s="396" t="n">
        <f aca="false">G178+acc_x*pas</f>
        <v>38.500762209482</v>
      </c>
      <c r="H179" s="398" t="n">
        <f aca="false">H178+acc_z*pas</f>
        <v>188.668046062695</v>
      </c>
      <c r="I179" s="397" t="n">
        <f aca="false">SQRT(vit_x^2+vit_z^2)</f>
        <v>192.556330188925</v>
      </c>
      <c r="J179" s="396" t="n">
        <f aca="false">J178+0.5*(vit_x+G178)*pas*(K178&gt;=0)</f>
        <v>36.7960289772321</v>
      </c>
      <c r="K179" s="398" t="n">
        <f aca="false">K178+0.5*(vit_z+H178)*pas</f>
        <v>187.476397062908</v>
      </c>
      <c r="L179" s="397" t="n">
        <f aca="false">SQRT(pos_x^2+pos_z^2)</f>
        <v>191.053257507383</v>
      </c>
      <c r="M179" s="396" t="n">
        <f aca="false">IF(AND(L178&gt;L_rampe,G179&gt;0),ATAN2(G179,H179),$M$4)</f>
        <v>1.36949407991542</v>
      </c>
      <c r="N179" s="397" t="n">
        <f aca="false">DEGREES(Beta)</f>
        <v>78.4662308473052</v>
      </c>
      <c r="P179" s="399" t="n">
        <f aca="false">MATCH(t-pas/2-T_ini,CdP_t)</f>
        <v>23</v>
      </c>
      <c r="Q179" s="397" t="n">
        <f aca="false">(INDEX(CdP,2,i_P+1)-INDEX(CdP,2,i_P+0))/(INDEX(CdP,1,i_P+1)-INDEX(CdP,1,i_P+0))*(t-pas/2-T_ini-INDEX(CdP,1,i_P+0))+INDEX(CdP,2,i_P+0)</f>
        <v>0</v>
      </c>
      <c r="R179" s="396" t="n">
        <f aca="false">Poussee/(g*ISP)</f>
        <v>0</v>
      </c>
      <c r="S179" s="398" t="n">
        <f aca="false">S178-Débit*pas</f>
        <v>8.45</v>
      </c>
      <c r="T179" s="397" t="n">
        <f aca="false">m*g</f>
        <v>82.8945</v>
      </c>
      <c r="U179" s="400" t="n">
        <f aca="false">IF(pos_xz&lt;L_rampe,Poids*COS(Beta),0)</f>
        <v>0</v>
      </c>
      <c r="V179" s="396" t="n">
        <f aca="false">Rho_moyen*(20000-Alt_rampe-pos_z)/(20000+Alt_rampe+pos_z)</f>
        <v>1.20224741994641</v>
      </c>
      <c r="W179" s="397" t="n">
        <f aca="false">1/2*Rho*Sref*Cx*vit_xz^2</f>
        <v>167.740140080408</v>
      </c>
      <c r="Y179" s="401" t="str">
        <f aca="false">IF(AND(pos_z&lt;=0,K178&gt;0),"Impact balistique","") &amp; IF(AND(H180&lt;0,vit_z&gt;=0),"Apogée","") &amp; IF(AND(Poussee=0,Q178&gt;0),"Fin de propulsion","") &amp; IF(AND(L180&gt;L_rampe,pos_xz&lt;=L_rampe),"Sortie de rampe","")</f>
        <v/>
      </c>
      <c r="Z179" s="402" t="str">
        <f aca="false">IF(ABS(t-T_para)&lt;pas/2,"Para","")</f>
        <v/>
      </c>
      <c r="AA179" s="403" t="str">
        <f aca="false">IF(ABS(t-T_satellite)&lt;pas/2,"Satellite","")</f>
        <v/>
      </c>
      <c r="AC179" s="399" t="e">
        <f aca="false">IF(ABS(t-ROUND(t,0))&lt;0.001,t,NA())</f>
        <v>#N/A</v>
      </c>
      <c r="AD179" s="404" t="e">
        <f aca="false">IF(ABS(t-ROUND(t,0))&lt;0.001,pos_x,NA())</f>
        <v>#N/A</v>
      </c>
      <c r="AE179" s="405" t="n">
        <f aca="false">IF(t&lt;T_para, pos_z, NA())</f>
        <v>187.476397062908</v>
      </c>
      <c r="AG179" s="396" t="n">
        <f aca="false">IF(AND(L178&lt;L_rampe,Poussee&lt;Poids*SIN(M178)),0,(-W178+Poussee)/m-Poids*SIN(M178)/m)</f>
        <v>-29.5276986181165</v>
      </c>
      <c r="AH179" s="397" t="n">
        <f aca="false">IF(AND(L178&lt;L_rampe,Poussee&lt;Poids*SIN(M178)), g*SIN(M178), (-W178+Poussee)/m)</f>
        <v>-19.9155919960438</v>
      </c>
    </row>
    <row r="180" customFormat="false" ht="12.75" hidden="false" customHeight="false" outlineLevel="0" collapsed="false">
      <c r="A180" s="396" t="n">
        <f aca="false">IF(B179+0.01&lt;=T_ini+ROUNDUP(Temps_fin_propu,0), 0.01, IF(K179&gt;0, 0.1, 0.0001))</f>
        <v>0.01</v>
      </c>
      <c r="B180" s="397" t="n">
        <f aca="false">B179+pas</f>
        <v>1.76</v>
      </c>
      <c r="D180" s="396" t="n">
        <f aca="false">IF(AND(L179&lt;L_rampe,Poussee&lt;Poids*SIN(M179)),0,(-W179+Poussee)/m*COS(M179)-U179/m*SIN(M179))</f>
        <v>-3.96909797580439</v>
      </c>
      <c r="E180" s="398" t="n">
        <f aca="false">IF(AND(L179&lt;L_rampe,Poussee&lt;Poids*SIN(M179)),0,(-W179+Poussee)/m*SIN(M179)+U179/m*COS(M179)-Poids/m)</f>
        <v>-29.2600554470058</v>
      </c>
      <c r="F180" s="397" t="n">
        <f aca="false">SQRT(acc_x^2+acc_z^2)</f>
        <v>29.52803047112</v>
      </c>
      <c r="G180" s="396" t="n">
        <f aca="false">G179+acc_x*pas</f>
        <v>38.461071229724</v>
      </c>
      <c r="H180" s="398" t="n">
        <f aca="false">H179+acc_z*pas</f>
        <v>188.375445508225</v>
      </c>
      <c r="I180" s="397" t="n">
        <f aca="false">SQRT(vit_x^2+vit_z^2)</f>
        <v>192.261703078278</v>
      </c>
      <c r="J180" s="396" t="n">
        <f aca="false">J179+0.5*(vit_x+G179)*pas*(K179&gt;=0)</f>
        <v>37.1808381444281</v>
      </c>
      <c r="K180" s="398" t="n">
        <f aca="false">K179+0.5*(vit_z+H179)*pas</f>
        <v>189.361614520763</v>
      </c>
      <c r="L180" s="397" t="n">
        <f aca="false">SQRT(pos_x^2+pos_z^2)</f>
        <v>192.977293428611</v>
      </c>
      <c r="M180" s="396" t="n">
        <f aca="false">IF(AND(L179&gt;L_rampe,G180&gt;0),ATAN2(G180,H180),$M$4)</f>
        <v>1.36939205934436</v>
      </c>
      <c r="N180" s="397" t="n">
        <f aca="false">DEGREES(Beta)</f>
        <v>78.4603854991602</v>
      </c>
      <c r="P180" s="399" t="n">
        <f aca="false">MATCH(t-pas/2-T_ini,CdP_t)</f>
        <v>23</v>
      </c>
      <c r="Q180" s="397" t="n">
        <f aca="false">(INDEX(CdP,2,i_P+1)-INDEX(CdP,2,i_P+0))/(INDEX(CdP,1,i_P+1)-INDEX(CdP,1,i_P+0))*(t-pas/2-T_ini-INDEX(CdP,1,i_P+0))+INDEX(CdP,2,i_P+0)</f>
        <v>0</v>
      </c>
      <c r="R180" s="396" t="n">
        <f aca="false">Poussee/(g*ISP)</f>
        <v>0</v>
      </c>
      <c r="S180" s="398" t="n">
        <f aca="false">S179-Débit*pas</f>
        <v>8.45</v>
      </c>
      <c r="T180" s="397" t="n">
        <f aca="false">m*g</f>
        <v>82.8945</v>
      </c>
      <c r="U180" s="400" t="n">
        <f aca="false">IF(pos_xz&lt;L_rampe,Poids*COS(Beta),0)</f>
        <v>0</v>
      </c>
      <c r="V180" s="396" t="n">
        <f aca="false">Rho_moyen*(20000-Alt_rampe-pos_z)/(20000+Alt_rampe+pos_z)</f>
        <v>1.2020207714125</v>
      </c>
      <c r="W180" s="397" t="n">
        <f aca="false">1/2*Rho*Sref*Cx*vit_xz^2</f>
        <v>167.195694417234</v>
      </c>
      <c r="Y180" s="401" t="str">
        <f aca="false">IF(AND(pos_z&lt;=0,K179&gt;0),"Impact balistique","") &amp; IF(AND(H181&lt;0,vit_z&gt;=0),"Apogée","") &amp; IF(AND(Poussee=0,Q179&gt;0),"Fin de propulsion","") &amp; IF(AND(L181&gt;L_rampe,pos_xz&lt;=L_rampe),"Sortie de rampe","")</f>
        <v/>
      </c>
      <c r="Z180" s="402" t="str">
        <f aca="false">IF(ABS(t-T_para)&lt;pas/2,"Para","")</f>
        <v/>
      </c>
      <c r="AA180" s="403" t="str">
        <f aca="false">IF(ABS(t-T_satellite)&lt;pas/2,"Satellite","")</f>
        <v/>
      </c>
      <c r="AC180" s="399" t="e">
        <f aca="false">IF(ABS(t-ROUND(t,0))&lt;0.001,t,NA())</f>
        <v>#N/A</v>
      </c>
      <c r="AD180" s="404" t="e">
        <f aca="false">IF(ABS(t-ROUND(t,0))&lt;0.001,pos_x,NA())</f>
        <v>#N/A</v>
      </c>
      <c r="AE180" s="405" t="n">
        <f aca="false">IF(t&lt;T_para, pos_z, NA())</f>
        <v>189.361614520763</v>
      </c>
      <c r="AG180" s="396" t="n">
        <f aca="false">IF(AND(L179&lt;L_rampe,Poussee&lt;Poids*SIN(M179)),0,(-W179+Poussee)/m-Poids*SIN(M179)/m)</f>
        <v>-29.4628111195255</v>
      </c>
      <c r="AH180" s="397" t="n">
        <f aca="false">IF(AND(L179&lt;L_rampe,Poussee&lt;Poids*SIN(M179)), g*SIN(M179), (-W179+Poussee)/m)</f>
        <v>-19.8509041515276</v>
      </c>
    </row>
    <row r="181" customFormat="false" ht="12.75" hidden="false" customHeight="false" outlineLevel="0" collapsed="false">
      <c r="A181" s="396" t="n">
        <f aca="false">IF(B180+0.01&lt;=T_ini+ROUNDUP(Temps_fin_propu,0), 0.01, IF(K180&gt;0, 0.1, 0.0001))</f>
        <v>0.01</v>
      </c>
      <c r="B181" s="397" t="n">
        <f aca="false">B180+pas</f>
        <v>1.77</v>
      </c>
      <c r="D181" s="396" t="n">
        <f aca="false">IF(AND(L180&lt;L_rampe,Poussee&lt;Poids*SIN(M180)),0,(-W180+Poussee)/m*COS(M180)-U180/m*SIN(M180))</f>
        <v>-3.95819304718828</v>
      </c>
      <c r="E181" s="398" t="n">
        <f aca="false">IF(AND(L180&lt;L_rampe,Poussee&lt;Poids*SIN(M180)),0,(-W180+Poussee)/m*SIN(M180)+U180/m*COS(M180)-Poids/m)</f>
        <v>-29.1965213534512</v>
      </c>
      <c r="F181" s="397" t="n">
        <f aca="false">SQRT(acc_x^2+acc_z^2)</f>
        <v>29.4636072357296</v>
      </c>
      <c r="G181" s="396" t="n">
        <f aca="false">G180+acc_x*pas</f>
        <v>38.4214892992521</v>
      </c>
      <c r="H181" s="398" t="n">
        <f aca="false">H180+acc_z*pas</f>
        <v>188.08348029469</v>
      </c>
      <c r="I181" s="397" t="n">
        <f aca="false">SQRT(vit_x^2+vit_z^2)</f>
        <v>191.967722286158</v>
      </c>
      <c r="J181" s="396" t="n">
        <f aca="false">J180+0.5*(vit_x+G180)*pas*(K180&gt;=0)</f>
        <v>37.565250947073</v>
      </c>
      <c r="K181" s="398" t="n">
        <f aca="false">K180+0.5*(vit_z+H180)*pas</f>
        <v>191.243909149777</v>
      </c>
      <c r="L181" s="397" t="n">
        <f aca="false">SQRT(pos_x^2+pos_z^2)</f>
        <v>194.898386000513</v>
      </c>
      <c r="M181" s="396" t="n">
        <f aca="false">IF(AND(L180&gt;L_rampe,G181&gt;0),ATAN2(G181,H181),$M$4)</f>
        <v>1.36928983145664</v>
      </c>
      <c r="N181" s="397" t="n">
        <f aca="false">DEGREES(Beta)</f>
        <v>78.4545282726452</v>
      </c>
      <c r="P181" s="399" t="n">
        <f aca="false">MATCH(t-pas/2-T_ini,CdP_t)</f>
        <v>23</v>
      </c>
      <c r="Q181" s="397" t="n">
        <f aca="false">(INDEX(CdP,2,i_P+1)-INDEX(CdP,2,i_P+0))/(INDEX(CdP,1,i_P+1)-INDEX(CdP,1,i_P+0))*(t-pas/2-T_ini-INDEX(CdP,1,i_P+0))+INDEX(CdP,2,i_P+0)</f>
        <v>0</v>
      </c>
      <c r="R181" s="396" t="n">
        <f aca="false">Poussee/(g*ISP)</f>
        <v>0</v>
      </c>
      <c r="S181" s="398" t="n">
        <f aca="false">S180-Débit*pas</f>
        <v>8.45</v>
      </c>
      <c r="T181" s="397" t="n">
        <f aca="false">m*g</f>
        <v>82.8945</v>
      </c>
      <c r="U181" s="400" t="n">
        <f aca="false">IF(pos_xz&lt;L_rampe,Poids*COS(Beta),0)</f>
        <v>0</v>
      </c>
      <c r="V181" s="396" t="n">
        <f aca="false">Rho_moyen*(20000-Alt_rampe-pos_z)/(20000+Alt_rampe+pos_z)</f>
        <v>1.20179451649808</v>
      </c>
      <c r="W181" s="397" t="n">
        <f aca="false">1/2*Rho*Sref*Cx*vit_xz^2</f>
        <v>166.653404021934</v>
      </c>
      <c r="Y181" s="401" t="str">
        <f aca="false">IF(AND(pos_z&lt;=0,K180&gt;0),"Impact balistique","") &amp; IF(AND(H182&lt;0,vit_z&gt;=0),"Apogée","") &amp; IF(AND(Poussee=0,Q180&gt;0),"Fin de propulsion","") &amp; IF(AND(L182&gt;L_rampe,pos_xz&lt;=L_rampe),"Sortie de rampe","")</f>
        <v/>
      </c>
      <c r="Z181" s="402" t="str">
        <f aca="false">IF(ABS(t-T_para)&lt;pas/2,"Para","")</f>
        <v/>
      </c>
      <c r="AA181" s="403" t="str">
        <f aca="false">IF(ABS(t-T_satellite)&lt;pas/2,"Satellite","")</f>
        <v/>
      </c>
      <c r="AC181" s="399" t="e">
        <f aca="false">IF(ABS(t-ROUND(t,0))&lt;0.001,t,NA())</f>
        <v>#N/A</v>
      </c>
      <c r="AD181" s="404" t="e">
        <f aca="false">IF(ABS(t-ROUND(t,0))&lt;0.001,pos_x,NA())</f>
        <v>#N/A</v>
      </c>
      <c r="AE181" s="405" t="n">
        <f aca="false">IF(t&lt;T_para, pos_z, NA())</f>
        <v>191.243909149777</v>
      </c>
      <c r="AG181" s="396" t="n">
        <f aca="false">IF(AND(L180&lt;L_rampe,Poussee&lt;Poids*SIN(M180)),0,(-W180+Poussee)/m-Poids*SIN(M180)/m)</f>
        <v>-29.3981795203095</v>
      </c>
      <c r="AH181" s="397" t="n">
        <f aca="false">IF(AND(L180&lt;L_rampe,Poussee&lt;Poids*SIN(M180)), g*SIN(M180), (-W180+Poussee)/m)</f>
        <v>-19.7864727120987</v>
      </c>
    </row>
    <row r="182" customFormat="false" ht="12.75" hidden="false" customHeight="false" outlineLevel="0" collapsed="false">
      <c r="A182" s="396" t="n">
        <f aca="false">IF(B181+0.01&lt;=T_ini+ROUNDUP(Temps_fin_propu,0), 0.01, IF(K181&gt;0, 0.1, 0.0001))</f>
        <v>0.01</v>
      </c>
      <c r="B182" s="397" t="n">
        <f aca="false">B181+pas</f>
        <v>1.78</v>
      </c>
      <c r="D182" s="396" t="n">
        <f aca="false">IF(AND(L181&lt;L_rampe,Poussee&lt;Poids*SIN(M181)),0,(-W181+Poussee)/m*COS(M181)-U181/m*SIN(M181))</f>
        <v>-3.94733025181304</v>
      </c>
      <c r="E182" s="398" t="n">
        <f aca="false">IF(AND(L181&lt;L_rampe,Poussee&lt;Poids*SIN(M181)),0,(-W181+Poussee)/m*SIN(M181)+U181/m*COS(M181)-Poids/m)</f>
        <v>-29.1332387701318</v>
      </c>
      <c r="F182" s="397" t="n">
        <f aca="false">SQRT(acc_x^2+acc_z^2)</f>
        <v>29.3994390653017</v>
      </c>
      <c r="G182" s="396" t="n">
        <f aca="false">G181+acc_x*pas</f>
        <v>38.3820159967339</v>
      </c>
      <c r="H182" s="398" t="n">
        <f aca="false">H181+acc_z*pas</f>
        <v>187.792147906989</v>
      </c>
      <c r="I182" s="397" t="n">
        <f aca="false">SQRT(vit_x^2+vit_z^2)</f>
        <v>191.67438526703</v>
      </c>
      <c r="J182" s="396" t="n">
        <f aca="false">J181+0.5*(vit_x+G181)*pas*(K181&gt;=0)</f>
        <v>37.9492684735529</v>
      </c>
      <c r="K182" s="398" t="n">
        <f aca="false">K181+0.5*(vit_z+H181)*pas</f>
        <v>193.123287290786</v>
      </c>
      <c r="L182" s="397" t="n">
        <f aca="false">SQRT(pos_x^2+pos_z^2)</f>
        <v>196.816541661714</v>
      </c>
      <c r="M182" s="396" t="n">
        <f aca="false">IF(AND(L181&gt;L_rampe,G182&gt;0),ATAN2(G182,H182),$M$4)</f>
        <v>1.36918739585745</v>
      </c>
      <c r="N182" s="397" t="n">
        <f aca="false">DEGREES(Beta)</f>
        <v>78.4486591451401</v>
      </c>
      <c r="P182" s="399" t="n">
        <f aca="false">MATCH(t-pas/2-T_ini,CdP_t)</f>
        <v>23</v>
      </c>
      <c r="Q182" s="397" t="n">
        <f aca="false">(INDEX(CdP,2,i_P+1)-INDEX(CdP,2,i_P+0))/(INDEX(CdP,1,i_P+1)-INDEX(CdP,1,i_P+0))*(t-pas/2-T_ini-INDEX(CdP,1,i_P+0))+INDEX(CdP,2,i_P+0)</f>
        <v>0</v>
      </c>
      <c r="R182" s="396" t="n">
        <f aca="false">Poussee/(g*ISP)</f>
        <v>0</v>
      </c>
      <c r="S182" s="398" t="n">
        <f aca="false">S181-Débit*pas</f>
        <v>8.45</v>
      </c>
      <c r="T182" s="397" t="n">
        <f aca="false">m*g</f>
        <v>82.8945</v>
      </c>
      <c r="U182" s="400" t="n">
        <f aca="false">IF(pos_xz&lt;L_rampe,Poids*COS(Beta),0)</f>
        <v>0</v>
      </c>
      <c r="V182" s="396" t="n">
        <f aca="false">Rho_moyen*(20000-Alt_rampe-pos_z)/(20000+Alt_rampe+pos_z)</f>
        <v>1.20156865423289</v>
      </c>
      <c r="W182" s="397" t="n">
        <f aca="false">1/2*Rho*Sref*Cx*vit_xz^2</f>
        <v>166.113257614508</v>
      </c>
      <c r="Y182" s="401" t="str">
        <f aca="false">IF(AND(pos_z&lt;=0,K181&gt;0),"Impact balistique","") &amp; IF(AND(H183&lt;0,vit_z&gt;=0),"Apogée","") &amp; IF(AND(Poussee=0,Q181&gt;0),"Fin de propulsion","") &amp; IF(AND(L183&gt;L_rampe,pos_xz&lt;=L_rampe),"Sortie de rampe","")</f>
        <v/>
      </c>
      <c r="Z182" s="402" t="str">
        <f aca="false">IF(ABS(t-T_para)&lt;pas/2,"Para","")</f>
        <v/>
      </c>
      <c r="AA182" s="403" t="str">
        <f aca="false">IF(ABS(t-T_satellite)&lt;pas/2,"Satellite","")</f>
        <v/>
      </c>
      <c r="AC182" s="399" t="e">
        <f aca="false">IF(ABS(t-ROUND(t,0))&lt;0.001,t,NA())</f>
        <v>#N/A</v>
      </c>
      <c r="AD182" s="404" t="e">
        <f aca="false">IF(ABS(t-ROUND(t,0))&lt;0.001,pos_x,NA())</f>
        <v>#N/A</v>
      </c>
      <c r="AE182" s="405" t="n">
        <f aca="false">IF(t&lt;T_para, pos_z, NA())</f>
        <v>193.123287290786</v>
      </c>
      <c r="AG182" s="396" t="n">
        <f aca="false">IF(AND(L181&lt;L_rampe,Poussee&lt;Poids*SIN(M181)),0,(-W181+Poussee)/m-Poids*SIN(M181)/m)</f>
        <v>-29.3338024752887</v>
      </c>
      <c r="AH182" s="397" t="n">
        <f aca="false">IF(AND(L181&lt;L_rampe,Poussee&lt;Poids*SIN(M181)), g*SIN(M181), (-W181+Poussee)/m)</f>
        <v>-19.7222963339567</v>
      </c>
    </row>
    <row r="183" customFormat="false" ht="12.75" hidden="false" customHeight="false" outlineLevel="0" collapsed="false">
      <c r="A183" s="396" t="n">
        <f aca="false">IF(B182+0.01&lt;=T_ini+ROUNDUP(Temps_fin_propu,0), 0.01, IF(K182&gt;0, 0.1, 0.0001))</f>
        <v>0.01</v>
      </c>
      <c r="B183" s="397" t="n">
        <f aca="false">B182+pas</f>
        <v>1.79</v>
      </c>
      <c r="D183" s="396" t="n">
        <f aca="false">IF(AND(L182&lt;L_rampe,Poussee&lt;Poids*SIN(M182)),0,(-W182+Poussee)/m*COS(M182)-U182/m*SIN(M182))</f>
        <v>-3.93650936763635</v>
      </c>
      <c r="E183" s="398" t="n">
        <f aca="false">IF(AND(L182&lt;L_rampe,Poussee&lt;Poids*SIN(M182)),0,(-W182+Poussee)/m*SIN(M182)+U182/m*COS(M182)-Poids/m)</f>
        <v>-29.0702063806997</v>
      </c>
      <c r="F183" s="397" t="n">
        <f aca="false">SQRT(acc_x^2+acc_z^2)</f>
        <v>29.3355246248974</v>
      </c>
      <c r="G183" s="396" t="n">
        <f aca="false">G182+acc_x*pas</f>
        <v>38.3426509030576</v>
      </c>
      <c r="H183" s="398" t="n">
        <f aca="false">H182+acc_z*pas</f>
        <v>187.501445843182</v>
      </c>
      <c r="I183" s="397" t="n">
        <f aca="false">SQRT(vit_x^2+vit_z^2)</f>
        <v>191.381689488721</v>
      </c>
      <c r="J183" s="396" t="n">
        <f aca="false">J182+0.5*(vit_x+G182)*pas*(K182&gt;=0)</f>
        <v>38.3328918080519</v>
      </c>
      <c r="K183" s="398" t="n">
        <f aca="false">K182+0.5*(vit_z+H182)*pas</f>
        <v>194.999755259537</v>
      </c>
      <c r="L183" s="397" t="n">
        <f aca="false">SQRT(pos_x^2+pos_z^2)</f>
        <v>198.731766825656</v>
      </c>
      <c r="M183" s="396" t="n">
        <f aca="false">IF(AND(L182&gt;L_rampe,G183&gt;0),ATAN2(G183,H183),$M$4)</f>
        <v>1.36908475215075</v>
      </c>
      <c r="N183" s="397" t="n">
        <f aca="false">DEGREES(Beta)</f>
        <v>78.4427780939525</v>
      </c>
      <c r="P183" s="399" t="n">
        <f aca="false">MATCH(t-pas/2-T_ini,CdP_t)</f>
        <v>23</v>
      </c>
      <c r="Q183" s="397" t="n">
        <f aca="false">(INDEX(CdP,2,i_P+1)-INDEX(CdP,2,i_P+0))/(INDEX(CdP,1,i_P+1)-INDEX(CdP,1,i_P+0))*(t-pas/2-T_ini-INDEX(CdP,1,i_P+0))+INDEX(CdP,2,i_P+0)</f>
        <v>0</v>
      </c>
      <c r="R183" s="396" t="n">
        <f aca="false">Poussee/(g*ISP)</f>
        <v>0</v>
      </c>
      <c r="S183" s="398" t="n">
        <f aca="false">S182-Débit*pas</f>
        <v>8.45</v>
      </c>
      <c r="T183" s="397" t="n">
        <f aca="false">m*g</f>
        <v>82.8945</v>
      </c>
      <c r="U183" s="400" t="n">
        <f aca="false">IF(pos_xz&lt;L_rampe,Poids*COS(Beta),0)</f>
        <v>0</v>
      </c>
      <c r="V183" s="396" t="n">
        <f aca="false">Rho_moyen*(20000-Alt_rampe-pos_z)/(20000+Alt_rampe+pos_z)</f>
        <v>1.20134318365062</v>
      </c>
      <c r="W183" s="397" t="n">
        <f aca="false">1/2*Rho*Sref*Cx*vit_xz^2</f>
        <v>165.575243989469</v>
      </c>
      <c r="Y183" s="401" t="str">
        <f aca="false">IF(AND(pos_z&lt;=0,K182&gt;0),"Impact balistique","") &amp; IF(AND(H184&lt;0,vit_z&gt;=0),"Apogée","") &amp; IF(AND(Poussee=0,Q182&gt;0),"Fin de propulsion","") &amp; IF(AND(L184&gt;L_rampe,pos_xz&lt;=L_rampe),"Sortie de rampe","")</f>
        <v/>
      </c>
      <c r="Z183" s="402" t="str">
        <f aca="false">IF(ABS(t-T_para)&lt;pas/2,"Para","")</f>
        <v/>
      </c>
      <c r="AA183" s="403" t="str">
        <f aca="false">IF(ABS(t-T_satellite)&lt;pas/2,"Satellite","")</f>
        <v/>
      </c>
      <c r="AC183" s="399" t="e">
        <f aca="false">IF(ABS(t-ROUND(t,0))&lt;0.001,t,NA())</f>
        <v>#N/A</v>
      </c>
      <c r="AD183" s="404" t="e">
        <f aca="false">IF(ABS(t-ROUND(t,0))&lt;0.001,pos_x,NA())</f>
        <v>#N/A</v>
      </c>
      <c r="AE183" s="405" t="n">
        <f aca="false">IF(t&lt;T_para, pos_z, NA())</f>
        <v>194.999755259537</v>
      </c>
      <c r="AG183" s="396" t="n">
        <f aca="false">IF(AND(L182&lt;L_rampe,Poussee&lt;Poids*SIN(M182)),0,(-W182+Poussee)/m-Poids*SIN(M182)/m)</f>
        <v>-29.2696786481671</v>
      </c>
      <c r="AH183" s="397" t="n">
        <f aca="false">IF(AND(L182&lt;L_rampe,Poussee&lt;Poids*SIN(M182)), g*SIN(M182), (-W182+Poussee)/m)</f>
        <v>-19.6583736821903</v>
      </c>
    </row>
    <row r="184" customFormat="false" ht="12.75" hidden="false" customHeight="false" outlineLevel="0" collapsed="false">
      <c r="A184" s="396" t="n">
        <f aca="false">IF(B183+0.01&lt;=T_ini+ROUNDUP(Temps_fin_propu,0), 0.01, IF(K183&gt;0, 0.1, 0.0001))</f>
        <v>0.01</v>
      </c>
      <c r="B184" s="397" t="n">
        <f aca="false">B183+pas</f>
        <v>1.8</v>
      </c>
      <c r="D184" s="396" t="n">
        <f aca="false">IF(AND(L183&lt;L_rampe,Poussee&lt;Poids*SIN(M183)),0,(-W183+Poussee)/m*COS(M183)-U183/m*SIN(M183))</f>
        <v>-3.92573017408125</v>
      </c>
      <c r="E184" s="398" t="n">
        <f aca="false">IF(AND(L183&lt;L_rampe,Poussee&lt;Poids*SIN(M183)),0,(-W183+Poussee)/m*SIN(M183)+U183/m*COS(M183)-Poids/m)</f>
        <v>-29.0074228775022</v>
      </c>
      <c r="F184" s="397" t="n">
        <f aca="false">SQRT(acc_x^2+acc_z^2)</f>
        <v>29.2718625883959</v>
      </c>
      <c r="G184" s="396" t="n">
        <f aca="false">G183+acc_x*pas</f>
        <v>38.3033936013168</v>
      </c>
      <c r="H184" s="398" t="n">
        <f aca="false">H183+acc_z*pas</f>
        <v>187.211371614407</v>
      </c>
      <c r="I184" s="397" t="n">
        <f aca="false">SQRT(vit_x^2+vit_z^2)</f>
        <v>191.089632432335</v>
      </c>
      <c r="J184" s="396" t="n">
        <f aca="false">J183+0.5*(vit_x+G183)*pas*(K183&gt;=0)</f>
        <v>38.7161220305737</v>
      </c>
      <c r="K184" s="398" t="n">
        <f aca="false">K183+0.5*(vit_z+H183)*pas</f>
        <v>196.873319346825</v>
      </c>
      <c r="L184" s="397" t="n">
        <f aca="false">SQRT(pos_x^2+pos_z^2)</f>
        <v>200.64406788072</v>
      </c>
      <c r="M184" s="396" t="n">
        <f aca="false">IF(AND(L183&gt;L_rampe,G184&gt;0),ATAN2(G184,H184),$M$4)</f>
        <v>1.3689818999392</v>
      </c>
      <c r="N184" s="397" t="n">
        <f aca="false">DEGREES(Beta)</f>
        <v>78.4368850963171</v>
      </c>
      <c r="P184" s="399" t="n">
        <f aca="false">MATCH(t-pas/2-T_ini,CdP_t)</f>
        <v>23</v>
      </c>
      <c r="Q184" s="397" t="n">
        <f aca="false">(INDEX(CdP,2,i_P+1)-INDEX(CdP,2,i_P+0))/(INDEX(CdP,1,i_P+1)-INDEX(CdP,1,i_P+0))*(t-pas/2-T_ini-INDEX(CdP,1,i_P+0))+INDEX(CdP,2,i_P+0)</f>
        <v>0</v>
      </c>
      <c r="R184" s="396" t="n">
        <f aca="false">Poussee/(g*ISP)</f>
        <v>0</v>
      </c>
      <c r="S184" s="398" t="n">
        <f aca="false">S183-Débit*pas</f>
        <v>8.45</v>
      </c>
      <c r="T184" s="397" t="n">
        <f aca="false">m*g</f>
        <v>82.8945</v>
      </c>
      <c r="U184" s="400" t="n">
        <f aca="false">IF(pos_xz&lt;L_rampe,Poids*COS(Beta),0)</f>
        <v>0</v>
      </c>
      <c r="V184" s="396" t="n">
        <f aca="false">Rho_moyen*(20000-Alt_rampe-pos_z)/(20000+Alt_rampe+pos_z)</f>
        <v>1.20111810378898</v>
      </c>
      <c r="W184" s="397" t="n">
        <f aca="false">1/2*Rho*Sref*Cx*vit_xz^2</f>
        <v>165.039352015254</v>
      </c>
      <c r="Y184" s="401" t="str">
        <f aca="false">IF(AND(pos_z&lt;=0,K183&gt;0),"Impact balistique","") &amp; IF(AND(H185&lt;0,vit_z&gt;=0),"Apogée","") &amp; IF(AND(Poussee=0,Q183&gt;0),"Fin de propulsion","") &amp; IF(AND(L185&gt;L_rampe,pos_xz&lt;=L_rampe),"Sortie de rampe","")</f>
        <v/>
      </c>
      <c r="Z184" s="402" t="str">
        <f aca="false">IF(ABS(t-T_para)&lt;pas/2,"Para","")</f>
        <v/>
      </c>
      <c r="AA184" s="403" t="str">
        <f aca="false">IF(ABS(t-T_satellite)&lt;pas/2,"Satellite","")</f>
        <v/>
      </c>
      <c r="AC184" s="399" t="e">
        <f aca="false">IF(ABS(t-ROUND(t,0))&lt;0.001,t,NA())</f>
        <v>#N/A</v>
      </c>
      <c r="AD184" s="404" t="e">
        <f aca="false">IF(ABS(t-ROUND(t,0))&lt;0.001,pos_x,NA())</f>
        <v>#N/A</v>
      </c>
      <c r="AE184" s="405" t="n">
        <f aca="false">IF(t&lt;T_para, pos_z, NA())</f>
        <v>196.873319346825</v>
      </c>
      <c r="AG184" s="396" t="n">
        <f aca="false">IF(AND(L183&lt;L_rampe,Poussee&lt;Poids*SIN(M183)),0,(-W183+Poussee)/m-Poids*SIN(M183)/m)</f>
        <v>-29.2058067114621</v>
      </c>
      <c r="AH184" s="397" t="n">
        <f aca="false">IF(AND(L183&lt;L_rampe,Poussee&lt;Poids*SIN(M183)), g*SIN(M183), (-W183+Poussee)/m)</f>
        <v>-19.5947034307064</v>
      </c>
    </row>
    <row r="185" customFormat="false" ht="12.75" hidden="false" customHeight="false" outlineLevel="0" collapsed="false">
      <c r="A185" s="396" t="n">
        <f aca="false">IF(B184+0.01&lt;=T_ini+ROUNDUP(Temps_fin_propu,0), 0.01, IF(K184&gt;0, 0.1, 0.0001))</f>
        <v>0.01</v>
      </c>
      <c r="B185" s="397" t="n">
        <f aca="false">B184+pas</f>
        <v>1.81</v>
      </c>
      <c r="D185" s="396" t="n">
        <f aca="false">IF(AND(L184&lt;L_rampe,Poussee&lt;Poids*SIN(M184)),0,(-W184+Poussee)/m*COS(M184)-U184/m*SIN(M184))</f>
        <v>-3.91499245202449</v>
      </c>
      <c r="E185" s="398" t="n">
        <f aca="false">IF(AND(L184&lt;L_rampe,Poussee&lt;Poids*SIN(M184)),0,(-W184+Poussee)/m*SIN(M184)+U184/m*COS(M184)-Poids/m)</f>
        <v>-28.9448869615135</v>
      </c>
      <c r="F185" s="397" t="n">
        <f aca="false">SQRT(acc_x^2+acc_z^2)</f>
        <v>29.2084516384248</v>
      </c>
      <c r="G185" s="396" t="n">
        <f aca="false">G184+acc_x*pas</f>
        <v>38.2642436767965</v>
      </c>
      <c r="H185" s="398" t="n">
        <f aca="false">H184+acc_z*pas</f>
        <v>186.921922744792</v>
      </c>
      <c r="I185" s="397" t="n">
        <f aca="false">SQRT(vit_x^2+vit_z^2)</f>
        <v>190.798211592161</v>
      </c>
      <c r="J185" s="396" t="n">
        <f aca="false">J184+0.5*(vit_x+G184)*pas*(K184&gt;=0)</f>
        <v>39.0989602169643</v>
      </c>
      <c r="K185" s="398" t="n">
        <f aca="false">K184+0.5*(vit_z+H184)*pas</f>
        <v>198.743985818621</v>
      </c>
      <c r="L185" s="397" t="n">
        <f aca="false">SQRT(pos_x^2+pos_z^2)</f>
        <v>202.553451190346</v>
      </c>
      <c r="M185" s="396" t="n">
        <f aca="false">IF(AND(L184&gt;L_rampe,G185&gt;0),ATAN2(G185,H185),$M$4)</f>
        <v>1.36887883882419</v>
      </c>
      <c r="N185" s="397" t="n">
        <f aca="false">DEGREES(Beta)</f>
        <v>78.4309801293951</v>
      </c>
      <c r="P185" s="399" t="n">
        <f aca="false">MATCH(t-pas/2-T_ini,CdP_t)</f>
        <v>23</v>
      </c>
      <c r="Q185" s="397" t="n">
        <f aca="false">(INDEX(CdP,2,i_P+1)-INDEX(CdP,2,i_P+0))/(INDEX(CdP,1,i_P+1)-INDEX(CdP,1,i_P+0))*(t-pas/2-T_ini-INDEX(CdP,1,i_P+0))+INDEX(CdP,2,i_P+0)</f>
        <v>0</v>
      </c>
      <c r="R185" s="396" t="n">
        <f aca="false">Poussee/(g*ISP)</f>
        <v>0</v>
      </c>
      <c r="S185" s="398" t="n">
        <f aca="false">S184-Débit*pas</f>
        <v>8.45</v>
      </c>
      <c r="T185" s="397" t="n">
        <f aca="false">m*g</f>
        <v>82.8945</v>
      </c>
      <c r="U185" s="400" t="n">
        <f aca="false">IF(pos_xz&lt;L_rampe,Poids*COS(Beta),0)</f>
        <v>0</v>
      </c>
      <c r="V185" s="396" t="n">
        <f aca="false">Rho_moyen*(20000-Alt_rampe-pos_z)/(20000+Alt_rampe+pos_z)</f>
        <v>1.20089341368961</v>
      </c>
      <c r="W185" s="397" t="n">
        <f aca="false">1/2*Rho*Sref*Cx*vit_xz^2</f>
        <v>164.505570633634</v>
      </c>
      <c r="Y185" s="401" t="str">
        <f aca="false">IF(AND(pos_z&lt;=0,K184&gt;0),"Impact balistique","") &amp; IF(AND(H186&lt;0,vit_z&gt;=0),"Apogée","") &amp; IF(AND(Poussee=0,Q184&gt;0),"Fin de propulsion","") &amp; IF(AND(L186&gt;L_rampe,pos_xz&lt;=L_rampe),"Sortie de rampe","")</f>
        <v/>
      </c>
      <c r="Z185" s="402" t="str">
        <f aca="false">IF(ABS(t-T_para)&lt;pas/2,"Para","")</f>
        <v/>
      </c>
      <c r="AA185" s="403" t="str">
        <f aca="false">IF(ABS(t-T_satellite)&lt;pas/2,"Satellite","")</f>
        <v/>
      </c>
      <c r="AC185" s="399" t="e">
        <f aca="false">IF(ABS(t-ROUND(t,0))&lt;0.001,t,NA())</f>
        <v>#N/A</v>
      </c>
      <c r="AD185" s="404" t="e">
        <f aca="false">IF(ABS(t-ROUND(t,0))&lt;0.001,pos_x,NA())</f>
        <v>#N/A</v>
      </c>
      <c r="AE185" s="405" t="n">
        <f aca="false">IF(t&lt;T_para, pos_z, NA())</f>
        <v>198.743985818621</v>
      </c>
      <c r="AG185" s="396" t="n">
        <f aca="false">IF(AND(L184&lt;L_rampe,Poussee&lt;Poids*SIN(M184)),0,(-W184+Poussee)/m-Poids*SIN(M184)/m)</f>
        <v>-29.1421853464336</v>
      </c>
      <c r="AH185" s="397" t="n">
        <f aca="false">IF(AND(L184&lt;L_rampe,Poussee&lt;Poids*SIN(M184)), g*SIN(M184), (-W184+Poussee)/m)</f>
        <v>-19.5312842621602</v>
      </c>
    </row>
    <row r="186" customFormat="false" ht="12.75" hidden="false" customHeight="false" outlineLevel="0" collapsed="false">
      <c r="A186" s="396" t="n">
        <f aca="false">IF(B185+0.01&lt;=T_ini+ROUNDUP(Temps_fin_propu,0), 0.01, IF(K185&gt;0, 0.1, 0.0001))</f>
        <v>0.01</v>
      </c>
      <c r="B186" s="397" t="n">
        <f aca="false">B185+pas</f>
        <v>1.82</v>
      </c>
      <c r="D186" s="396" t="n">
        <f aca="false">IF(AND(L185&lt;L_rampe,Poussee&lt;Poids*SIN(M185)),0,(-W185+Poussee)/m*COS(M185)-U185/m*SIN(M185))</f>
        <v>-3.90429598378504</v>
      </c>
      <c r="E186" s="398" t="n">
        <f aca="false">IF(AND(L185&lt;L_rampe,Poussee&lt;Poids*SIN(M185)),0,(-W185+Poussee)/m*SIN(M185)+U185/m*COS(M185)-Poids/m)</f>
        <v>-28.8825973422655</v>
      </c>
      <c r="F186" s="397" t="n">
        <f aca="false">SQRT(acc_x^2+acc_z^2)</f>
        <v>29.1452904662905</v>
      </c>
      <c r="G186" s="396" t="n">
        <f aca="false">G185+acc_x*pas</f>
        <v>38.2252007169587</v>
      </c>
      <c r="H186" s="398" t="n">
        <f aca="false">H185+acc_z*pas</f>
        <v>186.633096771369</v>
      </c>
      <c r="I186" s="397" t="n">
        <f aca="false">SQRT(vit_x^2+vit_z^2)</f>
        <v>190.507424475591</v>
      </c>
      <c r="J186" s="396" t="n">
        <f aca="false">J185+0.5*(vit_x+G185)*pas*(K185&gt;=0)</f>
        <v>39.4814074389331</v>
      </c>
      <c r="K186" s="398" t="n">
        <f aca="false">K185+0.5*(vit_z+H185)*pas</f>
        <v>200.611760916201</v>
      </c>
      <c r="L186" s="397" t="n">
        <f aca="false">SQRT(pos_x^2+pos_z^2)</f>
        <v>204.459923093153</v>
      </c>
      <c r="M186" s="396" t="n">
        <f aca="false">IF(AND(L185&gt;L_rampe,G186&gt;0),ATAN2(G186,H186),$M$4)</f>
        <v>1.36877556840583</v>
      </c>
      <c r="N186" s="397" t="n">
        <f aca="false">DEGREES(Beta)</f>
        <v>78.4250631702746</v>
      </c>
      <c r="P186" s="399" t="n">
        <f aca="false">MATCH(t-pas/2-T_ini,CdP_t)</f>
        <v>23</v>
      </c>
      <c r="Q186" s="397" t="n">
        <f aca="false">(INDEX(CdP,2,i_P+1)-INDEX(CdP,2,i_P+0))/(INDEX(CdP,1,i_P+1)-INDEX(CdP,1,i_P+0))*(t-pas/2-T_ini-INDEX(CdP,1,i_P+0))+INDEX(CdP,2,i_P+0)</f>
        <v>0</v>
      </c>
      <c r="R186" s="396" t="n">
        <f aca="false">Poussee/(g*ISP)</f>
        <v>0</v>
      </c>
      <c r="S186" s="398" t="n">
        <f aca="false">S185-Débit*pas</f>
        <v>8.45</v>
      </c>
      <c r="T186" s="397" t="n">
        <f aca="false">m*g</f>
        <v>82.8945</v>
      </c>
      <c r="U186" s="400" t="n">
        <f aca="false">IF(pos_xz&lt;L_rampe,Poids*COS(Beta),0)</f>
        <v>0</v>
      </c>
      <c r="V186" s="396" t="n">
        <f aca="false">Rho_moyen*(20000-Alt_rampe-pos_z)/(20000+Alt_rampe+pos_z)</f>
        <v>1.20066911239809</v>
      </c>
      <c r="W186" s="397" t="n">
        <f aca="false">1/2*Rho*Sref*Cx*vit_xz^2</f>
        <v>163.973888859139</v>
      </c>
      <c r="Y186" s="401" t="str">
        <f aca="false">IF(AND(pos_z&lt;=0,K185&gt;0),"Impact balistique","") &amp; IF(AND(H187&lt;0,vit_z&gt;=0),"Apogée","") &amp; IF(AND(Poussee=0,Q185&gt;0),"Fin de propulsion","") &amp; IF(AND(L187&gt;L_rampe,pos_xz&lt;=L_rampe),"Sortie de rampe","")</f>
        <v/>
      </c>
      <c r="Z186" s="402" t="str">
        <f aca="false">IF(ABS(t-T_para)&lt;pas/2,"Para","")</f>
        <v/>
      </c>
      <c r="AA186" s="403" t="str">
        <f aca="false">IF(ABS(t-T_satellite)&lt;pas/2,"Satellite","")</f>
        <v/>
      </c>
      <c r="AC186" s="399" t="e">
        <f aca="false">IF(ABS(t-ROUND(t,0))&lt;0.001,t,NA())</f>
        <v>#N/A</v>
      </c>
      <c r="AD186" s="404" t="e">
        <f aca="false">IF(ABS(t-ROUND(t,0))&lt;0.001,pos_x,NA())</f>
        <v>#N/A</v>
      </c>
      <c r="AE186" s="405" t="n">
        <f aca="false">IF(t&lt;T_para, pos_z, NA())</f>
        <v>200.611760916201</v>
      </c>
      <c r="AG186" s="396" t="n">
        <f aca="false">IF(AND(L185&lt;L_rampe,Poussee&lt;Poids*SIN(M185)),0,(-W185+Poussee)/m-Poids*SIN(M185)/m)</f>
        <v>-29.0788132430153</v>
      </c>
      <c r="AH186" s="397" t="n">
        <f aca="false">IF(AND(L185&lt;L_rampe,Poussee&lt;Poids*SIN(M185)), g*SIN(M185), (-W185+Poussee)/m)</f>
        <v>-19.4681148678857</v>
      </c>
    </row>
    <row r="187" customFormat="false" ht="12.75" hidden="false" customHeight="false" outlineLevel="0" collapsed="false">
      <c r="A187" s="396" t="n">
        <f aca="false">IF(B186+0.01&lt;=T_ini+ROUNDUP(Temps_fin_propu,0), 0.01, IF(K186&gt;0, 0.1, 0.0001))</f>
        <v>0.01</v>
      </c>
      <c r="B187" s="397" t="n">
        <f aca="false">B186+pas</f>
        <v>1.83</v>
      </c>
      <c r="D187" s="396" t="n">
        <f aca="false">IF(AND(L186&lt;L_rampe,Poussee&lt;Poids*SIN(M186)),0,(-W186+Poussee)/m*COS(M186)-U186/m*SIN(M186))</f>
        <v>-3.89364055311262</v>
      </c>
      <c r="E187" s="398" t="n">
        <f aca="false">IF(AND(L186&lt;L_rampe,Poussee&lt;Poids*SIN(M186)),0,(-W186+Poussee)/m*SIN(M186)+U186/m*COS(M186)-Poids/m)</f>
        <v>-28.8205527377807</v>
      </c>
      <c r="F187" s="397" t="n">
        <f aca="false">SQRT(acc_x^2+acc_z^2)</f>
        <v>29.0823777719092</v>
      </c>
      <c r="G187" s="396" t="n">
        <f aca="false">G186+acc_x*pas</f>
        <v>38.1862643114275</v>
      </c>
      <c r="H187" s="398" t="n">
        <f aca="false">H186+acc_z*pas</f>
        <v>186.344891243991</v>
      </c>
      <c r="I187" s="397" t="n">
        <f aca="false">SQRT(vit_x^2+vit_z^2)</f>
        <v>190.21726860303</v>
      </c>
      <c r="J187" s="396" t="n">
        <f aca="false">J186+0.5*(vit_x+G186)*pas*(K186&gt;=0)</f>
        <v>39.863464764075</v>
      </c>
      <c r="K187" s="398" t="n">
        <f aca="false">K186+0.5*(vit_z+H186)*pas</f>
        <v>202.476650856278</v>
      </c>
      <c r="L187" s="397" t="n">
        <f aca="false">SQRT(pos_x^2+pos_z^2)</f>
        <v>206.363489903064</v>
      </c>
      <c r="M187" s="396" t="n">
        <f aca="false">IF(AND(L186&gt;L_rampe,G187&gt;0),ATAN2(G187,H187),$M$4)</f>
        <v>1.36867208828295</v>
      </c>
      <c r="N187" s="397" t="n">
        <f aca="false">DEGREES(Beta)</f>
        <v>78.4191341959698</v>
      </c>
      <c r="P187" s="399" t="n">
        <f aca="false">MATCH(t-pas/2-T_ini,CdP_t)</f>
        <v>23</v>
      </c>
      <c r="Q187" s="397" t="n">
        <f aca="false">(INDEX(CdP,2,i_P+1)-INDEX(CdP,2,i_P+0))/(INDEX(CdP,1,i_P+1)-INDEX(CdP,1,i_P+0))*(t-pas/2-T_ini-INDEX(CdP,1,i_P+0))+INDEX(CdP,2,i_P+0)</f>
        <v>0</v>
      </c>
      <c r="R187" s="396" t="n">
        <f aca="false">Poussee/(g*ISP)</f>
        <v>0</v>
      </c>
      <c r="S187" s="398" t="n">
        <f aca="false">S186-Débit*pas</f>
        <v>8.45</v>
      </c>
      <c r="T187" s="397" t="n">
        <f aca="false">m*g</f>
        <v>82.8945</v>
      </c>
      <c r="U187" s="400" t="n">
        <f aca="false">IF(pos_xz&lt;L_rampe,Poids*COS(Beta),0)</f>
        <v>0</v>
      </c>
      <c r="V187" s="396" t="n">
        <f aca="false">Rho_moyen*(20000-Alt_rampe-pos_z)/(20000+Alt_rampe+pos_z)</f>
        <v>1.20044519896392</v>
      </c>
      <c r="W187" s="397" t="n">
        <f aca="false">1/2*Rho*Sref*Cx*vit_xz^2</f>
        <v>163.444295778475</v>
      </c>
      <c r="Y187" s="401" t="str">
        <f aca="false">IF(AND(pos_z&lt;=0,K186&gt;0),"Impact balistique","") &amp; IF(AND(H188&lt;0,vit_z&gt;=0),"Apogée","") &amp; IF(AND(Poussee=0,Q186&gt;0),"Fin de propulsion","") &amp; IF(AND(L188&gt;L_rampe,pos_xz&lt;=L_rampe),"Sortie de rampe","")</f>
        <v/>
      </c>
      <c r="Z187" s="402" t="str">
        <f aca="false">IF(ABS(t-T_para)&lt;pas/2,"Para","")</f>
        <v/>
      </c>
      <c r="AA187" s="403" t="str">
        <f aca="false">IF(ABS(t-T_satellite)&lt;pas/2,"Satellite","")</f>
        <v/>
      </c>
      <c r="AC187" s="399" t="e">
        <f aca="false">IF(ABS(t-ROUND(t,0))&lt;0.001,t,NA())</f>
        <v>#N/A</v>
      </c>
      <c r="AD187" s="404" t="e">
        <f aca="false">IF(ABS(t-ROUND(t,0))&lt;0.001,pos_x,NA())</f>
        <v>#N/A</v>
      </c>
      <c r="AE187" s="405" t="n">
        <f aca="false">IF(t&lt;T_para, pos_z, NA())</f>
        <v>202.476650856278</v>
      </c>
      <c r="AG187" s="396" t="n">
        <f aca="false">IF(AND(L186&lt;L_rampe,Poussee&lt;Poids*SIN(M186)),0,(-W186+Poussee)/m-Poids*SIN(M186)/m)</f>
        <v>-29.0156890997455</v>
      </c>
      <c r="AH187" s="397" t="n">
        <f aca="false">IF(AND(L186&lt;L_rampe,Poussee&lt;Poids*SIN(M186)), g*SIN(M186), (-W186+Poussee)/m)</f>
        <v>-19.4051939478271</v>
      </c>
    </row>
    <row r="188" customFormat="false" ht="12.75" hidden="false" customHeight="false" outlineLevel="0" collapsed="false">
      <c r="A188" s="396" t="n">
        <f aca="false">IF(B187+0.01&lt;=T_ini+ROUNDUP(Temps_fin_propu,0), 0.01, IF(K187&gt;0, 0.1, 0.0001))</f>
        <v>0.01</v>
      </c>
      <c r="B188" s="397" t="n">
        <f aca="false">B187+pas</f>
        <v>1.84</v>
      </c>
      <c r="D188" s="396" t="n">
        <f aca="false">IF(AND(L187&lt;L_rampe,Poussee&lt;Poids*SIN(M187)),0,(-W187+Poussee)/m*COS(M187)-U187/m*SIN(M187))</f>
        <v>-3.88302594517639</v>
      </c>
      <c r="E188" s="398" t="n">
        <f aca="false">IF(AND(L187&lt;L_rampe,Poussee&lt;Poids*SIN(M187)),0,(-W187+Poussee)/m*SIN(M187)+U187/m*COS(M187)-Poids/m)</f>
        <v>-28.7587518745046</v>
      </c>
      <c r="F188" s="397" t="n">
        <f aca="false">SQRT(acc_x^2+acc_z^2)</f>
        <v>29.0197122637395</v>
      </c>
      <c r="G188" s="396" t="n">
        <f aca="false">G187+acc_x*pas</f>
        <v>38.1474340519758</v>
      </c>
      <c r="H188" s="398" t="n">
        <f aca="false">H187+acc_z*pas</f>
        <v>186.057303725246</v>
      </c>
      <c r="I188" s="397" t="n">
        <f aca="false">SQRT(vit_x^2+vit_z^2)</f>
        <v>189.927741507812</v>
      </c>
      <c r="J188" s="396" t="n">
        <f aca="false">J187+0.5*(vit_x+G187)*pas*(K187&gt;=0)</f>
        <v>40.245133255892</v>
      </c>
      <c r="K188" s="398" t="n">
        <f aca="false">K187+0.5*(vit_z+H187)*pas</f>
        <v>204.338661831124</v>
      </c>
      <c r="L188" s="397" t="n">
        <f aca="false">SQRT(pos_x^2+pos_z^2)</f>
        <v>208.264157909418</v>
      </c>
      <c r="M188" s="396" t="n">
        <f aca="false">IF(AND(L187&gt;L_rampe,G188&gt;0),ATAN2(G188,H188),$M$4)</f>
        <v>1.36856839805307</v>
      </c>
      <c r="N188" s="397" t="n">
        <f aca="false">DEGREES(Beta)</f>
        <v>78.4131931834211</v>
      </c>
      <c r="P188" s="399" t="n">
        <f aca="false">MATCH(t-pas/2-T_ini,CdP_t)</f>
        <v>23</v>
      </c>
      <c r="Q188" s="397" t="n">
        <f aca="false">(INDEX(CdP,2,i_P+1)-INDEX(CdP,2,i_P+0))/(INDEX(CdP,1,i_P+1)-INDEX(CdP,1,i_P+0))*(t-pas/2-T_ini-INDEX(CdP,1,i_P+0))+INDEX(CdP,2,i_P+0)</f>
        <v>0</v>
      </c>
      <c r="R188" s="396" t="n">
        <f aca="false">Poussee/(g*ISP)</f>
        <v>0</v>
      </c>
      <c r="S188" s="398" t="n">
        <f aca="false">S187-Débit*pas</f>
        <v>8.45</v>
      </c>
      <c r="T188" s="397" t="n">
        <f aca="false">m*g</f>
        <v>82.8945</v>
      </c>
      <c r="U188" s="400" t="n">
        <f aca="false">IF(pos_xz&lt;L_rampe,Poids*COS(Beta),0)</f>
        <v>0</v>
      </c>
      <c r="V188" s="396" t="n">
        <f aca="false">Rho_moyen*(20000-Alt_rampe-pos_z)/(20000+Alt_rampe+pos_z)</f>
        <v>1.20022167244048</v>
      </c>
      <c r="W188" s="397" t="n">
        <f aca="false">1/2*Rho*Sref*Cx*vit_xz^2</f>
        <v>162.91678054996</v>
      </c>
      <c r="Y188" s="401" t="str">
        <f aca="false">IF(AND(pos_z&lt;=0,K187&gt;0),"Impact balistique","") &amp; IF(AND(H189&lt;0,vit_z&gt;=0),"Apogée","") &amp; IF(AND(Poussee=0,Q187&gt;0),"Fin de propulsion","") &amp; IF(AND(L189&gt;L_rampe,pos_xz&lt;=L_rampe),"Sortie de rampe","")</f>
        <v/>
      </c>
      <c r="Z188" s="402" t="str">
        <f aca="false">IF(ABS(t-T_para)&lt;pas/2,"Para","")</f>
        <v/>
      </c>
      <c r="AA188" s="403" t="str">
        <f aca="false">IF(ABS(t-T_satellite)&lt;pas/2,"Satellite","")</f>
        <v/>
      </c>
      <c r="AC188" s="399" t="e">
        <f aca="false">IF(ABS(t-ROUND(t,0))&lt;0.001,t,NA())</f>
        <v>#N/A</v>
      </c>
      <c r="AD188" s="404" t="e">
        <f aca="false">IF(ABS(t-ROUND(t,0))&lt;0.001,pos_x,NA())</f>
        <v>#N/A</v>
      </c>
      <c r="AE188" s="405" t="n">
        <f aca="false">IF(t&lt;T_para, pos_z, NA())</f>
        <v>204.338661831124</v>
      </c>
      <c r="AG188" s="396" t="n">
        <f aca="false">IF(AND(L187&lt;L_rampe,Poussee&lt;Poids*SIN(M187)),0,(-W187+Poussee)/m-Poids*SIN(M187)/m)</f>
        <v>-28.9528116236993</v>
      </c>
      <c r="AH188" s="397" t="n">
        <f aca="false">IF(AND(L187&lt;L_rampe,Poussee&lt;Poids*SIN(M187)), g*SIN(M187), (-W187+Poussee)/m)</f>
        <v>-19.3425202104704</v>
      </c>
    </row>
    <row r="189" customFormat="false" ht="12.75" hidden="false" customHeight="false" outlineLevel="0" collapsed="false">
      <c r="A189" s="396" t="n">
        <f aca="false">IF(B188+0.01&lt;=T_ini+ROUNDUP(Temps_fin_propu,0), 0.01, IF(K188&gt;0, 0.1, 0.0001))</f>
        <v>0.01</v>
      </c>
      <c r="B189" s="397" t="n">
        <f aca="false">B188+pas</f>
        <v>1.85</v>
      </c>
      <c r="D189" s="396" t="n">
        <f aca="false">IF(AND(L188&lt;L_rampe,Poussee&lt;Poids*SIN(M188)),0,(-W188+Poussee)/m*COS(M188)-U188/m*SIN(M188))</f>
        <v>-3.87245194655375</v>
      </c>
      <c r="E189" s="398" t="n">
        <f aca="false">IF(AND(L188&lt;L_rampe,Poussee&lt;Poids*SIN(M188)),0,(-W188+Poussee)/m*SIN(M188)+U188/m*COS(M188)-Poids/m)</f>
        <v>-28.6971934872394</v>
      </c>
      <c r="F189" s="397" t="n">
        <f aca="false">SQRT(acc_x^2+acc_z^2)</f>
        <v>28.9572926587142</v>
      </c>
      <c r="G189" s="396" t="n">
        <f aca="false">G188+acc_x*pas</f>
        <v>38.1087095325102</v>
      </c>
      <c r="H189" s="398" t="n">
        <f aca="false">H188+acc_z*pas</f>
        <v>185.770331790374</v>
      </c>
      <c r="I189" s="397" t="n">
        <f aca="false">SQRT(vit_x^2+vit_z^2)</f>
        <v>189.638840736118</v>
      </c>
      <c r="J189" s="396" t="n">
        <f aca="false">J188+0.5*(vit_x+G188)*pas*(K188&gt;=0)</f>
        <v>40.6264139738144</v>
      </c>
      <c r="K189" s="398" t="n">
        <f aca="false">K188+0.5*(vit_z+H188)*pas</f>
        <v>206.197800008702</v>
      </c>
      <c r="L189" s="397" t="n">
        <f aca="false">SQRT(pos_x^2+pos_z^2)</f>
        <v>210.1619333771</v>
      </c>
      <c r="M189" s="396" t="n">
        <f aca="false">IF(AND(L188&gt;L_rampe,G189&gt;0),ATAN2(G189,H189),$M$4)</f>
        <v>1.36846449731244</v>
      </c>
      <c r="N189" s="397" t="n">
        <f aca="false">DEGREES(Beta)</f>
        <v>78.4072401094949</v>
      </c>
      <c r="P189" s="399" t="n">
        <f aca="false">MATCH(t-pas/2-T_ini,CdP_t)</f>
        <v>23</v>
      </c>
      <c r="Q189" s="397" t="n">
        <f aca="false">(INDEX(CdP,2,i_P+1)-INDEX(CdP,2,i_P+0))/(INDEX(CdP,1,i_P+1)-INDEX(CdP,1,i_P+0))*(t-pas/2-T_ini-INDEX(CdP,1,i_P+0))+INDEX(CdP,2,i_P+0)</f>
        <v>0</v>
      </c>
      <c r="R189" s="396" t="n">
        <f aca="false">Poussee/(g*ISP)</f>
        <v>0</v>
      </c>
      <c r="S189" s="398" t="n">
        <f aca="false">S188-Débit*pas</f>
        <v>8.45</v>
      </c>
      <c r="T189" s="397" t="n">
        <f aca="false">m*g</f>
        <v>82.8945</v>
      </c>
      <c r="U189" s="400" t="n">
        <f aca="false">IF(pos_xz&lt;L_rampe,Poids*COS(Beta),0)</f>
        <v>0</v>
      </c>
      <c r="V189" s="396" t="n">
        <f aca="false">Rho_moyen*(20000-Alt_rampe-pos_z)/(20000+Alt_rampe+pos_z)</f>
        <v>1.19999853188505</v>
      </c>
      <c r="W189" s="397" t="n">
        <f aca="false">1/2*Rho*Sref*Cx*vit_xz^2</f>
        <v>162.391332402956</v>
      </c>
      <c r="Y189" s="401" t="str">
        <f aca="false">IF(AND(pos_z&lt;=0,K188&gt;0),"Impact balistique","") &amp; IF(AND(H190&lt;0,vit_z&gt;=0),"Apogée","") &amp; IF(AND(Poussee=0,Q188&gt;0),"Fin de propulsion","") &amp; IF(AND(L190&gt;L_rampe,pos_xz&lt;=L_rampe),"Sortie de rampe","")</f>
        <v/>
      </c>
      <c r="Z189" s="402" t="str">
        <f aca="false">IF(ABS(t-T_para)&lt;pas/2,"Para","")</f>
        <v/>
      </c>
      <c r="AA189" s="403" t="str">
        <f aca="false">IF(ABS(t-T_satellite)&lt;pas/2,"Satellite","")</f>
        <v/>
      </c>
      <c r="AC189" s="399" t="e">
        <f aca="false">IF(ABS(t-ROUND(t,0))&lt;0.001,t,NA())</f>
        <v>#N/A</v>
      </c>
      <c r="AD189" s="404" t="e">
        <f aca="false">IF(ABS(t-ROUND(t,0))&lt;0.001,pos_x,NA())</f>
        <v>#N/A</v>
      </c>
      <c r="AE189" s="405" t="n">
        <f aca="false">IF(t&lt;T_para, pos_z, NA())</f>
        <v>206.197800008702</v>
      </c>
      <c r="AG189" s="396" t="n">
        <f aca="false">IF(AND(L188&lt;L_rampe,Poussee&lt;Poids*SIN(M188)),0,(-W188+Poussee)/m-Poids*SIN(M188)/m)</f>
        <v>-28.8901795304209</v>
      </c>
      <c r="AH189" s="397" t="n">
        <f aca="false">IF(AND(L188&lt;L_rampe,Poussee&lt;Poids*SIN(M188)), g*SIN(M188), (-W188+Poussee)/m)</f>
        <v>-19.2800923727763</v>
      </c>
    </row>
    <row r="190" customFormat="false" ht="12.75" hidden="false" customHeight="false" outlineLevel="0" collapsed="false">
      <c r="A190" s="396" t="n">
        <f aca="false">IF(B189+0.01&lt;=T_ini+ROUNDUP(Temps_fin_propu,0), 0.01, IF(K189&gt;0, 0.1, 0.0001))</f>
        <v>0.01</v>
      </c>
      <c r="B190" s="397" t="n">
        <f aca="false">B189+pas</f>
        <v>1.86</v>
      </c>
      <c r="D190" s="396" t="n">
        <f aca="false">IF(AND(L189&lt;L_rampe,Poussee&lt;Poids*SIN(M189)),0,(-W189+Poussee)/m*COS(M189)-U189/m*SIN(M189))</f>
        <v>-3.86191834521921</v>
      </c>
      <c r="E190" s="398" t="n">
        <f aca="false">IF(AND(L189&lt;L_rampe,Poussee&lt;Poids*SIN(M189)),0,(-W189+Poussee)/m*SIN(M189)+U189/m*COS(M189)-Poids/m)</f>
        <v>-28.6358763190779</v>
      </c>
      <c r="F190" s="397" t="n">
        <f aca="false">SQRT(acc_x^2+acc_z^2)</f>
        <v>28.8951176821737</v>
      </c>
      <c r="G190" s="396" t="n">
        <f aca="false">G189+acc_x*pas</f>
        <v>38.070090349058</v>
      </c>
      <c r="H190" s="398" t="n">
        <f aca="false">H189+acc_z*pas</f>
        <v>185.483973027183</v>
      </c>
      <c r="I190" s="397" t="n">
        <f aca="false">SQRT(vit_x^2+vit_z^2)</f>
        <v>189.350563846887</v>
      </c>
      <c r="J190" s="396" t="n">
        <f aca="false">J189+0.5*(vit_x+G189)*pas*(K189&gt;=0)</f>
        <v>41.0073079732223</v>
      </c>
      <c r="K190" s="398" t="n">
        <f aca="false">K189+0.5*(vit_z+H189)*pas</f>
        <v>208.05407153279</v>
      </c>
      <c r="L190" s="397" t="n">
        <f aca="false">SQRT(pos_x^2+pos_z^2)</f>
        <v>212.056822546652</v>
      </c>
      <c r="M190" s="396" t="n">
        <f aca="false">IF(AND(L189&gt;L_rampe,G190&gt;0),ATAN2(G190,H190),$M$4)</f>
        <v>1.36836038565601</v>
      </c>
      <c r="N190" s="397" t="n">
        <f aca="false">DEGREES(Beta)</f>
        <v>78.4012749509828</v>
      </c>
      <c r="P190" s="399" t="n">
        <f aca="false">MATCH(t-pas/2-T_ini,CdP_t)</f>
        <v>23</v>
      </c>
      <c r="Q190" s="397" t="n">
        <f aca="false">(INDEX(CdP,2,i_P+1)-INDEX(CdP,2,i_P+0))/(INDEX(CdP,1,i_P+1)-INDEX(CdP,1,i_P+0))*(t-pas/2-T_ini-INDEX(CdP,1,i_P+0))+INDEX(CdP,2,i_P+0)</f>
        <v>0</v>
      </c>
      <c r="R190" s="396" t="n">
        <f aca="false">Poussee/(g*ISP)</f>
        <v>0</v>
      </c>
      <c r="S190" s="398" t="n">
        <f aca="false">S189-Débit*pas</f>
        <v>8.45</v>
      </c>
      <c r="T190" s="397" t="n">
        <f aca="false">m*g</f>
        <v>82.8945</v>
      </c>
      <c r="U190" s="400" t="n">
        <f aca="false">IF(pos_xz&lt;L_rampe,Poids*COS(Beta),0)</f>
        <v>0</v>
      </c>
      <c r="V190" s="396" t="n">
        <f aca="false">Rho_moyen*(20000-Alt_rampe-pos_z)/(20000+Alt_rampe+pos_z)</f>
        <v>1.19977577635872</v>
      </c>
      <c r="W190" s="397" t="n">
        <f aca="false">1/2*Rho*Sref*Cx*vit_xz^2</f>
        <v>161.867940637309</v>
      </c>
      <c r="Y190" s="401" t="str">
        <f aca="false">IF(AND(pos_z&lt;=0,K189&gt;0),"Impact balistique","") &amp; IF(AND(H191&lt;0,vit_z&gt;=0),"Apogée","") &amp; IF(AND(Poussee=0,Q189&gt;0),"Fin de propulsion","") &amp; IF(AND(L191&gt;L_rampe,pos_xz&lt;=L_rampe),"Sortie de rampe","")</f>
        <v/>
      </c>
      <c r="Z190" s="402" t="str">
        <f aca="false">IF(ABS(t-T_para)&lt;pas/2,"Para","")</f>
        <v/>
      </c>
      <c r="AA190" s="403" t="str">
        <f aca="false">IF(ABS(t-T_satellite)&lt;pas/2,"Satellite","")</f>
        <v/>
      </c>
      <c r="AC190" s="399" t="e">
        <f aca="false">IF(ABS(t-ROUND(t,0))&lt;0.001,t,NA())</f>
        <v>#N/A</v>
      </c>
      <c r="AD190" s="404" t="e">
        <f aca="false">IF(ABS(t-ROUND(t,0))&lt;0.001,pos_x,NA())</f>
        <v>#N/A</v>
      </c>
      <c r="AE190" s="405" t="n">
        <f aca="false">IF(t&lt;T_para, pos_z, NA())</f>
        <v>208.05407153279</v>
      </c>
      <c r="AG190" s="396" t="n">
        <f aca="false">IF(AND(L189&lt;L_rampe,Poussee&lt;Poids*SIN(M189)),0,(-W189+Poussee)/m-Poids*SIN(M189)/m)</f>
        <v>-28.8277915438566</v>
      </c>
      <c r="AH190" s="397" t="n">
        <f aca="false">IF(AND(L189&lt;L_rampe,Poussee&lt;Poids*SIN(M189)), g*SIN(M189), (-W189+Poussee)/m)</f>
        <v>-19.2179091601131</v>
      </c>
    </row>
    <row r="191" customFormat="false" ht="12.75" hidden="false" customHeight="false" outlineLevel="0" collapsed="false">
      <c r="A191" s="396" t="n">
        <f aca="false">IF(B190+0.01&lt;=T_ini+ROUNDUP(Temps_fin_propu,0), 0.01, IF(K190&gt;0, 0.1, 0.0001))</f>
        <v>0.01</v>
      </c>
      <c r="B191" s="397" t="n">
        <f aca="false">B190+pas</f>
        <v>1.87</v>
      </c>
      <c r="D191" s="396" t="n">
        <f aca="false">IF(AND(L190&lt;L_rampe,Poussee&lt;Poids*SIN(M190)),0,(-W190+Poussee)/m*COS(M190)-U190/m*SIN(M190))</f>
        <v>-3.85142493053338</v>
      </c>
      <c r="E191" s="398" t="n">
        <f aca="false">IF(AND(L190&lt;L_rampe,Poussee&lt;Poids*SIN(M190)),0,(-W190+Poussee)/m*SIN(M190)+U190/m*COS(M190)-Poids/m)</f>
        <v>-28.5747991213383</v>
      </c>
      <c r="F191" s="397" t="n">
        <f aca="false">SQRT(acc_x^2+acc_z^2)</f>
        <v>28.8331860677999</v>
      </c>
      <c r="G191" s="396" t="n">
        <f aca="false">G190+acc_x*pas</f>
        <v>38.0315760997527</v>
      </c>
      <c r="H191" s="398" t="n">
        <f aca="false">H190+acc_z*pas</f>
        <v>185.19822503597</v>
      </c>
      <c r="I191" s="397" t="n">
        <f aca="false">SQRT(vit_x^2+vit_z^2)</f>
        <v>189.062908411737</v>
      </c>
      <c r="J191" s="396" t="n">
        <f aca="false">J190+0.5*(vit_x+G190)*pas*(K190&gt;=0)</f>
        <v>41.3878163054663</v>
      </c>
      <c r="K191" s="398" t="n">
        <f aca="false">K190+0.5*(vit_z+H190)*pas</f>
        <v>209.907482523106</v>
      </c>
      <c r="L191" s="397" t="n">
        <f aca="false">SQRT(pos_x^2+pos_z^2)</f>
        <v>213.948831634396</v>
      </c>
      <c r="M191" s="396" t="n">
        <f aca="false">IF(AND(L190&gt;L_rampe,G191&gt;0),ATAN2(G191,H191),$M$4)</f>
        <v>1.36825606267739</v>
      </c>
      <c r="N191" s="397" t="n">
        <f aca="false">DEGREES(Beta)</f>
        <v>78.395297684602</v>
      </c>
      <c r="P191" s="399" t="n">
        <f aca="false">MATCH(t-pas/2-T_ini,CdP_t)</f>
        <v>23</v>
      </c>
      <c r="Q191" s="397" t="n">
        <f aca="false">(INDEX(CdP,2,i_P+1)-INDEX(CdP,2,i_P+0))/(INDEX(CdP,1,i_P+1)-INDEX(CdP,1,i_P+0))*(t-pas/2-T_ini-INDEX(CdP,1,i_P+0))+INDEX(CdP,2,i_P+0)</f>
        <v>0</v>
      </c>
      <c r="R191" s="396" t="n">
        <f aca="false">Poussee/(g*ISP)</f>
        <v>0</v>
      </c>
      <c r="S191" s="398" t="n">
        <f aca="false">S190-Débit*pas</f>
        <v>8.45</v>
      </c>
      <c r="T191" s="397" t="n">
        <f aca="false">m*g</f>
        <v>82.8945</v>
      </c>
      <c r="U191" s="400" t="n">
        <f aca="false">IF(pos_xz&lt;L_rampe,Poids*COS(Beta),0)</f>
        <v>0</v>
      </c>
      <c r="V191" s="396" t="n">
        <f aca="false">Rho_moyen*(20000-Alt_rampe-pos_z)/(20000+Alt_rampe+pos_z)</f>
        <v>1.19955340492645</v>
      </c>
      <c r="W191" s="397" t="n">
        <f aca="false">1/2*Rho*Sref*Cx*vit_xz^2</f>
        <v>161.346594622798</v>
      </c>
      <c r="Y191" s="401" t="str">
        <f aca="false">IF(AND(pos_z&lt;=0,K190&gt;0),"Impact balistique","") &amp; IF(AND(H192&lt;0,vit_z&gt;=0),"Apogée","") &amp; IF(AND(Poussee=0,Q190&gt;0),"Fin de propulsion","") &amp; IF(AND(L192&gt;L_rampe,pos_xz&lt;=L_rampe),"Sortie de rampe","")</f>
        <v/>
      </c>
      <c r="Z191" s="402" t="str">
        <f aca="false">IF(ABS(t-T_para)&lt;pas/2,"Para","")</f>
        <v/>
      </c>
      <c r="AA191" s="403" t="str">
        <f aca="false">IF(ABS(t-T_satellite)&lt;pas/2,"Satellite","")</f>
        <v/>
      </c>
      <c r="AC191" s="399" t="e">
        <f aca="false">IF(ABS(t-ROUND(t,0))&lt;0.001,t,NA())</f>
        <v>#N/A</v>
      </c>
      <c r="AD191" s="404" t="e">
        <f aca="false">IF(ABS(t-ROUND(t,0))&lt;0.001,pos_x,NA())</f>
        <v>#N/A</v>
      </c>
      <c r="AE191" s="405" t="n">
        <f aca="false">IF(t&lt;T_para, pos_z, NA())</f>
        <v>209.907482523106</v>
      </c>
      <c r="AG191" s="396" t="n">
        <f aca="false">IF(AND(L190&lt;L_rampe,Poussee&lt;Poids*SIN(M190)),0,(-W190+Poussee)/m-Poids*SIN(M190)/m)</f>
        <v>-28.765646396289</v>
      </c>
      <c r="AH191" s="397" t="n">
        <f aca="false">IF(AND(L190&lt;L_rampe,Poussee&lt;Poids*SIN(M190)), g*SIN(M190), (-W190+Poussee)/m)</f>
        <v>-19.1559693061905</v>
      </c>
    </row>
    <row r="192" customFormat="false" ht="12.75" hidden="false" customHeight="false" outlineLevel="0" collapsed="false">
      <c r="A192" s="396" t="n">
        <f aca="false">IF(B191+0.01&lt;=T_ini+ROUNDUP(Temps_fin_propu,0), 0.01, IF(K191&gt;0, 0.1, 0.0001))</f>
        <v>0.01</v>
      </c>
      <c r="B192" s="397" t="n">
        <f aca="false">B191+pas</f>
        <v>1.88</v>
      </c>
      <c r="D192" s="396" t="n">
        <f aca="false">IF(AND(L191&lt;L_rampe,Poussee&lt;Poids*SIN(M191)),0,(-W191+Poussee)/m*COS(M191)-U191/m*SIN(M191))</f>
        <v>-3.84097149323207</v>
      </c>
      <c r="E192" s="398" t="n">
        <f aca="false">IF(AND(L191&lt;L_rampe,Poussee&lt;Poids*SIN(M191)),0,(-W191+Poussee)/m*SIN(M191)+U191/m*COS(M191)-Poids/m)</f>
        <v>-28.5139606534992</v>
      </c>
      <c r="F192" s="397" t="n">
        <f aca="false">SQRT(acc_x^2+acc_z^2)</f>
        <v>28.7714965575502</v>
      </c>
      <c r="G192" s="396" t="n">
        <f aca="false">G191+acc_x*pas</f>
        <v>37.9931663848204</v>
      </c>
      <c r="H192" s="398" t="n">
        <f aca="false">H191+acc_z*pas</f>
        <v>184.913085429435</v>
      </c>
      <c r="I192" s="397" t="n">
        <f aca="false">SQRT(vit_x^2+vit_z^2)</f>
        <v>188.775872014879</v>
      </c>
      <c r="J192" s="396" t="n">
        <f aca="false">J191+0.5*(vit_x+G191)*pas*(K191&gt;=0)</f>
        <v>41.7679400178892</v>
      </c>
      <c r="K192" s="398" t="n">
        <f aca="false">K191+0.5*(vit_z+H191)*pas</f>
        <v>211.758039075433</v>
      </c>
      <c r="L192" s="397" t="n">
        <f aca="false">SQRT(pos_x^2+pos_z^2)</f>
        <v>215.837966832554</v>
      </c>
      <c r="M192" s="396" t="n">
        <f aca="false">IF(AND(L191&gt;L_rampe,G192&gt;0),ATAN2(G192,H192),$M$4)</f>
        <v>1.36815152796893</v>
      </c>
      <c r="N192" s="397" t="n">
        <f aca="false">DEGREES(Beta)</f>
        <v>78.3893082869947</v>
      </c>
      <c r="P192" s="399" t="n">
        <f aca="false">MATCH(t-pas/2-T_ini,CdP_t)</f>
        <v>23</v>
      </c>
      <c r="Q192" s="397" t="n">
        <f aca="false">(INDEX(CdP,2,i_P+1)-INDEX(CdP,2,i_P+0))/(INDEX(CdP,1,i_P+1)-INDEX(CdP,1,i_P+0))*(t-pas/2-T_ini-INDEX(CdP,1,i_P+0))+INDEX(CdP,2,i_P+0)</f>
        <v>0</v>
      </c>
      <c r="R192" s="396" t="n">
        <f aca="false">Poussee/(g*ISP)</f>
        <v>0</v>
      </c>
      <c r="S192" s="398" t="n">
        <f aca="false">S191-Débit*pas</f>
        <v>8.45</v>
      </c>
      <c r="T192" s="397" t="n">
        <f aca="false">m*g</f>
        <v>82.8945</v>
      </c>
      <c r="U192" s="400" t="n">
        <f aca="false">IF(pos_xz&lt;L_rampe,Poids*COS(Beta),0)</f>
        <v>0</v>
      </c>
      <c r="V192" s="396" t="n">
        <f aca="false">Rho_moyen*(20000-Alt_rampe-pos_z)/(20000+Alt_rampe+pos_z)</f>
        <v>1.19933141665699</v>
      </c>
      <c r="W192" s="397" t="n">
        <f aca="false">1/2*Rho*Sref*Cx*vit_xz^2</f>
        <v>160.827283798579</v>
      </c>
      <c r="Y192" s="401" t="str">
        <f aca="false">IF(AND(pos_z&lt;=0,K191&gt;0),"Impact balistique","") &amp; IF(AND(H193&lt;0,vit_z&gt;=0),"Apogée","") &amp; IF(AND(Poussee=0,Q191&gt;0),"Fin de propulsion","") &amp; IF(AND(L193&gt;L_rampe,pos_xz&lt;=L_rampe),"Sortie de rampe","")</f>
        <v/>
      </c>
      <c r="Z192" s="402" t="str">
        <f aca="false">IF(ABS(t-T_para)&lt;pas/2,"Para","")</f>
        <v/>
      </c>
      <c r="AA192" s="403" t="str">
        <f aca="false">IF(ABS(t-T_satellite)&lt;pas/2,"Satellite","")</f>
        <v/>
      </c>
      <c r="AC192" s="399" t="e">
        <f aca="false">IF(ABS(t-ROUND(t,0))&lt;0.001,t,NA())</f>
        <v>#N/A</v>
      </c>
      <c r="AD192" s="404" t="e">
        <f aca="false">IF(ABS(t-ROUND(t,0))&lt;0.001,pos_x,NA())</f>
        <v>#N/A</v>
      </c>
      <c r="AE192" s="405" t="n">
        <f aca="false">IF(t&lt;T_para, pos_z, NA())</f>
        <v>211.758039075433</v>
      </c>
      <c r="AG192" s="396" t="n">
        <f aca="false">IF(AND(L191&lt;L_rampe,Poussee&lt;Poids*SIN(M191)),0,(-W191+Poussee)/m-Poids*SIN(M191)/m)</f>
        <v>-28.7037428282705</v>
      </c>
      <c r="AH192" s="397" t="n">
        <f aca="false">IF(AND(L191&lt;L_rampe,Poussee&lt;Poids*SIN(M191)), g*SIN(M191), (-W191+Poussee)/m)</f>
        <v>-19.0942715529938</v>
      </c>
    </row>
    <row r="193" customFormat="false" ht="12.75" hidden="false" customHeight="false" outlineLevel="0" collapsed="false">
      <c r="A193" s="396" t="n">
        <f aca="false">IF(B192+0.01&lt;=T_ini+ROUNDUP(Temps_fin_propu,0), 0.01, IF(K192&gt;0, 0.1, 0.0001))</f>
        <v>0.01</v>
      </c>
      <c r="B193" s="397" t="n">
        <f aca="false">B192+pas</f>
        <v>1.89</v>
      </c>
      <c r="D193" s="396" t="n">
        <f aca="false">IF(AND(L192&lt;L_rampe,Poussee&lt;Poids*SIN(M192)),0,(-W192+Poussee)/m*COS(M192)-U192/m*SIN(M192))</f>
        <v>-3.83055782541549</v>
      </c>
      <c r="E193" s="398" t="n">
        <f aca="false">IF(AND(L192&lt;L_rampe,Poussee&lt;Poids*SIN(M192)),0,(-W192+Poussee)/m*SIN(M192)+U192/m*COS(M192)-Poids/m)</f>
        <v>-28.4533596831361</v>
      </c>
      <c r="F193" s="397" t="n">
        <f aca="false">SQRT(acc_x^2+acc_z^2)</f>
        <v>28.7100479015931</v>
      </c>
      <c r="G193" s="396" t="n">
        <f aca="false">G192+acc_x*pas</f>
        <v>37.9548608065662</v>
      </c>
      <c r="H193" s="398" t="n">
        <f aca="false">H192+acc_z*pas</f>
        <v>184.628551832603</v>
      </c>
      <c r="I193" s="397" t="n">
        <f aca="false">SQRT(vit_x^2+vit_z^2)</f>
        <v>188.489452253038</v>
      </c>
      <c r="J193" s="396" t="n">
        <f aca="false">J192+0.5*(vit_x+G192)*pas*(K192&gt;=0)</f>
        <v>42.1476801538461</v>
      </c>
      <c r="K193" s="398" t="n">
        <f aca="false">K192+0.5*(vit_z+H192)*pas</f>
        <v>213.605747261743</v>
      </c>
      <c r="L193" s="397" t="n">
        <f aca="false">SQRT(pos_x^2+pos_z^2)</f>
        <v>217.724234309364</v>
      </c>
      <c r="M193" s="396" t="n">
        <f aca="false">IF(AND(L192&gt;L_rampe,G193&gt;0),ATAN2(G193,H193),$M$4)</f>
        <v>1.36804678112165</v>
      </c>
      <c r="N193" s="397" t="n">
        <f aca="false">DEGREES(Beta)</f>
        <v>78.3833067347279</v>
      </c>
      <c r="P193" s="399" t="n">
        <f aca="false">MATCH(t-pas/2-T_ini,CdP_t)</f>
        <v>23</v>
      </c>
      <c r="Q193" s="397" t="n">
        <f aca="false">(INDEX(CdP,2,i_P+1)-INDEX(CdP,2,i_P+0))/(INDEX(CdP,1,i_P+1)-INDEX(CdP,1,i_P+0))*(t-pas/2-T_ini-INDEX(CdP,1,i_P+0))+INDEX(CdP,2,i_P+0)</f>
        <v>0</v>
      </c>
      <c r="R193" s="396" t="n">
        <f aca="false">Poussee/(g*ISP)</f>
        <v>0</v>
      </c>
      <c r="S193" s="398" t="n">
        <f aca="false">S192-Débit*pas</f>
        <v>8.45</v>
      </c>
      <c r="T193" s="397" t="n">
        <f aca="false">m*g</f>
        <v>82.8945</v>
      </c>
      <c r="U193" s="400" t="n">
        <f aca="false">IF(pos_xz&lt;L_rampe,Poids*COS(Beta),0)</f>
        <v>0</v>
      </c>
      <c r="V193" s="396" t="n">
        <f aca="false">Rho_moyen*(20000-Alt_rampe-pos_z)/(20000+Alt_rampe+pos_z)</f>
        <v>1.19910981062287</v>
      </c>
      <c r="W193" s="397" t="n">
        <f aca="false">1/2*Rho*Sref*Cx*vit_xz^2</f>
        <v>160.309997672646</v>
      </c>
      <c r="Y193" s="401" t="str">
        <f aca="false">IF(AND(pos_z&lt;=0,K192&gt;0),"Impact balistique","") &amp; IF(AND(H194&lt;0,vit_z&gt;=0),"Apogée","") &amp; IF(AND(Poussee=0,Q192&gt;0),"Fin de propulsion","") &amp; IF(AND(L194&gt;L_rampe,pos_xz&lt;=L_rampe),"Sortie de rampe","")</f>
        <v/>
      </c>
      <c r="Z193" s="402" t="str">
        <f aca="false">IF(ABS(t-T_para)&lt;pas/2,"Para","")</f>
        <v/>
      </c>
      <c r="AA193" s="403" t="str">
        <f aca="false">IF(ABS(t-T_satellite)&lt;pas/2,"Satellite","")</f>
        <v/>
      </c>
      <c r="AC193" s="399" t="e">
        <f aca="false">IF(ABS(t-ROUND(t,0))&lt;0.001,t,NA())</f>
        <v>#N/A</v>
      </c>
      <c r="AD193" s="404" t="e">
        <f aca="false">IF(ABS(t-ROUND(t,0))&lt;0.001,pos_x,NA())</f>
        <v>#N/A</v>
      </c>
      <c r="AE193" s="405" t="n">
        <f aca="false">IF(t&lt;T_para, pos_z, NA())</f>
        <v>213.605747261743</v>
      </c>
      <c r="AG193" s="396" t="n">
        <f aca="false">IF(AND(L192&lt;L_rampe,Poussee&lt;Poids*SIN(M192)),0,(-W192+Poussee)/m-Poids*SIN(M192)/m)</f>
        <v>-28.6420795885594</v>
      </c>
      <c r="AH193" s="397" t="n">
        <f aca="false">IF(AND(L192&lt;L_rampe,Poussee&lt;Poids*SIN(M192)), g*SIN(M192), (-W192+Poussee)/m)</f>
        <v>-19.0328146507194</v>
      </c>
    </row>
    <row r="194" customFormat="false" ht="12.75" hidden="false" customHeight="false" outlineLevel="0" collapsed="false">
      <c r="A194" s="396" t="n">
        <f aca="false">IF(B193+0.01&lt;=T_ini+ROUNDUP(Temps_fin_propu,0), 0.01, IF(K193&gt;0, 0.1, 0.0001))</f>
        <v>0.01</v>
      </c>
      <c r="B194" s="397" t="n">
        <f aca="false">B193+pas</f>
        <v>1.9</v>
      </c>
      <c r="D194" s="396" t="n">
        <f aca="false">IF(AND(L193&lt;L_rampe,Poussee&lt;Poids*SIN(M193)),0,(-W193+Poussee)/m*COS(M193)-U193/m*SIN(M193))</f>
        <v>-3.82018372053751</v>
      </c>
      <c r="E194" s="398" t="n">
        <f aca="false">IF(AND(L193&lt;L_rampe,Poussee&lt;Poids*SIN(M193)),0,(-W193+Poussee)/m*SIN(M193)+U193/m*COS(M193)-Poids/m)</f>
        <v>-28.3929949858572</v>
      </c>
      <c r="F194" s="397" t="n">
        <f aca="false">SQRT(acc_x^2+acc_z^2)</f>
        <v>28.6488388582429</v>
      </c>
      <c r="G194" s="396" t="n">
        <f aca="false">G193+acc_x*pas</f>
        <v>37.9166589693609</v>
      </c>
      <c r="H194" s="398" t="n">
        <f aca="false">H193+acc_z*pas</f>
        <v>184.344621882745</v>
      </c>
      <c r="I194" s="397" t="n">
        <f aca="false">SQRT(vit_x^2+vit_z^2)</f>
        <v>188.203646735367</v>
      </c>
      <c r="J194" s="396" t="n">
        <f aca="false">J193+0.5*(vit_x+G193)*pas*(K193&gt;=0)</f>
        <v>42.5270377527258</v>
      </c>
      <c r="K194" s="398" t="n">
        <f aca="false">K193+0.5*(vit_z+H193)*pas</f>
        <v>215.45061313032</v>
      </c>
      <c r="L194" s="397" t="n">
        <f aca="false">SQRT(pos_x^2+pos_z^2)</f>
        <v>219.607640209198</v>
      </c>
      <c r="M194" s="396" t="n">
        <f aca="false">IF(AND(L193&gt;L_rampe,G194&gt;0),ATAN2(G194,H194),$M$4)</f>
        <v>1.36794182172523</v>
      </c>
      <c r="N194" s="397" t="n">
        <f aca="false">DEGREES(Beta)</f>
        <v>78.3772930042932</v>
      </c>
      <c r="P194" s="399" t="n">
        <f aca="false">MATCH(t-pas/2-T_ini,CdP_t)</f>
        <v>23</v>
      </c>
      <c r="Q194" s="397" t="n">
        <f aca="false">(INDEX(CdP,2,i_P+1)-INDEX(CdP,2,i_P+0))/(INDEX(CdP,1,i_P+1)-INDEX(CdP,1,i_P+0))*(t-pas/2-T_ini-INDEX(CdP,1,i_P+0))+INDEX(CdP,2,i_P+0)</f>
        <v>0</v>
      </c>
      <c r="R194" s="396" t="n">
        <f aca="false">Poussee/(g*ISP)</f>
        <v>0</v>
      </c>
      <c r="S194" s="398" t="n">
        <f aca="false">S193-Débit*pas</f>
        <v>8.45</v>
      </c>
      <c r="T194" s="397" t="n">
        <f aca="false">m*g</f>
        <v>82.8945</v>
      </c>
      <c r="U194" s="400" t="n">
        <f aca="false">IF(pos_xz&lt;L_rampe,Poids*COS(Beta),0)</f>
        <v>0</v>
      </c>
      <c r="V194" s="396" t="n">
        <f aca="false">Rho_moyen*(20000-Alt_rampe-pos_z)/(20000+Alt_rampe+pos_z)</f>
        <v>1.19888858590041</v>
      </c>
      <c r="W194" s="397" t="n">
        <f aca="false">1/2*Rho*Sref*Cx*vit_xz^2</f>
        <v>159.79472582129</v>
      </c>
      <c r="Y194" s="401" t="str">
        <f aca="false">IF(AND(pos_z&lt;=0,K193&gt;0),"Impact balistique","") &amp; IF(AND(H195&lt;0,vit_z&gt;=0),"Apogée","") &amp; IF(AND(Poussee=0,Q193&gt;0),"Fin de propulsion","") &amp; IF(AND(L195&gt;L_rampe,pos_xz&lt;=L_rampe),"Sortie de rampe","")</f>
        <v/>
      </c>
      <c r="Z194" s="402" t="str">
        <f aca="false">IF(ABS(t-T_para)&lt;pas/2,"Para","")</f>
        <v/>
      </c>
      <c r="AA194" s="403" t="str">
        <f aca="false">IF(ABS(t-T_satellite)&lt;pas/2,"Satellite","")</f>
        <v/>
      </c>
      <c r="AC194" s="399" t="e">
        <f aca="false">IF(ABS(t-ROUND(t,0))&lt;0.001,t,NA())</f>
        <v>#N/A</v>
      </c>
      <c r="AD194" s="404" t="e">
        <f aca="false">IF(ABS(t-ROUND(t,0))&lt;0.001,pos_x,NA())</f>
        <v>#N/A</v>
      </c>
      <c r="AE194" s="405" t="n">
        <f aca="false">IF(t&lt;T_para, pos_z, NA())</f>
        <v>215.45061313032</v>
      </c>
      <c r="AG194" s="396" t="n">
        <f aca="false">IF(AND(L193&lt;L_rampe,Poussee&lt;Poids*SIN(M193)),0,(-W193+Poussee)/m-Poids*SIN(M193)/m)</f>
        <v>-28.5806554340543</v>
      </c>
      <c r="AH194" s="397" t="n">
        <f aca="false">IF(AND(L193&lt;L_rampe,Poussee&lt;Poids*SIN(M193)), g*SIN(M193), (-W193+Poussee)/m)</f>
        <v>-18.9715973577096</v>
      </c>
    </row>
    <row r="195" customFormat="false" ht="12.75" hidden="false" customHeight="false" outlineLevel="0" collapsed="false">
      <c r="A195" s="396" t="n">
        <f aca="false">IF(B194+0.01&lt;=T_ini+ROUNDUP(Temps_fin_propu,0), 0.01, IF(K194&gt;0, 0.1, 0.0001))</f>
        <v>0.01</v>
      </c>
      <c r="B195" s="397" t="n">
        <f aca="false">B194+pas</f>
        <v>1.91</v>
      </c>
      <c r="D195" s="396" t="n">
        <f aca="false">IF(AND(L194&lt;L_rampe,Poussee&lt;Poids*SIN(M194)),0,(-W194+Poussee)/m*COS(M194)-U194/m*SIN(M194))</f>
        <v>-3.80984897339508</v>
      </c>
      <c r="E195" s="398" t="n">
        <f aca="false">IF(AND(L194&lt;L_rampe,Poussee&lt;Poids*SIN(M194)),0,(-W194+Poussee)/m*SIN(M194)+U194/m*COS(M194)-Poids/m)</f>
        <v>-28.3328653452406</v>
      </c>
      <c r="F195" s="397" t="n">
        <f aca="false">SQRT(acc_x^2+acc_z^2)</f>
        <v>28.5878681938968</v>
      </c>
      <c r="G195" s="396" t="n">
        <f aca="false">G194+acc_x*pas</f>
        <v>37.8785604796269</v>
      </c>
      <c r="H195" s="398" t="n">
        <f aca="false">H194+acc_z*pas</f>
        <v>184.061293229292</v>
      </c>
      <c r="I195" s="397" t="n">
        <f aca="false">SQRT(vit_x^2+vit_z^2)</f>
        <v>187.918453083374</v>
      </c>
      <c r="J195" s="396" t="n">
        <f aca="false">J194+0.5*(vit_x+G194)*pas*(K194&gt;=0)</f>
        <v>42.9060138499707</v>
      </c>
      <c r="K195" s="398" t="n">
        <f aca="false">K194+0.5*(vit_z+H194)*pas</f>
        <v>217.29264270588</v>
      </c>
      <c r="L195" s="397" t="n">
        <f aca="false">SQRT(pos_x^2+pos_z^2)</f>
        <v>221.488190652683</v>
      </c>
      <c r="M195" s="396" t="n">
        <f aca="false">IF(AND(L194&gt;L_rampe,G195&gt;0),ATAN2(G195,H195),$M$4)</f>
        <v>1.36783664936807</v>
      </c>
      <c r="N195" s="397" t="n">
        <f aca="false">DEGREES(Beta)</f>
        <v>78.3712670721065</v>
      </c>
      <c r="P195" s="399" t="n">
        <f aca="false">MATCH(t-pas/2-T_ini,CdP_t)</f>
        <v>23</v>
      </c>
      <c r="Q195" s="397" t="n">
        <f aca="false">(INDEX(CdP,2,i_P+1)-INDEX(CdP,2,i_P+0))/(INDEX(CdP,1,i_P+1)-INDEX(CdP,1,i_P+0))*(t-pas/2-T_ini-INDEX(CdP,1,i_P+0))+INDEX(CdP,2,i_P+0)</f>
        <v>0</v>
      </c>
      <c r="R195" s="396" t="n">
        <f aca="false">Poussee/(g*ISP)</f>
        <v>0</v>
      </c>
      <c r="S195" s="398" t="n">
        <f aca="false">S194-Débit*pas</f>
        <v>8.45</v>
      </c>
      <c r="T195" s="397" t="n">
        <f aca="false">m*g</f>
        <v>82.8945</v>
      </c>
      <c r="U195" s="400" t="n">
        <f aca="false">IF(pos_xz&lt;L_rampe,Poids*COS(Beta),0)</f>
        <v>0</v>
      </c>
      <c r="V195" s="396" t="n">
        <f aca="false">Rho_moyen*(20000-Alt_rampe-pos_z)/(20000+Alt_rampe+pos_z)</f>
        <v>1.19866774156967</v>
      </c>
      <c r="W195" s="397" t="n">
        <f aca="false">1/2*Rho*Sref*Cx*vit_xz^2</f>
        <v>159.281457888565</v>
      </c>
      <c r="Y195" s="401" t="str">
        <f aca="false">IF(AND(pos_z&lt;=0,K194&gt;0),"Impact balistique","") &amp; IF(AND(H196&lt;0,vit_z&gt;=0),"Apogée","") &amp; IF(AND(Poussee=0,Q194&gt;0),"Fin de propulsion","") &amp; IF(AND(L196&gt;L_rampe,pos_xz&lt;=L_rampe),"Sortie de rampe","")</f>
        <v/>
      </c>
      <c r="Z195" s="402" t="str">
        <f aca="false">IF(ABS(t-T_para)&lt;pas/2,"Para","")</f>
        <v/>
      </c>
      <c r="AA195" s="403" t="str">
        <f aca="false">IF(ABS(t-T_satellite)&lt;pas/2,"Satellite","")</f>
        <v/>
      </c>
      <c r="AC195" s="399" t="e">
        <f aca="false">IF(ABS(t-ROUND(t,0))&lt;0.001,t,NA())</f>
        <v>#N/A</v>
      </c>
      <c r="AD195" s="404" t="e">
        <f aca="false">IF(ABS(t-ROUND(t,0))&lt;0.001,pos_x,NA())</f>
        <v>#N/A</v>
      </c>
      <c r="AE195" s="405" t="n">
        <f aca="false">IF(t&lt;T_para, pos_z, NA())</f>
        <v>217.29264270588</v>
      </c>
      <c r="AG195" s="396" t="n">
        <f aca="false">IF(AND(L194&lt;L_rampe,Poussee&lt;Poids*SIN(M194)),0,(-W194+Poussee)/m-Poids*SIN(M194)/m)</f>
        <v>-28.5194691297309</v>
      </c>
      <c r="AH195" s="397" t="n">
        <f aca="false">IF(AND(L194&lt;L_rampe,Poussee&lt;Poids*SIN(M194)), g*SIN(M194), (-W194+Poussee)/m)</f>
        <v>-18.9106184403893</v>
      </c>
    </row>
    <row r="196" customFormat="false" ht="12.75" hidden="false" customHeight="false" outlineLevel="0" collapsed="false">
      <c r="A196" s="396" t="n">
        <f aca="false">IF(B195+0.01&lt;=T_ini+ROUNDUP(Temps_fin_propu,0), 0.01, IF(K195&gt;0, 0.1, 0.0001))</f>
        <v>0.01</v>
      </c>
      <c r="B196" s="397" t="n">
        <f aca="false">B195+pas</f>
        <v>1.92</v>
      </c>
      <c r="D196" s="396" t="n">
        <f aca="false">IF(AND(L195&lt;L_rampe,Poussee&lt;Poids*SIN(M195)),0,(-W195+Poussee)/m*COS(M195)-U195/m*SIN(M195))</f>
        <v>-3.79955338011771</v>
      </c>
      <c r="E196" s="398" t="n">
        <f aca="false">IF(AND(L195&lt;L_rampe,Poussee&lt;Poids*SIN(M195)),0,(-W195+Poussee)/m*SIN(M195)+U195/m*COS(M195)-Poids/m)</f>
        <v>-28.2729695527723</v>
      </c>
      <c r="F196" s="397" t="n">
        <f aca="false">SQRT(acc_x^2+acc_z^2)</f>
        <v>28.5271346829707</v>
      </c>
      <c r="G196" s="396" t="n">
        <f aca="false">G195+acc_x*pas</f>
        <v>37.8405649458257</v>
      </c>
      <c r="H196" s="398" t="n">
        <f aca="false">H195+acc_z*pas</f>
        <v>183.778563533765</v>
      </c>
      <c r="I196" s="397" t="n">
        <f aca="false">SQRT(vit_x^2+vit_z^2)</f>
        <v>187.633868930834</v>
      </c>
      <c r="J196" s="396" t="n">
        <f aca="false">J195+0.5*(vit_x+G195)*pas*(K195&gt;=0)</f>
        <v>43.284609477098</v>
      </c>
      <c r="K196" s="398" t="n">
        <f aca="false">K195+0.5*(vit_z+H195)*pas</f>
        <v>219.131841989695</v>
      </c>
      <c r="L196" s="397" t="n">
        <f aca="false">SQRT(pos_x^2+pos_z^2)</f>
        <v>223.365891736813</v>
      </c>
      <c r="M196" s="396" t="n">
        <f aca="false">IF(AND(L195&gt;L_rampe,G196&gt;0),ATAN2(G196,H196),$M$4)</f>
        <v>1.36773126363722</v>
      </c>
      <c r="N196" s="397" t="n">
        <f aca="false">DEGREES(Beta)</f>
        <v>78.3652289145076</v>
      </c>
      <c r="P196" s="399" t="n">
        <f aca="false">MATCH(t-pas/2-T_ini,CdP_t)</f>
        <v>23</v>
      </c>
      <c r="Q196" s="397" t="n">
        <f aca="false">(INDEX(CdP,2,i_P+1)-INDEX(CdP,2,i_P+0))/(INDEX(CdP,1,i_P+1)-INDEX(CdP,1,i_P+0))*(t-pas/2-T_ini-INDEX(CdP,1,i_P+0))+INDEX(CdP,2,i_P+0)</f>
        <v>0</v>
      </c>
      <c r="R196" s="396" t="n">
        <f aca="false">Poussee/(g*ISP)</f>
        <v>0</v>
      </c>
      <c r="S196" s="398" t="n">
        <f aca="false">S195-Débit*pas</f>
        <v>8.45</v>
      </c>
      <c r="T196" s="397" t="n">
        <f aca="false">m*g</f>
        <v>82.8945</v>
      </c>
      <c r="U196" s="400" t="n">
        <f aca="false">IF(pos_xz&lt;L_rampe,Poids*COS(Beta),0)</f>
        <v>0</v>
      </c>
      <c r="V196" s="396" t="n">
        <f aca="false">Rho_moyen*(20000-Alt_rampe-pos_z)/(20000+Alt_rampe+pos_z)</f>
        <v>1.19844727671443</v>
      </c>
      <c r="W196" s="397" t="n">
        <f aca="false">1/2*Rho*Sref*Cx*vit_xz^2</f>
        <v>158.770183585755</v>
      </c>
      <c r="Y196" s="401" t="str">
        <f aca="false">IF(AND(pos_z&lt;=0,K195&gt;0),"Impact balistique","") &amp; IF(AND(H197&lt;0,vit_z&gt;=0),"Apogée","") &amp; IF(AND(Poussee=0,Q195&gt;0),"Fin de propulsion","") &amp; IF(AND(L197&gt;L_rampe,pos_xz&lt;=L_rampe),"Sortie de rampe","")</f>
        <v/>
      </c>
      <c r="Z196" s="402" t="str">
        <f aca="false">IF(ABS(t-T_para)&lt;pas/2,"Para","")</f>
        <v/>
      </c>
      <c r="AA196" s="403" t="str">
        <f aca="false">IF(ABS(t-T_satellite)&lt;pas/2,"Satellite","")</f>
        <v/>
      </c>
      <c r="AC196" s="399" t="e">
        <f aca="false">IF(ABS(t-ROUND(t,0))&lt;0.001,t,NA())</f>
        <v>#N/A</v>
      </c>
      <c r="AD196" s="404" t="e">
        <f aca="false">IF(ABS(t-ROUND(t,0))&lt;0.001,pos_x,NA())</f>
        <v>#N/A</v>
      </c>
      <c r="AE196" s="405" t="n">
        <f aca="false">IF(t&lt;T_para, pos_z, NA())</f>
        <v>219.131841989695</v>
      </c>
      <c r="AG196" s="396" t="n">
        <f aca="false">IF(AND(L195&lt;L_rampe,Poussee&lt;Poids*SIN(M195)),0,(-W195+Poussee)/m-Poids*SIN(M195)/m)</f>
        <v>-28.4585194485787</v>
      </c>
      <c r="AH196" s="397" t="n">
        <f aca="false">IF(AND(L195&lt;L_rampe,Poussee&lt;Poids*SIN(M195)), g*SIN(M195), (-W195+Poussee)/m)</f>
        <v>-18.8498766732029</v>
      </c>
    </row>
    <row r="197" customFormat="false" ht="12.75" hidden="false" customHeight="false" outlineLevel="0" collapsed="false">
      <c r="A197" s="396" t="n">
        <f aca="false">IF(B196+0.01&lt;=T_ini+ROUNDUP(Temps_fin_propu,0), 0.01, IF(K196&gt;0, 0.1, 0.0001))</f>
        <v>0.01</v>
      </c>
      <c r="B197" s="397" t="n">
        <f aca="false">B196+pas</f>
        <v>1.93</v>
      </c>
      <c r="D197" s="396" t="n">
        <f aca="false">IF(AND(L196&lt;L_rampe,Poussee&lt;Poids*SIN(M196)),0,(-W196+Poussee)/m*COS(M196)-U196/m*SIN(M196))</f>
        <v>-3.78929673815702</v>
      </c>
      <c r="E197" s="398" t="n">
        <f aca="false">IF(AND(L196&lt;L_rampe,Poussee&lt;Poids*SIN(M196)),0,(-W196+Poussee)/m*SIN(M196)+U196/m*COS(M196)-Poids/m)</f>
        <v>-28.2133064077839</v>
      </c>
      <c r="F197" s="397" t="n">
        <f aca="false">SQRT(acc_x^2+acc_z^2)</f>
        <v>28.4666371078374</v>
      </c>
      <c r="G197" s="396" t="n">
        <f aca="false">G196+acc_x*pas</f>
        <v>37.8026719784442</v>
      </c>
      <c r="H197" s="398" t="n">
        <f aca="false">H196+acc_z*pas</f>
        <v>183.496430469687</v>
      </c>
      <c r="I197" s="397" t="n">
        <f aca="false">SQRT(vit_x^2+vit_z^2)</f>
        <v>187.349891923712</v>
      </c>
      <c r="J197" s="396" t="n">
        <f aca="false">J196+0.5*(vit_x+G196)*pas*(K196&gt;=0)</f>
        <v>43.6628256617193</v>
      </c>
      <c r="K197" s="398" t="n">
        <f aca="false">K196+0.5*(vit_z+H196)*pas</f>
        <v>220.968216959713</v>
      </c>
      <c r="L197" s="397" t="n">
        <f aca="false">SQRT(pos_x^2+pos_z^2)</f>
        <v>225.24074953507</v>
      </c>
      <c r="M197" s="396" t="n">
        <f aca="false">IF(AND(L196&gt;L_rampe,G197&gt;0),ATAN2(G197,H197),$M$4)</f>
        <v>1.36762566411839</v>
      </c>
      <c r="N197" s="397" t="n">
        <f aca="false">DEGREES(Beta)</f>
        <v>78.3591785077603</v>
      </c>
      <c r="P197" s="399" t="n">
        <f aca="false">MATCH(t-pas/2-T_ini,CdP_t)</f>
        <v>23</v>
      </c>
      <c r="Q197" s="397" t="n">
        <f aca="false">(INDEX(CdP,2,i_P+1)-INDEX(CdP,2,i_P+0))/(INDEX(CdP,1,i_P+1)-INDEX(CdP,1,i_P+0))*(t-pas/2-T_ini-INDEX(CdP,1,i_P+0))+INDEX(CdP,2,i_P+0)</f>
        <v>0</v>
      </c>
      <c r="R197" s="396" t="n">
        <f aca="false">Poussee/(g*ISP)</f>
        <v>0</v>
      </c>
      <c r="S197" s="398" t="n">
        <f aca="false">S196-Débit*pas</f>
        <v>8.45</v>
      </c>
      <c r="T197" s="397" t="n">
        <f aca="false">m*g</f>
        <v>82.8945</v>
      </c>
      <c r="U197" s="400" t="n">
        <f aca="false">IF(pos_xz&lt;L_rampe,Poids*COS(Beta),0)</f>
        <v>0</v>
      </c>
      <c r="V197" s="396" t="n">
        <f aca="false">Rho_moyen*(20000-Alt_rampe-pos_z)/(20000+Alt_rampe+pos_z)</f>
        <v>1.19822719042221</v>
      </c>
      <c r="W197" s="397" t="n">
        <f aca="false">1/2*Rho*Sref*Cx*vit_xz^2</f>
        <v>158.260892690855</v>
      </c>
      <c r="Y197" s="401" t="str">
        <f aca="false">IF(AND(pos_z&lt;=0,K196&gt;0),"Impact balistique","") &amp; IF(AND(H198&lt;0,vit_z&gt;=0),"Apogée","") &amp; IF(AND(Poussee=0,Q196&gt;0),"Fin de propulsion","") &amp; IF(AND(L198&gt;L_rampe,pos_xz&lt;=L_rampe),"Sortie de rampe","")</f>
        <v/>
      </c>
      <c r="Z197" s="402" t="str">
        <f aca="false">IF(ABS(t-T_para)&lt;pas/2,"Para","")</f>
        <v/>
      </c>
      <c r="AA197" s="403" t="str">
        <f aca="false">IF(ABS(t-T_satellite)&lt;pas/2,"Satellite","")</f>
        <v/>
      </c>
      <c r="AC197" s="399" t="e">
        <f aca="false">IF(ABS(t-ROUND(t,0))&lt;0.001,t,NA())</f>
        <v>#N/A</v>
      </c>
      <c r="AD197" s="404" t="e">
        <f aca="false">IF(ABS(t-ROUND(t,0))&lt;0.001,pos_x,NA())</f>
        <v>#N/A</v>
      </c>
      <c r="AE197" s="405" t="n">
        <f aca="false">IF(t&lt;T_para, pos_z, NA())</f>
        <v>220.968216959713</v>
      </c>
      <c r="AG197" s="396" t="n">
        <f aca="false">IF(AND(L196&lt;L_rampe,Poussee&lt;Poids*SIN(M196)),0,(-W196+Poussee)/m-Poids*SIN(M196)/m)</f>
        <v>-28.3978051715381</v>
      </c>
      <c r="AH197" s="397" t="n">
        <f aca="false">IF(AND(L196&lt;L_rampe,Poussee&lt;Poids*SIN(M196)), g*SIN(M196), (-W196+Poussee)/m)</f>
        <v>-18.7893708385509</v>
      </c>
    </row>
    <row r="198" customFormat="false" ht="12.75" hidden="false" customHeight="false" outlineLevel="0" collapsed="false">
      <c r="A198" s="396" t="n">
        <f aca="false">IF(B197+0.01&lt;=T_ini+ROUNDUP(Temps_fin_propu,0), 0.01, IF(K197&gt;0, 0.1, 0.0001))</f>
        <v>0.01</v>
      </c>
      <c r="B198" s="397" t="n">
        <f aca="false">B197+pas</f>
        <v>1.94</v>
      </c>
      <c r="D198" s="396" t="n">
        <f aca="false">IF(AND(L197&lt;L_rampe,Poussee&lt;Poids*SIN(M197)),0,(-W197+Poussee)/m*COS(M197)-U197/m*SIN(M197))</f>
        <v>-3.77907884627648</v>
      </c>
      <c r="E198" s="398" t="n">
        <f aca="false">IF(AND(L197&lt;L_rampe,Poussee&lt;Poids*SIN(M197)),0,(-W197+Poussee)/m*SIN(M197)+U197/m*COS(M197)-Poids/m)</f>
        <v>-28.1538747173918</v>
      </c>
      <c r="F198" s="397" t="n">
        <f aca="false">SQRT(acc_x^2+acc_z^2)</f>
        <v>28.4063742587639</v>
      </c>
      <c r="G198" s="396" t="n">
        <f aca="false">G197+acc_x*pas</f>
        <v>37.7648811899814</v>
      </c>
      <c r="H198" s="398" t="n">
        <f aca="false">H197+acc_z*pas</f>
        <v>183.214891722513</v>
      </c>
      <c r="I198" s="397" t="n">
        <f aca="false">SQRT(vit_x^2+vit_z^2)</f>
        <v>187.066519720087</v>
      </c>
      <c r="J198" s="396" t="n">
        <f aca="false">J197+0.5*(vit_x+G197)*pas*(K197&gt;=0)</f>
        <v>44.0406634275615</v>
      </c>
      <c r="K198" s="398" t="n">
        <f aca="false">K197+0.5*(vit_z+H197)*pas</f>
        <v>222.801773570674</v>
      </c>
      <c r="L198" s="397" t="n">
        <f aca="false">SQRT(pos_x^2+pos_z^2)</f>
        <v>227.112770097539</v>
      </c>
      <c r="M198" s="396" t="n">
        <f aca="false">IF(AND(L197&gt;L_rampe,G198&gt;0),ATAN2(G198,H198),$M$4)</f>
        <v>1.36751985039599</v>
      </c>
      <c r="N198" s="397" t="n">
        <f aca="false">DEGREES(Beta)</f>
        <v>78.3531158280518</v>
      </c>
      <c r="P198" s="399" t="n">
        <f aca="false">MATCH(t-pas/2-T_ini,CdP_t)</f>
        <v>23</v>
      </c>
      <c r="Q198" s="397" t="n">
        <f aca="false">(INDEX(CdP,2,i_P+1)-INDEX(CdP,2,i_P+0))/(INDEX(CdP,1,i_P+1)-INDEX(CdP,1,i_P+0))*(t-pas/2-T_ini-INDEX(CdP,1,i_P+0))+INDEX(CdP,2,i_P+0)</f>
        <v>0</v>
      </c>
      <c r="R198" s="396" t="n">
        <f aca="false">Poussee/(g*ISP)</f>
        <v>0</v>
      </c>
      <c r="S198" s="398" t="n">
        <f aca="false">S197-Débit*pas</f>
        <v>8.45</v>
      </c>
      <c r="T198" s="397" t="n">
        <f aca="false">m*g</f>
        <v>82.8945</v>
      </c>
      <c r="U198" s="400" t="n">
        <f aca="false">IF(pos_xz&lt;L_rampe,Poids*COS(Beta),0)</f>
        <v>0</v>
      </c>
      <c r="V198" s="396" t="n">
        <f aca="false">Rho_moyen*(20000-Alt_rampe-pos_z)/(20000+Alt_rampe+pos_z)</f>
        <v>1.19800748178417</v>
      </c>
      <c r="W198" s="397" t="n">
        <f aca="false">1/2*Rho*Sref*Cx*vit_xz^2</f>
        <v>157.753575048047</v>
      </c>
      <c r="Y198" s="401" t="str">
        <f aca="false">IF(AND(pos_z&lt;=0,K197&gt;0),"Impact balistique","") &amp; IF(AND(H199&lt;0,vit_z&gt;=0),"Apogée","") &amp; IF(AND(Poussee=0,Q197&gt;0),"Fin de propulsion","") &amp; IF(AND(L199&gt;L_rampe,pos_xz&lt;=L_rampe),"Sortie de rampe","")</f>
        <v/>
      </c>
      <c r="Z198" s="402" t="str">
        <f aca="false">IF(ABS(t-T_para)&lt;pas/2,"Para","")</f>
        <v/>
      </c>
      <c r="AA198" s="403" t="str">
        <f aca="false">IF(ABS(t-T_satellite)&lt;pas/2,"Satellite","")</f>
        <v/>
      </c>
      <c r="AC198" s="399" t="e">
        <f aca="false">IF(ABS(t-ROUND(t,0))&lt;0.001,t,NA())</f>
        <v>#N/A</v>
      </c>
      <c r="AD198" s="404" t="e">
        <f aca="false">IF(ABS(t-ROUND(t,0))&lt;0.001,pos_x,NA())</f>
        <v>#N/A</v>
      </c>
      <c r="AE198" s="405" t="n">
        <f aca="false">IF(t&lt;T_para, pos_z, NA())</f>
        <v>222.801773570674</v>
      </c>
      <c r="AG198" s="396" t="n">
        <f aca="false">IF(AND(L197&lt;L_rampe,Poussee&lt;Poids*SIN(M197)),0,(-W197+Poussee)/m-Poids*SIN(M197)/m)</f>
        <v>-28.3373250874382</v>
      </c>
      <c r="AH198" s="397" t="n">
        <f aca="false">IF(AND(L197&lt;L_rampe,Poussee&lt;Poids*SIN(M197)), g*SIN(M197), (-W197+Poussee)/m)</f>
        <v>-18.7290997267285</v>
      </c>
    </row>
    <row r="199" customFormat="false" ht="12.75" hidden="false" customHeight="false" outlineLevel="0" collapsed="false">
      <c r="A199" s="396" t="n">
        <f aca="false">IF(B198+0.01&lt;=T_ini+ROUNDUP(Temps_fin_propu,0), 0.01, IF(K198&gt;0, 0.1, 0.0001))</f>
        <v>0.01</v>
      </c>
      <c r="B199" s="397" t="n">
        <f aca="false">B198+pas</f>
        <v>1.95</v>
      </c>
      <c r="D199" s="396" t="n">
        <f aca="false">IF(AND(L198&lt;L_rampe,Poussee&lt;Poids*SIN(M198)),0,(-W198+Poussee)/m*COS(M198)-U198/m*SIN(M198))</f>
        <v>-3.76889950454112</v>
      </c>
      <c r="E199" s="398" t="n">
        <f aca="false">IF(AND(L198&lt;L_rampe,Poussee&lt;Poids*SIN(M198)),0,(-W198+Poussee)/m*SIN(M198)+U198/m*COS(M198)-Poids/m)</f>
        <v>-28.0946732964361</v>
      </c>
      <c r="F199" s="397" t="n">
        <f aca="false">SQRT(acc_x^2+acc_z^2)</f>
        <v>28.3463449338501</v>
      </c>
      <c r="G199" s="396" t="n">
        <f aca="false">G198+acc_x*pas</f>
        <v>37.727192194936</v>
      </c>
      <c r="H199" s="398" t="n">
        <f aca="false">H198+acc_z*pas</f>
        <v>182.933944989548</v>
      </c>
      <c r="I199" s="397" t="n">
        <f aca="false">SQRT(vit_x^2+vit_z^2)</f>
        <v>186.783749990069</v>
      </c>
      <c r="J199" s="396" t="n">
        <f aca="false">J198+0.5*(vit_x+G198)*pas*(K198&gt;=0)</f>
        <v>44.418123794486</v>
      </c>
      <c r="K199" s="398" t="n">
        <f aca="false">K198+0.5*(vit_z+H198)*pas</f>
        <v>224.632517754234</v>
      </c>
      <c r="L199" s="397" t="n">
        <f aca="false">SQRT(pos_x^2+pos_z^2)</f>
        <v>228.98195945102</v>
      </c>
      <c r="M199" s="396" t="n">
        <f aca="false">IF(AND(L198&gt;L_rampe,G199&gt;0),ATAN2(G199,H199),$M$4)</f>
        <v>1.36741382205305</v>
      </c>
      <c r="N199" s="397" t="n">
        <f aca="false">DEGREES(Beta)</f>
        <v>78.3470408514926</v>
      </c>
      <c r="P199" s="399" t="n">
        <f aca="false">MATCH(t-pas/2-T_ini,CdP_t)</f>
        <v>23</v>
      </c>
      <c r="Q199" s="397" t="n">
        <f aca="false">(INDEX(CdP,2,i_P+1)-INDEX(CdP,2,i_P+0))/(INDEX(CdP,1,i_P+1)-INDEX(CdP,1,i_P+0))*(t-pas/2-T_ini-INDEX(CdP,1,i_P+0))+INDEX(CdP,2,i_P+0)</f>
        <v>0</v>
      </c>
      <c r="R199" s="396" t="n">
        <f aca="false">Poussee/(g*ISP)</f>
        <v>0</v>
      </c>
      <c r="S199" s="398" t="n">
        <f aca="false">S198-Débit*pas</f>
        <v>8.45</v>
      </c>
      <c r="T199" s="397" t="n">
        <f aca="false">m*g</f>
        <v>82.8945</v>
      </c>
      <c r="U199" s="400" t="n">
        <f aca="false">IF(pos_xz&lt;L_rampe,Poids*COS(Beta),0)</f>
        <v>0</v>
      </c>
      <c r="V199" s="396" t="n">
        <f aca="false">Rho_moyen*(20000-Alt_rampe-pos_z)/(20000+Alt_rampe+pos_z)</f>
        <v>1.1977881498952</v>
      </c>
      <c r="W199" s="397" t="n">
        <f aca="false">1/2*Rho*Sref*Cx*vit_xz^2</f>
        <v>157.248220567183</v>
      </c>
      <c r="Y199" s="401" t="str">
        <f aca="false">IF(AND(pos_z&lt;=0,K198&gt;0),"Impact balistique","") &amp; IF(AND(H200&lt;0,vit_z&gt;=0),"Apogée","") &amp; IF(AND(Poussee=0,Q198&gt;0),"Fin de propulsion","") &amp; IF(AND(L200&gt;L_rampe,pos_xz&lt;=L_rampe),"Sortie de rampe","")</f>
        <v/>
      </c>
      <c r="Z199" s="402" t="str">
        <f aca="false">IF(ABS(t-T_para)&lt;pas/2,"Para","")</f>
        <v/>
      </c>
      <c r="AA199" s="403" t="str">
        <f aca="false">IF(ABS(t-T_satellite)&lt;pas/2,"Satellite","")</f>
        <v/>
      </c>
      <c r="AC199" s="399" t="e">
        <f aca="false">IF(ABS(t-ROUND(t,0))&lt;0.001,t,NA())</f>
        <v>#N/A</v>
      </c>
      <c r="AD199" s="404" t="e">
        <f aca="false">IF(ABS(t-ROUND(t,0))&lt;0.001,pos_x,NA())</f>
        <v>#N/A</v>
      </c>
      <c r="AE199" s="405" t="n">
        <f aca="false">IF(t&lt;T_para, pos_z, NA())</f>
        <v>224.632517754234</v>
      </c>
      <c r="AG199" s="396" t="n">
        <f aca="false">IF(AND(L198&lt;L_rampe,Poussee&lt;Poids*SIN(M198)),0,(-W198+Poussee)/m-Poids*SIN(M198)/m)</f>
        <v>-28.2770779929354</v>
      </c>
      <c r="AH199" s="397" t="n">
        <f aca="false">IF(AND(L198&lt;L_rampe,Poussee&lt;Poids*SIN(M198)), g*SIN(M198), (-W198+Poussee)/m)</f>
        <v>-18.6690621358635</v>
      </c>
    </row>
    <row r="200" customFormat="false" ht="12.75" hidden="false" customHeight="false" outlineLevel="0" collapsed="false">
      <c r="A200" s="396" t="n">
        <f aca="false">IF(B199+0.01&lt;=T_ini+ROUNDUP(Temps_fin_propu,0), 0.01, IF(K199&gt;0, 0.1, 0.0001))</f>
        <v>0.01</v>
      </c>
      <c r="B200" s="397" t="n">
        <f aca="false">B199+pas</f>
        <v>1.96</v>
      </c>
      <c r="D200" s="396" t="n">
        <f aca="false">IF(AND(L199&lt;L_rampe,Poussee&lt;Poids*SIN(M199)),0,(-W199+Poussee)/m*COS(M199)-U199/m*SIN(M199))</f>
        <v>-3.75875851430742</v>
      </c>
      <c r="E200" s="398" t="n">
        <f aca="false">IF(AND(L199&lt;L_rampe,Poussee&lt;Poids*SIN(M199)),0,(-W199+Poussee)/m*SIN(M199)+U199/m*COS(M199)-Poids/m)</f>
        <v>-28.0357009674207</v>
      </c>
      <c r="F200" s="397" t="n">
        <f aca="false">SQRT(acc_x^2+acc_z^2)</f>
        <v>28.2865479389676</v>
      </c>
      <c r="G200" s="396" t="n">
        <f aca="false">G199+acc_x*pas</f>
        <v>37.6896046097929</v>
      </c>
      <c r="H200" s="398" t="n">
        <f aca="false">H199+acc_z*pas</f>
        <v>182.653587979874</v>
      </c>
      <c r="I200" s="397" t="n">
        <f aca="false">SQRT(vit_x^2+vit_z^2)</f>
        <v>186.501580415728</v>
      </c>
      <c r="J200" s="396" t="n">
        <f aca="false">J199+0.5*(vit_x+G199)*pas*(K199&gt;=0)</f>
        <v>44.7952077785097</v>
      </c>
      <c r="K200" s="398" t="n">
        <f aca="false">K199+0.5*(vit_z+H199)*pas</f>
        <v>226.460455419081</v>
      </c>
      <c r="L200" s="397" t="n">
        <f aca="false">SQRT(pos_x^2+pos_z^2)</f>
        <v>230.848323599149</v>
      </c>
      <c r="M200" s="396" t="n">
        <f aca="false">IF(AND(L199&gt;L_rampe,G200&gt;0),ATAN2(G200,H200),$M$4)</f>
        <v>1.36730757867128</v>
      </c>
      <c r="N200" s="397" t="n">
        <f aca="false">DEGREES(Beta)</f>
        <v>78.340953554116</v>
      </c>
      <c r="P200" s="399" t="n">
        <f aca="false">MATCH(t-pas/2-T_ini,CdP_t)</f>
        <v>23</v>
      </c>
      <c r="Q200" s="397" t="n">
        <f aca="false">(INDEX(CdP,2,i_P+1)-INDEX(CdP,2,i_P+0))/(INDEX(CdP,1,i_P+1)-INDEX(CdP,1,i_P+0))*(t-pas/2-T_ini-INDEX(CdP,1,i_P+0))+INDEX(CdP,2,i_P+0)</f>
        <v>0</v>
      </c>
      <c r="R200" s="396" t="n">
        <f aca="false">Poussee/(g*ISP)</f>
        <v>0</v>
      </c>
      <c r="S200" s="398" t="n">
        <f aca="false">S199-Débit*pas</f>
        <v>8.45</v>
      </c>
      <c r="T200" s="397" t="n">
        <f aca="false">m*g</f>
        <v>82.8945</v>
      </c>
      <c r="U200" s="400" t="n">
        <f aca="false">IF(pos_xz&lt;L_rampe,Poids*COS(Beta),0)</f>
        <v>0</v>
      </c>
      <c r="V200" s="396" t="n">
        <f aca="false">Rho_moyen*(20000-Alt_rampe-pos_z)/(20000+Alt_rampe+pos_z)</f>
        <v>1.19756919385378</v>
      </c>
      <c r="W200" s="397" t="n">
        <f aca="false">1/2*Rho*Sref*Cx*vit_xz^2</f>
        <v>156.74481922328</v>
      </c>
      <c r="Y200" s="401" t="str">
        <f aca="false">IF(AND(pos_z&lt;=0,K199&gt;0),"Impact balistique","") &amp; IF(AND(H201&lt;0,vit_z&gt;=0),"Apogée","") &amp; IF(AND(Poussee=0,Q199&gt;0),"Fin de propulsion","") &amp; IF(AND(L201&gt;L_rampe,pos_xz&lt;=L_rampe),"Sortie de rampe","")</f>
        <v/>
      </c>
      <c r="Z200" s="402" t="str">
        <f aca="false">IF(ABS(t-T_para)&lt;pas/2,"Para","")</f>
        <v/>
      </c>
      <c r="AA200" s="403" t="str">
        <f aca="false">IF(ABS(t-T_satellite)&lt;pas/2,"Satellite","")</f>
        <v/>
      </c>
      <c r="AC200" s="399" t="e">
        <f aca="false">IF(ABS(t-ROUND(t,0))&lt;0.001,t,NA())</f>
        <v>#N/A</v>
      </c>
      <c r="AD200" s="404" t="e">
        <f aca="false">IF(ABS(t-ROUND(t,0))&lt;0.001,pos_x,NA())</f>
        <v>#N/A</v>
      </c>
      <c r="AE200" s="405" t="n">
        <f aca="false">IF(t&lt;T_para, pos_z, NA())</f>
        <v>226.460455419081</v>
      </c>
      <c r="AG200" s="396" t="n">
        <f aca="false">IF(AND(L199&lt;L_rampe,Poussee&lt;Poids*SIN(M199)),0,(-W199+Poussee)/m-Poids*SIN(M199)/m)</f>
        <v>-28.2170626924527</v>
      </c>
      <c r="AH200" s="397" t="n">
        <f aca="false">IF(AND(L199&lt;L_rampe,Poussee&lt;Poids*SIN(M199)), g*SIN(M199), (-W199+Poussee)/m)</f>
        <v>-18.609256871856</v>
      </c>
    </row>
    <row r="201" customFormat="false" ht="12.75" hidden="false" customHeight="false" outlineLevel="0" collapsed="false">
      <c r="A201" s="396" t="n">
        <f aca="false">IF(B200+0.01&lt;=T_ini+ROUNDUP(Temps_fin_propu,0), 0.01, IF(K200&gt;0, 0.1, 0.0001))</f>
        <v>0.01</v>
      </c>
      <c r="B201" s="397" t="n">
        <f aca="false">B200+pas</f>
        <v>1.97</v>
      </c>
      <c r="D201" s="396" t="n">
        <f aca="false">IF(AND(L200&lt;L_rampe,Poussee&lt;Poids*SIN(M200)),0,(-W200+Poussee)/m*COS(M200)-U200/m*SIN(M200))</f>
        <v>-3.7486556782133</v>
      </c>
      <c r="E201" s="398" t="n">
        <f aca="false">IF(AND(L200&lt;L_rampe,Poussee&lt;Poids*SIN(M200)),0,(-W200+Poussee)/m*SIN(M200)+U200/m*COS(M200)-Poids/m)</f>
        <v>-27.9769565604538</v>
      </c>
      <c r="F201" s="397" t="n">
        <f aca="false">SQRT(acc_x^2+acc_z^2)</f>
        <v>28.2269820876997</v>
      </c>
      <c r="G201" s="396" t="n">
        <f aca="false">G200+acc_x*pas</f>
        <v>37.6521180530108</v>
      </c>
      <c r="H201" s="398" t="n">
        <f aca="false">H200+acc_z*pas</f>
        <v>182.37381841427</v>
      </c>
      <c r="I201" s="397" t="n">
        <f aca="false">SQRT(vit_x^2+vit_z^2)</f>
        <v>186.220008691007</v>
      </c>
      <c r="J201" s="396" t="n">
        <f aca="false">J200+0.5*(vit_x+G200)*pas*(K200&gt;=0)</f>
        <v>45.1719163918237</v>
      </c>
      <c r="K201" s="398" t="n">
        <f aca="false">K200+0.5*(vit_z+H200)*pas</f>
        <v>228.285592451052</v>
      </c>
      <c r="L201" s="397" t="n">
        <f aca="false">SQRT(pos_x^2+pos_z^2)</f>
        <v>232.711868522509</v>
      </c>
      <c r="M201" s="396" t="n">
        <f aca="false">IF(AND(L200&gt;L_rampe,G201&gt;0),ATAN2(G201,H201),$M$4)</f>
        <v>1.36720111983104</v>
      </c>
      <c r="N201" s="397" t="n">
        <f aca="false">DEGREES(Beta)</f>
        <v>78.3348539118785</v>
      </c>
      <c r="P201" s="399" t="n">
        <f aca="false">MATCH(t-pas/2-T_ini,CdP_t)</f>
        <v>23</v>
      </c>
      <c r="Q201" s="397" t="n">
        <f aca="false">(INDEX(CdP,2,i_P+1)-INDEX(CdP,2,i_P+0))/(INDEX(CdP,1,i_P+1)-INDEX(CdP,1,i_P+0))*(t-pas/2-T_ini-INDEX(CdP,1,i_P+0))+INDEX(CdP,2,i_P+0)</f>
        <v>0</v>
      </c>
      <c r="R201" s="396" t="n">
        <f aca="false">Poussee/(g*ISP)</f>
        <v>0</v>
      </c>
      <c r="S201" s="398" t="n">
        <f aca="false">S200-Débit*pas</f>
        <v>8.45</v>
      </c>
      <c r="T201" s="397" t="n">
        <f aca="false">m*g</f>
        <v>82.8945</v>
      </c>
      <c r="U201" s="400" t="n">
        <f aca="false">IF(pos_xz&lt;L_rampe,Poids*COS(Beta),0)</f>
        <v>0</v>
      </c>
      <c r="V201" s="396" t="n">
        <f aca="false">Rho_moyen*(20000-Alt_rampe-pos_z)/(20000+Alt_rampe+pos_z)</f>
        <v>1.19735061276207</v>
      </c>
      <c r="W201" s="397" t="n">
        <f aca="false">1/2*Rho*Sref*Cx*vit_xz^2</f>
        <v>156.243361056011</v>
      </c>
      <c r="Y201" s="401" t="str">
        <f aca="false">IF(AND(pos_z&lt;=0,K200&gt;0),"Impact balistique","") &amp; IF(AND(H202&lt;0,vit_z&gt;=0),"Apogée","") &amp; IF(AND(Poussee=0,Q200&gt;0),"Fin de propulsion","") &amp; IF(AND(L202&gt;L_rampe,pos_xz&lt;=L_rampe),"Sortie de rampe","")</f>
        <v/>
      </c>
      <c r="Z201" s="402" t="str">
        <f aca="false">IF(ABS(t-T_para)&lt;pas/2,"Para","")</f>
        <v/>
      </c>
      <c r="AA201" s="403" t="str">
        <f aca="false">IF(ABS(t-T_satellite)&lt;pas/2,"Satellite","")</f>
        <v/>
      </c>
      <c r="AC201" s="399" t="e">
        <f aca="false">IF(ABS(t-ROUND(t,0))&lt;0.001,t,NA())</f>
        <v>#N/A</v>
      </c>
      <c r="AD201" s="404" t="e">
        <f aca="false">IF(ABS(t-ROUND(t,0))&lt;0.001,pos_x,NA())</f>
        <v>#N/A</v>
      </c>
      <c r="AE201" s="405" t="n">
        <f aca="false">IF(t&lt;T_para, pos_z, NA())</f>
        <v>228.285592451052</v>
      </c>
      <c r="AG201" s="396" t="n">
        <f aca="false">IF(AND(L200&lt;L_rampe,Poussee&lt;Poids*SIN(M200)),0,(-W200+Poussee)/m-Poids*SIN(M200)/m)</f>
        <v>-28.1572779981184</v>
      </c>
      <c r="AH201" s="397" t="n">
        <f aca="false">IF(AND(L200&lt;L_rampe,Poussee&lt;Poids*SIN(M200)), g*SIN(M200), (-W200+Poussee)/m)</f>
        <v>-18.5496827483172</v>
      </c>
    </row>
    <row r="202" customFormat="false" ht="12.75" hidden="false" customHeight="false" outlineLevel="0" collapsed="false">
      <c r="A202" s="396" t="n">
        <f aca="false">IF(B201+0.01&lt;=T_ini+ROUNDUP(Temps_fin_propu,0), 0.01, IF(K201&gt;0, 0.1, 0.0001))</f>
        <v>0.01</v>
      </c>
      <c r="B202" s="397" t="n">
        <f aca="false">B201+pas</f>
        <v>1.98</v>
      </c>
      <c r="D202" s="396" t="n">
        <f aca="false">IF(AND(L201&lt;L_rampe,Poussee&lt;Poids*SIN(M201)),0,(-W201+Poussee)/m*COS(M201)-U201/m*SIN(M201))</f>
        <v>-3.73859080016809</v>
      </c>
      <c r="E202" s="398" t="n">
        <f aca="false">IF(AND(L201&lt;L_rampe,Poussee&lt;Poids*SIN(M201)),0,(-W201+Poussee)/m*SIN(M201)+U201/m*COS(M201)-Poids/m)</f>
        <v>-27.9184389131887</v>
      </c>
      <c r="F202" s="397" t="n">
        <f aca="false">SQRT(acc_x^2+acc_z^2)</f>
        <v>28.1676462012811</v>
      </c>
      <c r="G202" s="396" t="n">
        <f aca="false">G201+acc_x*pas</f>
        <v>37.6147321450091</v>
      </c>
      <c r="H202" s="398" t="n">
        <f aca="false">H201+acc_z*pas</f>
        <v>182.094634025138</v>
      </c>
      <c r="I202" s="397" t="n">
        <f aca="false">SQRT(vit_x^2+vit_z^2)</f>
        <v>185.939032521657</v>
      </c>
      <c r="J202" s="396" t="n">
        <f aca="false">J201+0.5*(vit_x+G201)*pas*(K201&gt;=0)</f>
        <v>45.5482506428138</v>
      </c>
      <c r="K202" s="398" t="n">
        <f aca="false">K201+0.5*(vit_z+H201)*pas</f>
        <v>230.107934713249</v>
      </c>
      <c r="L202" s="397" t="n">
        <f aca="false">SQRT(pos_x^2+pos_z^2)</f>
        <v>234.572600178745</v>
      </c>
      <c r="M202" s="396" t="n">
        <f aca="false">IF(AND(L201&gt;L_rampe,G202&gt;0),ATAN2(G202,H202),$M$4)</f>
        <v>1.36709444511133</v>
      </c>
      <c r="N202" s="397" t="n">
        <f aca="false">DEGREES(Beta)</f>
        <v>78.3287419006585</v>
      </c>
      <c r="P202" s="399" t="n">
        <f aca="false">MATCH(t-pas/2-T_ini,CdP_t)</f>
        <v>23</v>
      </c>
      <c r="Q202" s="397" t="n">
        <f aca="false">(INDEX(CdP,2,i_P+1)-INDEX(CdP,2,i_P+0))/(INDEX(CdP,1,i_P+1)-INDEX(CdP,1,i_P+0))*(t-pas/2-T_ini-INDEX(CdP,1,i_P+0))+INDEX(CdP,2,i_P+0)</f>
        <v>0</v>
      </c>
      <c r="R202" s="396" t="n">
        <f aca="false">Poussee/(g*ISP)</f>
        <v>0</v>
      </c>
      <c r="S202" s="398" t="n">
        <f aca="false">S201-Débit*pas</f>
        <v>8.45</v>
      </c>
      <c r="T202" s="397" t="n">
        <f aca="false">m*g</f>
        <v>82.8945</v>
      </c>
      <c r="U202" s="400" t="n">
        <f aca="false">IF(pos_xz&lt;L_rampe,Poids*COS(Beta),0)</f>
        <v>0</v>
      </c>
      <c r="V202" s="396" t="n">
        <f aca="false">Rho_moyen*(20000-Alt_rampe-pos_z)/(20000+Alt_rampe+pos_z)</f>
        <v>1.19713240572582</v>
      </c>
      <c r="W202" s="397" t="n">
        <f aca="false">1/2*Rho*Sref*Cx*vit_xz^2</f>
        <v>155.743836169201</v>
      </c>
      <c r="Y202" s="401" t="str">
        <f aca="false">IF(AND(pos_z&lt;=0,K201&gt;0),"Impact balistique","") &amp; IF(AND(H203&lt;0,vit_z&gt;=0),"Apogée","") &amp; IF(AND(Poussee=0,Q201&gt;0),"Fin de propulsion","") &amp; IF(AND(L203&gt;L_rampe,pos_xz&lt;=L_rampe),"Sortie de rampe","")</f>
        <v/>
      </c>
      <c r="Z202" s="402" t="str">
        <f aca="false">IF(ABS(t-T_para)&lt;pas/2,"Para","")</f>
        <v/>
      </c>
      <c r="AA202" s="403" t="str">
        <f aca="false">IF(ABS(t-T_satellite)&lt;pas/2,"Satellite","")</f>
        <v/>
      </c>
      <c r="AC202" s="399" t="e">
        <f aca="false">IF(ABS(t-ROUND(t,0))&lt;0.001,t,NA())</f>
        <v>#N/A</v>
      </c>
      <c r="AD202" s="404" t="e">
        <f aca="false">IF(ABS(t-ROUND(t,0))&lt;0.001,pos_x,NA())</f>
        <v>#N/A</v>
      </c>
      <c r="AE202" s="405" t="n">
        <f aca="false">IF(t&lt;T_para, pos_z, NA())</f>
        <v>230.107934713249</v>
      </c>
      <c r="AG202" s="396" t="n">
        <f aca="false">IF(AND(L201&lt;L_rampe,Poussee&lt;Poids*SIN(M201)),0,(-W201+Poussee)/m-Poids*SIN(M201)/m)</f>
        <v>-28.0977227297071</v>
      </c>
      <c r="AH202" s="397" t="n">
        <f aca="false">IF(AND(L201&lt;L_rampe,Poussee&lt;Poids*SIN(M201)), g*SIN(M201), (-W201+Poussee)/m)</f>
        <v>-18.4903385865102</v>
      </c>
    </row>
    <row r="203" customFormat="false" ht="12.75" hidden="false" customHeight="false" outlineLevel="0" collapsed="false">
      <c r="A203" s="396" t="n">
        <f aca="false">IF(B202+0.01&lt;=T_ini+ROUNDUP(Temps_fin_propu,0), 0.01, IF(K202&gt;0, 0.1, 0.0001))</f>
        <v>0.01</v>
      </c>
      <c r="B203" s="397" t="n">
        <f aca="false">B202+pas</f>
        <v>1.99</v>
      </c>
      <c r="D203" s="396" t="n">
        <f aca="false">IF(AND(L202&lt;L_rampe,Poussee&lt;Poids*SIN(M202)),0,(-W202+Poussee)/m*COS(M202)-U202/m*SIN(M202))</f>
        <v>-3.72856368534274</v>
      </c>
      <c r="E203" s="398" t="n">
        <f aca="false">IF(AND(L202&lt;L_rampe,Poussee&lt;Poids*SIN(M202)),0,(-W202+Poussee)/m*SIN(M202)+U202/m*COS(M202)-Poids/m)</f>
        <v>-27.8601468707652</v>
      </c>
      <c r="F203" s="397" t="n">
        <f aca="false">SQRT(acc_x^2+acc_z^2)</f>
        <v>28.1085391085389</v>
      </c>
      <c r="G203" s="396" t="n">
        <f aca="false">G202+acc_x*pas</f>
        <v>37.5774465081557</v>
      </c>
      <c r="H203" s="398" t="n">
        <f aca="false">H202+acc_z*pas</f>
        <v>181.81603255643</v>
      </c>
      <c r="I203" s="397" t="n">
        <f aca="false">SQRT(vit_x^2+vit_z^2)</f>
        <v>185.65864962515</v>
      </c>
      <c r="J203" s="396" t="n">
        <f aca="false">J202+0.5*(vit_x+G202)*pas*(K202&gt;=0)</f>
        <v>45.9242115360796</v>
      </c>
      <c r="K203" s="398" t="n">
        <f aca="false">K202+0.5*(vit_z+H202)*pas</f>
        <v>231.927488046157</v>
      </c>
      <c r="L203" s="397" t="n">
        <f aca="false">SQRT(pos_x^2+pos_z^2)</f>
        <v>236.430524502677</v>
      </c>
      <c r="M203" s="396" t="n">
        <f aca="false">IF(AND(L202&gt;L_rampe,G203&gt;0),ATAN2(G203,H203),$M$4)</f>
        <v>1.3669875540898</v>
      </c>
      <c r="N203" s="397" t="n">
        <f aca="false">DEGREES(Beta)</f>
        <v>78.322617496257</v>
      </c>
      <c r="P203" s="399" t="n">
        <f aca="false">MATCH(t-pas/2-T_ini,CdP_t)</f>
        <v>23</v>
      </c>
      <c r="Q203" s="397" t="n">
        <f aca="false">(INDEX(CdP,2,i_P+1)-INDEX(CdP,2,i_P+0))/(INDEX(CdP,1,i_P+1)-INDEX(CdP,1,i_P+0))*(t-pas/2-T_ini-INDEX(CdP,1,i_P+0))+INDEX(CdP,2,i_P+0)</f>
        <v>0</v>
      </c>
      <c r="R203" s="396" t="n">
        <f aca="false">Poussee/(g*ISP)</f>
        <v>0</v>
      </c>
      <c r="S203" s="398" t="n">
        <f aca="false">S202-Débit*pas</f>
        <v>8.45</v>
      </c>
      <c r="T203" s="397" t="n">
        <f aca="false">m*g</f>
        <v>82.8945</v>
      </c>
      <c r="U203" s="400" t="n">
        <f aca="false">IF(pos_xz&lt;L_rampe,Poids*COS(Beta),0)</f>
        <v>0</v>
      </c>
      <c r="V203" s="396" t="n">
        <f aca="false">Rho_moyen*(20000-Alt_rampe-pos_z)/(20000+Alt_rampe+pos_z)</f>
        <v>1.19691457185437</v>
      </c>
      <c r="W203" s="397" t="n">
        <f aca="false">1/2*Rho*Sref*Cx*vit_xz^2</f>
        <v>155.246234730337</v>
      </c>
      <c r="Y203" s="401" t="str">
        <f aca="false">IF(AND(pos_z&lt;=0,K202&gt;0),"Impact balistique","") &amp; IF(AND(H204&lt;0,vit_z&gt;=0),"Apogée","") &amp; IF(AND(Poussee=0,Q202&gt;0),"Fin de propulsion","") &amp; IF(AND(L204&gt;L_rampe,pos_xz&lt;=L_rampe),"Sortie de rampe","")</f>
        <v/>
      </c>
      <c r="Z203" s="402" t="str">
        <f aca="false">IF(ABS(t-T_para)&lt;pas/2,"Para","")</f>
        <v/>
      </c>
      <c r="AA203" s="403" t="str">
        <f aca="false">IF(ABS(t-T_satellite)&lt;pas/2,"Satellite","")</f>
        <v/>
      </c>
      <c r="AC203" s="399" t="e">
        <f aca="false">IF(ABS(t-ROUND(t,0))&lt;0.001,t,NA())</f>
        <v>#N/A</v>
      </c>
      <c r="AD203" s="404" t="e">
        <f aca="false">IF(ABS(t-ROUND(t,0))&lt;0.001,pos_x,NA())</f>
        <v>#N/A</v>
      </c>
      <c r="AE203" s="405" t="n">
        <f aca="false">IF(t&lt;T_para, pos_z, NA())</f>
        <v>231.927488046157</v>
      </c>
      <c r="AG203" s="396" t="n">
        <f aca="false">IF(AND(L202&lt;L_rampe,Poussee&lt;Poids*SIN(M202)),0,(-W202+Poussee)/m-Poids*SIN(M202)/m)</f>
        <v>-28.0383957145799</v>
      </c>
      <c r="AH203" s="397" t="n">
        <f aca="false">IF(AND(L202&lt;L_rampe,Poussee&lt;Poids*SIN(M202)), g*SIN(M202), (-W202+Poussee)/m)</f>
        <v>-18.4312232152901</v>
      </c>
    </row>
    <row r="204" customFormat="false" ht="12.75" hidden="false" customHeight="false" outlineLevel="0" collapsed="false">
      <c r="A204" s="396" t="n">
        <f aca="false">IF(B203+0.01&lt;=T_ini+ROUNDUP(Temps_fin_propu,0), 0.01, IF(K203&gt;0, 0.1, 0.0001))</f>
        <v>0.01</v>
      </c>
      <c r="B204" s="397" t="n">
        <f aca="false">B203+pas</f>
        <v>2</v>
      </c>
      <c r="D204" s="396" t="n">
        <f aca="false">IF(AND(L203&lt;L_rampe,Poussee&lt;Poids*SIN(M203)),0,(-W203+Poussee)/m*COS(M203)-U203/m*SIN(M203))</f>
        <v>-3.71857414016003</v>
      </c>
      <c r="E204" s="398" t="n">
        <f aca="false">IF(AND(L203&lt;L_rampe,Poussee&lt;Poids*SIN(M203)),0,(-W203+Poussee)/m*SIN(M203)+U203/m*COS(M203)-Poids/m)</f>
        <v>-27.8020792857518</v>
      </c>
      <c r="F204" s="397" t="n">
        <f aca="false">SQRT(acc_x^2+acc_z^2)</f>
        <v>28.0496596458335</v>
      </c>
      <c r="G204" s="396" t="n">
        <f aca="false">G203+acc_x*pas</f>
        <v>37.5402607667541</v>
      </c>
      <c r="H204" s="398" t="n">
        <f aca="false">H203+acc_z*pas</f>
        <v>181.538011763573</v>
      </c>
      <c r="I204" s="397" t="n">
        <f aca="false">SQRT(vit_x^2+vit_z^2)</f>
        <v>185.378857730613</v>
      </c>
      <c r="J204" s="396" t="n">
        <f aca="false">J203+0.5*(vit_x+G203)*pas*(K203&gt;=0)</f>
        <v>46.2998000724542</v>
      </c>
      <c r="K204" s="398" t="n">
        <f aca="false">K203+0.5*(vit_z+H203)*pas</f>
        <v>233.744258267757</v>
      </c>
      <c r="L204" s="397" t="n">
        <f aca="false">SQRT(pos_x^2+pos_z^2)</f>
        <v>238.285647406412</v>
      </c>
      <c r="M204" s="396" t="n">
        <f aca="false">IF(AND(L203&gt;L_rampe,G204&gt;0),ATAN2(G204,H204),$M$4)</f>
        <v>1.36688044634273</v>
      </c>
      <c r="N204" s="397" t="n">
        <f aca="false">DEGREES(Beta)</f>
        <v>78.3164806743967</v>
      </c>
      <c r="P204" s="399" t="n">
        <f aca="false">MATCH(t-pas/2-T_ini,CdP_t)</f>
        <v>23</v>
      </c>
      <c r="Q204" s="397" t="n">
        <f aca="false">(INDEX(CdP,2,i_P+1)-INDEX(CdP,2,i_P+0))/(INDEX(CdP,1,i_P+1)-INDEX(CdP,1,i_P+0))*(t-pas/2-T_ini-INDEX(CdP,1,i_P+0))+INDEX(CdP,2,i_P+0)</f>
        <v>0</v>
      </c>
      <c r="R204" s="396" t="n">
        <f aca="false">Poussee/(g*ISP)</f>
        <v>0</v>
      </c>
      <c r="S204" s="398" t="n">
        <f aca="false">S203-Débit*pas</f>
        <v>8.45</v>
      </c>
      <c r="T204" s="397" t="n">
        <f aca="false">m*g</f>
        <v>82.8945</v>
      </c>
      <c r="U204" s="400" t="n">
        <f aca="false">IF(pos_xz&lt;L_rampe,Poids*COS(Beta),0)</f>
        <v>0</v>
      </c>
      <c r="V204" s="396" t="n">
        <f aca="false">Rho_moyen*(20000-Alt_rampe-pos_z)/(20000+Alt_rampe+pos_z)</f>
        <v>1.19669711026065</v>
      </c>
      <c r="W204" s="397" t="n">
        <f aca="false">1/2*Rho*Sref*Cx*vit_xz^2</f>
        <v>154.750546970067</v>
      </c>
      <c r="Y204" s="401" t="str">
        <f aca="false">IF(AND(pos_z&lt;=0,K203&gt;0),"Impact balistique","") &amp; IF(AND(H205&lt;0,vit_z&gt;=0),"Apogée","") &amp; IF(AND(Poussee=0,Q203&gt;0),"Fin de propulsion","") &amp; IF(AND(L205&gt;L_rampe,pos_xz&lt;=L_rampe),"Sortie de rampe","")</f>
        <v/>
      </c>
      <c r="Z204" s="402" t="str">
        <f aca="false">IF(ABS(t-T_para)&lt;pas/2,"Para","")</f>
        <v/>
      </c>
      <c r="AA204" s="403" t="str">
        <f aca="false">IF(ABS(t-T_satellite)&lt;pas/2,"Satellite","")</f>
        <v/>
      </c>
      <c r="AC204" s="399" t="n">
        <f aca="false">IF(ABS(t-ROUND(t,0))&lt;0.001,t,NA())</f>
        <v>2</v>
      </c>
      <c r="AD204" s="404" t="n">
        <f aca="false">IF(ABS(t-ROUND(t,0))&lt;0.001,pos_x,NA())</f>
        <v>46.2998000724542</v>
      </c>
      <c r="AE204" s="405" t="n">
        <f aca="false">IF(t&lt;T_para, pos_z, NA())</f>
        <v>233.744258267757</v>
      </c>
      <c r="AG204" s="396" t="n">
        <f aca="false">IF(AND(L203&lt;L_rampe,Poussee&lt;Poids*SIN(M203)),0,(-W203+Poussee)/m-Poids*SIN(M203)/m)</f>
        <v>-27.9792957876254</v>
      </c>
      <c r="AH204" s="397" t="n">
        <f aca="false">IF(AND(L203&lt;L_rampe,Poussee&lt;Poids*SIN(M203)), g*SIN(M203), (-W203+Poussee)/m)</f>
        <v>-18.3723354710458</v>
      </c>
    </row>
    <row r="205" customFormat="false" ht="12.75" hidden="false" customHeight="false" outlineLevel="0" collapsed="false">
      <c r="A205" s="396" t="n">
        <f aca="false">IF(B204+0.01&lt;=T_ini+ROUNDUP(Temps_fin_propu,0), 0.01, IF(K204&gt;0, 0.1, 0.0001))</f>
        <v>0.1</v>
      </c>
      <c r="B205" s="397" t="n">
        <f aca="false">B204+pas</f>
        <v>2.1</v>
      </c>
      <c r="D205" s="396" t="n">
        <f aca="false">IF(AND(L204&lt;L_rampe,Poussee&lt;Poids*SIN(M204)),0,(-W204+Poussee)/m*COS(M204)-U204/m*SIN(M204))</f>
        <v>-3.70862197228486</v>
      </c>
      <c r="E205" s="398" t="n">
        <f aca="false">IF(AND(L204&lt;L_rampe,Poussee&lt;Poids*SIN(M204)),0,(-W204+Poussee)/m*SIN(M204)+U204/m*COS(M204)-Poids/m)</f>
        <v>-27.7442350180885</v>
      </c>
      <c r="F205" s="397" t="n">
        <f aca="false">SQRT(acc_x^2+acc_z^2)</f>
        <v>27.9910066570004</v>
      </c>
      <c r="G205" s="396" t="n">
        <f aca="false">G204+acc_x*pas</f>
        <v>37.1693985695256</v>
      </c>
      <c r="H205" s="398" t="n">
        <f aca="false">H204+acc_z*pas</f>
        <v>178.763588261764</v>
      </c>
      <c r="I205" s="397" t="n">
        <f aca="false">SQRT(vit_x^2+vit_z^2)</f>
        <v>182.586923623357</v>
      </c>
      <c r="J205" s="396" t="n">
        <f aca="false">J204+0.5*(vit_x+G204)*pas*(K204&gt;=0)</f>
        <v>50.0352830392682</v>
      </c>
      <c r="K205" s="398" t="n">
        <f aca="false">K204+0.5*(vit_z+H204)*pas</f>
        <v>251.759338269024</v>
      </c>
      <c r="L205" s="397" t="n">
        <f aca="false">SQRT(pos_x^2+pos_z^2)</f>
        <v>256.683256085153</v>
      </c>
      <c r="M205" s="396" t="n">
        <f aca="false">IF(AND(L204&gt;L_rampe,G205&gt;0),ATAN2(G205,H205),$M$4)</f>
        <v>1.36579242727882</v>
      </c>
      <c r="N205" s="397" t="n">
        <f aca="false">DEGREES(Beta)</f>
        <v>78.2541417740051</v>
      </c>
      <c r="P205" s="399" t="n">
        <f aca="false">MATCH(t-pas/2-T_ini,CdP_t)</f>
        <v>23</v>
      </c>
      <c r="Q205" s="397" t="n">
        <f aca="false">(INDEX(CdP,2,i_P+1)-INDEX(CdP,2,i_P+0))/(INDEX(CdP,1,i_P+1)-INDEX(CdP,1,i_P+0))*(t-pas/2-T_ini-INDEX(CdP,1,i_P+0))+INDEX(CdP,2,i_P+0)</f>
        <v>0</v>
      </c>
      <c r="R205" s="396" t="n">
        <f aca="false">Poussee/(g*ISP)</f>
        <v>0</v>
      </c>
      <c r="S205" s="398" t="n">
        <f aca="false">S204-Débit*pas</f>
        <v>8.45</v>
      </c>
      <c r="T205" s="397" t="n">
        <f aca="false">m*g</f>
        <v>82.8945</v>
      </c>
      <c r="U205" s="400" t="n">
        <f aca="false">IF(pos_xz&lt;L_rampe,Poids*COS(Beta),0)</f>
        <v>0</v>
      </c>
      <c r="V205" s="396" t="n">
        <f aca="false">Rho_moyen*(20000-Alt_rampe-pos_z)/(20000+Alt_rampe+pos_z)</f>
        <v>1.19454287435198</v>
      </c>
      <c r="W205" s="397" t="n">
        <f aca="false">1/2*Rho*Sref*Cx*vit_xz^2</f>
        <v>149.854100607947</v>
      </c>
      <c r="Y205" s="401" t="str">
        <f aca="false">IF(AND(pos_z&lt;=0,K204&gt;0),"Impact balistique","") &amp; IF(AND(H206&lt;0,vit_z&gt;=0),"Apogée","") &amp; IF(AND(Poussee=0,Q204&gt;0),"Fin de propulsion","") &amp; IF(AND(L206&gt;L_rampe,pos_xz&lt;=L_rampe),"Sortie de rampe","")</f>
        <v/>
      </c>
      <c r="Z205" s="406" t="str">
        <f aca="false">IF(ABS(t-T_para)&lt;pas/2,"Para","")</f>
        <v/>
      </c>
      <c r="AA205" s="407" t="str">
        <f aca="false">IF(ABS(t-T_satellite)&lt;pas/2,"Satellite","")</f>
        <v/>
      </c>
      <c r="AC205" s="399" t="e">
        <f aca="false">IF(ABS(t-ROUND(t,0))&lt;0.001,t,NA())</f>
        <v>#N/A</v>
      </c>
      <c r="AD205" s="404" t="e">
        <f aca="false">IF(ABS(t-ROUND(t,0))&lt;0.001,pos_x,NA())</f>
        <v>#N/A</v>
      </c>
      <c r="AE205" s="405" t="n">
        <f aca="false">IF(t&lt;T_para, pos_z, NA())</f>
        <v>251.759338269024</v>
      </c>
      <c r="AG205" s="396" t="n">
        <f aca="false">IF(AND(L204&lt;L_rampe,Poussee&lt;Poids*SIN(M204)),0,(-W204+Poussee)/m-Poids*SIN(M204)/m)</f>
        <v>-27.9204217912021</v>
      </c>
      <c r="AH205" s="397" t="n">
        <f aca="false">IF(AND(L204&lt;L_rampe,Poussee&lt;Poids*SIN(M204)), g*SIN(M204), (-W204+Poussee)/m)</f>
        <v>-18.3136741976411</v>
      </c>
    </row>
    <row r="206" customFormat="false" ht="12.75" hidden="false" customHeight="false" outlineLevel="0" collapsed="false">
      <c r="A206" s="396" t="n">
        <f aca="false">IF(B205+0.01&lt;=T_ini+ROUNDUP(Temps_fin_propu,0), 0.01, IF(K205&gt;0, 0.1, 0.0001))</f>
        <v>0.1</v>
      </c>
      <c r="B206" s="397" t="n">
        <f aca="false">B205+pas</f>
        <v>2.2</v>
      </c>
      <c r="D206" s="396" t="n">
        <f aca="false">IF(AND(L205&lt;L_rampe,Poussee&lt;Poids*SIN(M205)),0,(-W205+Poussee)/m*COS(M205)-U205/m*SIN(M205))</f>
        <v>-3.61017109860301</v>
      </c>
      <c r="E206" s="398" t="n">
        <f aca="false">IF(AND(L205&lt;L_rampe,Poussee&lt;Poids*SIN(M205)),0,(-W205+Poussee)/m*SIN(M205)+U205/m*COS(M205)-Poids/m)</f>
        <v>-27.1728620494901</v>
      </c>
      <c r="F206" s="397" t="n">
        <f aca="false">SQRT(acc_x^2+acc_z^2)</f>
        <v>27.4116356192368</v>
      </c>
      <c r="G206" s="396" t="n">
        <f aca="false">G205+acc_x*pas</f>
        <v>36.8083814596653</v>
      </c>
      <c r="H206" s="398" t="n">
        <f aca="false">H205+acc_z*pas</f>
        <v>176.046302056815</v>
      </c>
      <c r="I206" s="397" t="n">
        <f aca="false">SQRT(vit_x^2+vit_z^2)</f>
        <v>179.853155139296</v>
      </c>
      <c r="J206" s="396" t="n">
        <f aca="false">J205+0.5*(vit_x+G205)*pas*(K205&gt;=0)</f>
        <v>53.7341720407277</v>
      </c>
      <c r="K206" s="398" t="n">
        <f aca="false">K205+0.5*(vit_z+H205)*pas</f>
        <v>269.499832784952</v>
      </c>
      <c r="L206" s="397" t="n">
        <f aca="false">SQRT(pos_x^2+pos_z^2)</f>
        <v>274.804514366158</v>
      </c>
      <c r="M206" s="396" t="n">
        <f aca="false">IF(AND(L205&gt;L_rampe,G206&gt;0),ATAN2(G206,H206),$M$4)</f>
        <v>1.36468205937857</v>
      </c>
      <c r="N206" s="397" t="n">
        <f aca="false">DEGREES(Beta)</f>
        <v>78.1905223796137</v>
      </c>
      <c r="P206" s="399" t="n">
        <f aca="false">MATCH(t-pas/2-T_ini,CdP_t)</f>
        <v>23</v>
      </c>
      <c r="Q206" s="397" t="n">
        <f aca="false">(INDEX(CdP,2,i_P+1)-INDEX(CdP,2,i_P+0))/(INDEX(CdP,1,i_P+1)-INDEX(CdP,1,i_P+0))*(t-pas/2-T_ini-INDEX(CdP,1,i_P+0))+INDEX(CdP,2,i_P+0)</f>
        <v>0</v>
      </c>
      <c r="R206" s="396" t="n">
        <f aca="false">Poussee/(g*ISP)</f>
        <v>0</v>
      </c>
      <c r="S206" s="398" t="n">
        <f aca="false">S205-Débit*pas</f>
        <v>8.45</v>
      </c>
      <c r="T206" s="397" t="n">
        <f aca="false">m*g</f>
        <v>82.8945</v>
      </c>
      <c r="U206" s="400" t="n">
        <f aca="false">IF(pos_xz&lt;L_rampe,Poids*COS(Beta),0)</f>
        <v>0</v>
      </c>
      <c r="V206" s="396" t="n">
        <f aca="false">Rho_moyen*(20000-Alt_rampe-pos_z)/(20000+Alt_rampe+pos_z)</f>
        <v>1.19242521543353</v>
      </c>
      <c r="W206" s="397" t="n">
        <f aca="false">1/2*Rho*Sref*Cx*vit_xz^2</f>
        <v>145.142573762126</v>
      </c>
      <c r="Y206" s="401" t="str">
        <f aca="false">IF(AND(pos_z&lt;=0,K205&gt;0),"Impact balistique","") &amp; IF(AND(H207&lt;0,vit_z&gt;=0),"Apogée","") &amp; IF(AND(Poussee=0,Q205&gt;0),"Fin de propulsion","") &amp; IF(AND(L207&gt;L_rampe,pos_xz&lt;=L_rampe),"Sortie de rampe","")</f>
        <v/>
      </c>
      <c r="Z206" s="406" t="str">
        <f aca="false">IF(ABS(t-T_para)&lt;pas/2,"Para","")</f>
        <v/>
      </c>
      <c r="AA206" s="407" t="str">
        <f aca="false">IF(ABS(t-T_satellite)&lt;pas/2,"Satellite","")</f>
        <v/>
      </c>
      <c r="AC206" s="399" t="e">
        <f aca="false">IF(ABS(t-ROUND(t,0))&lt;0.001,t,NA())</f>
        <v>#N/A</v>
      </c>
      <c r="AD206" s="404" t="e">
        <f aca="false">IF(ABS(t-ROUND(t,0))&lt;0.001,pos_x,NA())</f>
        <v>#N/A</v>
      </c>
      <c r="AE206" s="405" t="n">
        <f aca="false">IF(t&lt;T_para, pos_z, NA())</f>
        <v>269.499832784952</v>
      </c>
      <c r="AG206" s="396" t="n">
        <f aca="false">IF(AND(L205&lt;L_rampe,Poussee&lt;Poids*SIN(M205)),0,(-W205+Poussee)/m-Poids*SIN(M205)/m)</f>
        <v>-27.3387935604517</v>
      </c>
      <c r="AH206" s="397" t="n">
        <f aca="false">IF(AND(L205&lt;L_rampe,Poussee&lt;Poids*SIN(M205)), g*SIN(M205), (-W205+Poussee)/m)</f>
        <v>-17.7342130896979</v>
      </c>
    </row>
    <row r="207" customFormat="false" ht="12.75" hidden="false" customHeight="false" outlineLevel="0" collapsed="false">
      <c r="A207" s="396" t="n">
        <f aca="false">IF(B206+0.01&lt;=T_ini+ROUNDUP(Temps_fin_propu,0), 0.01, IF(K206&gt;0, 0.1, 0.0001))</f>
        <v>0.1</v>
      </c>
      <c r="B207" s="397" t="n">
        <f aca="false">B206+pas</f>
        <v>2.3</v>
      </c>
      <c r="D207" s="396" t="n">
        <f aca="false">IF(AND(L206&lt;L_rampe,Poussee&lt;Poids*SIN(M206)),0,(-W206+Poussee)/m*COS(M206)-U206/m*SIN(M206))</f>
        <v>-3.51533542842082</v>
      </c>
      <c r="E207" s="398" t="n">
        <f aca="false">IF(AND(L206&lt;L_rampe,Poussee&lt;Poids*SIN(M206)),0,(-W206+Poussee)/m*SIN(M206)+U206/m*COS(M206)-Poids/m)</f>
        <v>-26.623067516727</v>
      </c>
      <c r="F207" s="397" t="n">
        <f aca="false">SQRT(acc_x^2+acc_z^2)</f>
        <v>26.8541487888653</v>
      </c>
      <c r="G207" s="396" t="n">
        <f aca="false">G206+acc_x*pas</f>
        <v>36.4568479168232</v>
      </c>
      <c r="H207" s="398" t="n">
        <f aca="false">H206+acc_z*pas</f>
        <v>173.383995305142</v>
      </c>
      <c r="I207" s="397" t="n">
        <f aca="false">SQRT(vit_x^2+vit_z^2)</f>
        <v>177.175369586193</v>
      </c>
      <c r="J207" s="396" t="n">
        <f aca="false">J206+0.5*(vit_x+G206)*pas*(K206&gt;=0)</f>
        <v>57.3974335095521</v>
      </c>
      <c r="K207" s="398" t="n">
        <f aca="false">K206+0.5*(vit_z+H206)*pas</f>
        <v>286.97134765305</v>
      </c>
      <c r="L207" s="397" t="n">
        <f aca="false">SQRT(pos_x^2+pos_z^2)</f>
        <v>292.655120828752</v>
      </c>
      <c r="M207" s="396" t="n">
        <f aca="false">IF(AND(L206&gt;L_rampe,G207&gt;0),ATAN2(G207,H207),$M$4)</f>
        <v>1.3635488910884</v>
      </c>
      <c r="N207" s="397" t="n">
        <f aca="false">DEGREES(Beta)</f>
        <v>78.125596619109</v>
      </c>
      <c r="P207" s="399" t="n">
        <f aca="false">MATCH(t-pas/2-T_ini,CdP_t)</f>
        <v>23</v>
      </c>
      <c r="Q207" s="397" t="n">
        <f aca="false">(INDEX(CdP,2,i_P+1)-INDEX(CdP,2,i_P+0))/(INDEX(CdP,1,i_P+1)-INDEX(CdP,1,i_P+0))*(t-pas/2-T_ini-INDEX(CdP,1,i_P+0))+INDEX(CdP,2,i_P+0)</f>
        <v>0</v>
      </c>
      <c r="R207" s="396" t="n">
        <f aca="false">Poussee/(g*ISP)</f>
        <v>0</v>
      </c>
      <c r="S207" s="398" t="n">
        <f aca="false">S206-Débit*pas</f>
        <v>8.45</v>
      </c>
      <c r="T207" s="397" t="n">
        <f aca="false">m*g</f>
        <v>82.8945</v>
      </c>
      <c r="U207" s="400" t="n">
        <f aca="false">IF(pos_xz&lt;L_rampe,Poids*COS(Beta),0)</f>
        <v>0</v>
      </c>
      <c r="V207" s="396" t="n">
        <f aca="false">Rho_moyen*(20000-Alt_rampe-pos_z)/(20000+Alt_rampe+pos_z)</f>
        <v>1.19034328413535</v>
      </c>
      <c r="W207" s="397" t="n">
        <f aca="false">1/2*Rho*Sref*Cx*vit_xz^2</f>
        <v>140.606846337316</v>
      </c>
      <c r="Y207" s="401" t="str">
        <f aca="false">IF(AND(pos_z&lt;=0,K206&gt;0),"Impact balistique","") &amp; IF(AND(H208&lt;0,vit_z&gt;=0),"Apogée","") &amp; IF(AND(Poussee=0,Q206&gt;0),"Fin de propulsion","") &amp; IF(AND(L208&gt;L_rampe,pos_xz&lt;=L_rampe),"Sortie de rampe","")</f>
        <v/>
      </c>
      <c r="Z207" s="406" t="str">
        <f aca="false">IF(ABS(t-T_para)&lt;pas/2,"Para","")</f>
        <v/>
      </c>
      <c r="AA207" s="407" t="str">
        <f aca="false">IF(ABS(t-T_satellite)&lt;pas/2,"Satellite","")</f>
        <v/>
      </c>
      <c r="AC207" s="399" t="e">
        <f aca="false">IF(ABS(t-ROUND(t,0))&lt;0.001,t,NA())</f>
        <v>#N/A</v>
      </c>
      <c r="AD207" s="404" t="e">
        <f aca="false">IF(ABS(t-ROUND(t,0))&lt;0.001,pos_x,NA())</f>
        <v>#N/A</v>
      </c>
      <c r="AE207" s="405" t="n">
        <f aca="false">IF(t&lt;T_para, pos_z, NA())</f>
        <v>286.97134765305</v>
      </c>
      <c r="AG207" s="396" t="n">
        <f aca="false">IF(AND(L206&lt;L_rampe,Poussee&lt;Poids*SIN(M206)),0,(-W206+Poussee)/m-Poids*SIN(M206)/m)</f>
        <v>-26.7789930591236</v>
      </c>
      <c r="AH207" s="397" t="n">
        <f aca="false">IF(AND(L206&lt;L_rampe,Poussee&lt;Poids*SIN(M206)), g*SIN(M206), (-W206+Poussee)/m)</f>
        <v>-17.1766359481806</v>
      </c>
    </row>
    <row r="208" customFormat="false" ht="12.75" hidden="false" customHeight="false" outlineLevel="0" collapsed="false">
      <c r="A208" s="396" t="n">
        <f aca="false">IF(B207+0.01&lt;=T_ini+ROUNDUP(Temps_fin_propu,0), 0.01, IF(K207&gt;0, 0.1, 0.0001))</f>
        <v>0.1</v>
      </c>
      <c r="B208" s="397" t="n">
        <f aca="false">B207+pas</f>
        <v>2.4</v>
      </c>
      <c r="D208" s="396" t="n">
        <f aca="false">IF(AND(L207&lt;L_rampe,Poussee&lt;Poids*SIN(M207)),0,(-W207+Poussee)/m*COS(M207)-U207/m*SIN(M207))</f>
        <v>-3.42393512917501</v>
      </c>
      <c r="E208" s="398" t="n">
        <f aca="false">IF(AND(L207&lt;L_rampe,Poussee&lt;Poids*SIN(M207)),0,(-W207+Poussee)/m*SIN(M207)+U207/m*COS(M207)-Poids/m)</f>
        <v>-26.0937871698734</v>
      </c>
      <c r="F208" s="397" t="n">
        <f aca="false">SQRT(acc_x^2+acc_z^2)</f>
        <v>26.3174668354583</v>
      </c>
      <c r="G208" s="396" t="n">
        <f aca="false">G207+acc_x*pas</f>
        <v>36.1144544039057</v>
      </c>
      <c r="H208" s="398" t="n">
        <f aca="false">H207+acc_z*pas</f>
        <v>170.774616588155</v>
      </c>
      <c r="I208" s="397" t="n">
        <f aca="false">SQRT(vit_x^2+vit_z^2)</f>
        <v>174.551492367505</v>
      </c>
      <c r="J208" s="396" t="n">
        <f aca="false">J207+0.5*(vit_x+G207)*pas*(K207&gt;=0)</f>
        <v>61.0259986255886</v>
      </c>
      <c r="K208" s="398" t="n">
        <f aca="false">K207+0.5*(vit_z+H207)*pas</f>
        <v>304.179278247715</v>
      </c>
      <c r="L208" s="397" t="n">
        <f aca="false">SQRT(pos_x^2+pos_z^2)</f>
        <v>310.240561215891</v>
      </c>
      <c r="M208" s="396" t="n">
        <f aca="false">IF(AND(L207&gt;L_rampe,G208&gt;0),ATAN2(G208,H208),$M$4)</f>
        <v>1.36239245587593</v>
      </c>
      <c r="N208" s="397" t="n">
        <f aca="false">DEGREES(Beta)</f>
        <v>78.0593377621539</v>
      </c>
      <c r="P208" s="399" t="n">
        <f aca="false">MATCH(t-pas/2-T_ini,CdP_t)</f>
        <v>23</v>
      </c>
      <c r="Q208" s="397" t="n">
        <f aca="false">(INDEX(CdP,2,i_P+1)-INDEX(CdP,2,i_P+0))/(INDEX(CdP,1,i_P+1)-INDEX(CdP,1,i_P+0))*(t-pas/2-T_ini-INDEX(CdP,1,i_P+0))+INDEX(CdP,2,i_P+0)</f>
        <v>0</v>
      </c>
      <c r="R208" s="396" t="n">
        <f aca="false">Poussee/(g*ISP)</f>
        <v>0</v>
      </c>
      <c r="S208" s="398" t="n">
        <f aca="false">S207-Débit*pas</f>
        <v>8.45</v>
      </c>
      <c r="T208" s="397" t="n">
        <f aca="false">m*g</f>
        <v>82.8945</v>
      </c>
      <c r="U208" s="400" t="n">
        <f aca="false">IF(pos_xz&lt;L_rampe,Poids*COS(Beta),0)</f>
        <v>0</v>
      </c>
      <c r="V208" s="396" t="n">
        <f aca="false">Rho_moyen*(20000-Alt_rampe-pos_z)/(20000+Alt_rampe+pos_z)</f>
        <v>1.18829626420777</v>
      </c>
      <c r="W208" s="397" t="n">
        <f aca="false">1/2*Rho*Sref*Cx*vit_xz^2</f>
        <v>136.238361276782</v>
      </c>
      <c r="Y208" s="401" t="str">
        <f aca="false">IF(AND(pos_z&lt;=0,K207&gt;0),"Impact balistique","") &amp; IF(AND(H209&lt;0,vit_z&gt;=0),"Apogée","") &amp; IF(AND(Poussee=0,Q207&gt;0),"Fin de propulsion","") &amp; IF(AND(L209&gt;L_rampe,pos_xz&lt;=L_rampe),"Sortie de rampe","")</f>
        <v/>
      </c>
      <c r="Z208" s="406" t="str">
        <f aca="false">IF(ABS(t-T_para)&lt;pas/2,"Para","")</f>
        <v/>
      </c>
      <c r="AA208" s="407" t="str">
        <f aca="false">IF(ABS(t-T_satellite)&lt;pas/2,"Satellite","")</f>
        <v/>
      </c>
      <c r="AC208" s="399" t="e">
        <f aca="false">IF(ABS(t-ROUND(t,0))&lt;0.001,t,NA())</f>
        <v>#N/A</v>
      </c>
      <c r="AD208" s="404" t="e">
        <f aca="false">IF(ABS(t-ROUND(t,0))&lt;0.001,pos_x,NA())</f>
        <v>#N/A</v>
      </c>
      <c r="AE208" s="405" t="n">
        <f aca="false">IF(t&lt;T_para, pos_z, NA())</f>
        <v>304.179278247715</v>
      </c>
      <c r="AG208" s="396" t="n">
        <f aca="false">IF(AND(L207&lt;L_rampe,Poussee&lt;Poids*SIN(M207)),0,(-W207+Poussee)/m-Poids*SIN(M207)/m)</f>
        <v>-26.2399393623075</v>
      </c>
      <c r="AH208" s="397" t="n">
        <f aca="false">IF(AND(L207&lt;L_rampe,Poussee&lt;Poids*SIN(M207)), g*SIN(M207), (-W207+Poussee)/m)</f>
        <v>-16.6398634718718</v>
      </c>
    </row>
    <row r="209" customFormat="false" ht="12.75" hidden="false" customHeight="false" outlineLevel="0" collapsed="false">
      <c r="A209" s="396" t="n">
        <f aca="false">IF(B208+0.01&lt;=T_ini+ROUNDUP(Temps_fin_propu,0), 0.01, IF(K208&gt;0, 0.1, 0.0001))</f>
        <v>0.1</v>
      </c>
      <c r="B209" s="397" t="n">
        <f aca="false">B208+pas</f>
        <v>2.5</v>
      </c>
      <c r="D209" s="396" t="n">
        <f aca="false">IF(AND(L208&lt;L_rampe,Poussee&lt;Poids*SIN(M208)),0,(-W208+Poussee)/m*COS(M208)-U208/m*SIN(M208))</f>
        <v>-3.33580145751007</v>
      </c>
      <c r="E209" s="398" t="n">
        <f aca="false">IF(AND(L208&lt;L_rampe,Poussee&lt;Poids*SIN(M208)),0,(-W208+Poussee)/m*SIN(M208)+U208/m*COS(M208)-Poids/m)</f>
        <v>-25.5840224606268</v>
      </c>
      <c r="F209" s="397" t="n">
        <f aca="false">SQRT(acc_x^2+acc_z^2)</f>
        <v>25.8005770600152</v>
      </c>
      <c r="G209" s="396" t="n">
        <f aca="false">G208+acc_x*pas</f>
        <v>35.7808742581547</v>
      </c>
      <c r="H209" s="398" t="n">
        <f aca="false">H208+acc_z*pas</f>
        <v>168.216214342092</v>
      </c>
      <c r="I209" s="397" t="n">
        <f aca="false">SQRT(vit_x^2+vit_z^2)</f>
        <v>171.979550325795</v>
      </c>
      <c r="J209" s="396" t="n">
        <f aca="false">J208+0.5*(vit_x+G208)*pas*(K208&gt;=0)</f>
        <v>64.6207650586916</v>
      </c>
      <c r="K209" s="398" t="n">
        <f aca="false">K208+0.5*(vit_z+H208)*pas</f>
        <v>321.128819794228</v>
      </c>
      <c r="L209" s="397" t="n">
        <f aca="false">SQRT(pos_x^2+pos_z^2)</f>
        <v>327.566118790091</v>
      </c>
      <c r="M209" s="396" t="n">
        <f aca="false">IF(AND(L208&gt;L_rampe,G209&gt;0),ATAN2(G209,H209),$M$4)</f>
        <v>1.36121227168972</v>
      </c>
      <c r="N209" s="397" t="n">
        <f aca="false">DEGREES(Beta)</f>
        <v>77.9917181892363</v>
      </c>
      <c r="P209" s="399" t="n">
        <f aca="false">MATCH(t-pas/2-T_ini,CdP_t)</f>
        <v>23</v>
      </c>
      <c r="Q209" s="397" t="n">
        <f aca="false">(INDEX(CdP,2,i_P+1)-INDEX(CdP,2,i_P+0))/(INDEX(CdP,1,i_P+1)-INDEX(CdP,1,i_P+0))*(t-pas/2-T_ini-INDEX(CdP,1,i_P+0))+INDEX(CdP,2,i_P+0)</f>
        <v>0</v>
      </c>
      <c r="R209" s="396" t="n">
        <f aca="false">Poussee/(g*ISP)</f>
        <v>0</v>
      </c>
      <c r="S209" s="398" t="n">
        <f aca="false">S208-Débit*pas</f>
        <v>8.45</v>
      </c>
      <c r="T209" s="397" t="n">
        <f aca="false">m*g</f>
        <v>82.8945</v>
      </c>
      <c r="U209" s="400" t="n">
        <f aca="false">IF(pos_xz&lt;L_rampe,Poids*COS(Beta),0)</f>
        <v>0</v>
      </c>
      <c r="V209" s="396" t="n">
        <f aca="false">Rho_moyen*(20000-Alt_rampe-pos_z)/(20000+Alt_rampe+pos_z)</f>
        <v>1.18628337084653</v>
      </c>
      <c r="W209" s="397" t="n">
        <f aca="false">1/2*Rho*Sref*Cx*vit_xz^2</f>
        <v>132.029083181822</v>
      </c>
      <c r="Y209" s="401" t="str">
        <f aca="false">IF(AND(pos_z&lt;=0,K208&gt;0),"Impact balistique","") &amp; IF(AND(H210&lt;0,vit_z&gt;=0),"Apogée","") &amp; IF(AND(Poussee=0,Q208&gt;0),"Fin de propulsion","") &amp; IF(AND(L210&gt;L_rampe,pos_xz&lt;=L_rampe),"Sortie de rampe","")</f>
        <v/>
      </c>
      <c r="Z209" s="406" t="str">
        <f aca="false">IF(ABS(t-T_para)&lt;pas/2,"Para","")</f>
        <v/>
      </c>
      <c r="AA209" s="407" t="str">
        <f aca="false">IF(ABS(t-T_satellite)&lt;pas/2,"Satellite","")</f>
        <v/>
      </c>
      <c r="AC209" s="399" t="e">
        <f aca="false">IF(ABS(t-ROUND(t,0))&lt;0.001,t,NA())</f>
        <v>#N/A</v>
      </c>
      <c r="AD209" s="404" t="e">
        <f aca="false">IF(ABS(t-ROUND(t,0))&lt;0.001,pos_x,NA())</f>
        <v>#N/A</v>
      </c>
      <c r="AE209" s="405" t="n">
        <f aca="false">IF(t&lt;T_para, pos_z, NA())</f>
        <v>321.128819794228</v>
      </c>
      <c r="AG209" s="396" t="n">
        <f aca="false">IF(AND(L208&lt;L_rampe,Poussee&lt;Poids*SIN(M208)),0,(-W208+Poussee)/m-Poids*SIN(M208)/m)</f>
        <v>-25.7206181123995</v>
      </c>
      <c r="AH209" s="397" t="n">
        <f aca="false">IF(AND(L208&lt;L_rampe,Poussee&lt;Poids*SIN(M208)), g*SIN(M208), (-W208+Poussee)/m)</f>
        <v>-16.1228829913351</v>
      </c>
    </row>
    <row r="210" customFormat="false" ht="12.75" hidden="false" customHeight="false" outlineLevel="0" collapsed="false">
      <c r="A210" s="396" t="n">
        <f aca="false">IF(B209+0.01&lt;=T_ini+ROUNDUP(Temps_fin_propu,0), 0.01, IF(K209&gt;0, 0.1, 0.0001))</f>
        <v>0.1</v>
      </c>
      <c r="B210" s="397" t="n">
        <f aca="false">B209+pas</f>
        <v>2.6</v>
      </c>
      <c r="D210" s="396" t="n">
        <f aca="false">IF(AND(L209&lt;L_rampe,Poussee&lt;Poids*SIN(M209)),0,(-W209+Poussee)/m*COS(M209)-U209/m*SIN(M209))</f>
        <v>-3.2507759439996</v>
      </c>
      <c r="E210" s="398" t="n">
        <f aca="false">IF(AND(L209&lt;L_rampe,Poussee&lt;Poids*SIN(M209)),0,(-W209+Poussee)/m*SIN(M209)+U209/m*COS(M209)-Poids/m)</f>
        <v>-25.0928357135328</v>
      </c>
      <c r="F210" s="397" t="n">
        <f aca="false">SQRT(acc_x^2+acc_z^2)</f>
        <v>25.3025284978485</v>
      </c>
      <c r="G210" s="396" t="n">
        <f aca="false">G209+acc_x*pas</f>
        <v>35.4557966637547</v>
      </c>
      <c r="H210" s="398" t="n">
        <f aca="false">H209+acc_z*pas</f>
        <v>165.706930770739</v>
      </c>
      <c r="I210" s="397" t="n">
        <f aca="false">SQRT(vit_x^2+vit_z^2)</f>
        <v>169.457665576155</v>
      </c>
      <c r="J210" s="396" t="n">
        <f aca="false">J209+0.5*(vit_x+G209)*pas*(K209&gt;=0)</f>
        <v>68.1825986047871</v>
      </c>
      <c r="K210" s="398" t="n">
        <f aca="false">K209+0.5*(vit_z+H209)*pas</f>
        <v>337.824977049869</v>
      </c>
      <c r="L210" s="397" t="n">
        <f aca="false">SQRT(pos_x^2+pos_z^2)</f>
        <v>344.636884084171</v>
      </c>
      <c r="M210" s="396" t="n">
        <f aca="false">IF(AND(L209&gt;L_rampe,G210&gt;0),ATAN2(G210,H210),$M$4)</f>
        <v>1.36000784039363</v>
      </c>
      <c r="N210" s="397" t="n">
        <f aca="false">DEGREES(Beta)</f>
        <v>77.9227093592565</v>
      </c>
      <c r="P210" s="399" t="n">
        <f aca="false">MATCH(t-pas/2-T_ini,CdP_t)</f>
        <v>23</v>
      </c>
      <c r="Q210" s="397" t="n">
        <f aca="false">(INDEX(CdP,2,i_P+1)-INDEX(CdP,2,i_P+0))/(INDEX(CdP,1,i_P+1)-INDEX(CdP,1,i_P+0))*(t-pas/2-T_ini-INDEX(CdP,1,i_P+0))+INDEX(CdP,2,i_P+0)</f>
        <v>0</v>
      </c>
      <c r="R210" s="396" t="n">
        <f aca="false">Poussee/(g*ISP)</f>
        <v>0</v>
      </c>
      <c r="S210" s="398" t="n">
        <f aca="false">S209-Débit*pas</f>
        <v>8.45</v>
      </c>
      <c r="T210" s="397" t="n">
        <f aca="false">m*g</f>
        <v>82.8945</v>
      </c>
      <c r="U210" s="400" t="n">
        <f aca="false">IF(pos_xz&lt;L_rampe,Poids*COS(Beta),0)</f>
        <v>0</v>
      </c>
      <c r="V210" s="396" t="n">
        <f aca="false">Rho_moyen*(20000-Alt_rampe-pos_z)/(20000+Alt_rampe+pos_z)</f>
        <v>1.18430384912319</v>
      </c>
      <c r="W210" s="397" t="n">
        <f aca="false">1/2*Rho*Sref*Cx*vit_xz^2</f>
        <v>127.97146045175</v>
      </c>
      <c r="Y210" s="401" t="str">
        <f aca="false">IF(AND(pos_z&lt;=0,K209&gt;0),"Impact balistique","") &amp; IF(AND(H211&lt;0,vit_z&gt;=0),"Apogée","") &amp; IF(AND(Poussee=0,Q209&gt;0),"Fin de propulsion","") &amp; IF(AND(L211&gt;L_rampe,pos_xz&lt;=L_rampe),"Sortie de rampe","")</f>
        <v/>
      </c>
      <c r="Z210" s="406" t="str">
        <f aca="false">IF(ABS(t-T_para)&lt;pas/2,"Para","")</f>
        <v/>
      </c>
      <c r="AA210" s="407" t="str">
        <f aca="false">IF(ABS(t-T_satellite)&lt;pas/2,"Satellite","")</f>
        <v/>
      </c>
      <c r="AC210" s="399" t="e">
        <f aca="false">IF(ABS(t-ROUND(t,0))&lt;0.001,t,NA())</f>
        <v>#N/A</v>
      </c>
      <c r="AD210" s="404" t="e">
        <f aca="false">IF(ABS(t-ROUND(t,0))&lt;0.001,pos_x,NA())</f>
        <v>#N/A</v>
      </c>
      <c r="AE210" s="405" t="n">
        <f aca="false">IF(t&lt;T_para, pos_z, NA())</f>
        <v>337.824977049869</v>
      </c>
      <c r="AG210" s="396" t="n">
        <f aca="false">IF(AND(L209&lt;L_rampe,Poussee&lt;Poids*SIN(M209)),0,(-W209+Poussee)/m-Poids*SIN(M209)/m)</f>
        <v>-25.2200766190844</v>
      </c>
      <c r="AH210" s="397" t="n">
        <f aca="false">IF(AND(L209&lt;L_rampe,Poussee&lt;Poids*SIN(M209)), g*SIN(M209), (-W209+Poussee)/m)</f>
        <v>-15.6247435718133</v>
      </c>
    </row>
    <row r="211" customFormat="false" ht="12.75" hidden="false" customHeight="false" outlineLevel="0" collapsed="false">
      <c r="A211" s="396" t="n">
        <f aca="false">IF(B210+0.01&lt;=T_ini+ROUNDUP(Temps_fin_propu,0), 0.01, IF(K210&gt;0, 0.1, 0.0001))</f>
        <v>0.1</v>
      </c>
      <c r="B211" s="397" t="n">
        <f aca="false">B210+pas</f>
        <v>2.7</v>
      </c>
      <c r="D211" s="396" t="n">
        <f aca="false">IF(AND(L210&lt;L_rampe,Poussee&lt;Poids*SIN(M210)),0,(-W210+Poussee)/m*COS(M210)-U210/m*SIN(M210))</f>
        <v>-3.16870964723445</v>
      </c>
      <c r="E211" s="398" t="n">
        <f aca="false">IF(AND(L210&lt;L_rampe,Poussee&lt;Poids*SIN(M210)),0,(-W210+Poussee)/m*SIN(M210)+U210/m*COS(M210)-Poids/m)</f>
        <v>-24.6193457080213</v>
      </c>
      <c r="F211" s="397" t="n">
        <f aca="false">SQRT(acc_x^2+acc_z^2)</f>
        <v>24.822427438096</v>
      </c>
      <c r="G211" s="396" t="n">
        <f aca="false">G210+acc_x*pas</f>
        <v>35.1389256990313</v>
      </c>
      <c r="H211" s="398" t="n">
        <f aca="false">H210+acc_z*pas</f>
        <v>163.244996199937</v>
      </c>
      <c r="I211" s="397" t="n">
        <f aca="false">SQRT(vit_x^2+vit_z^2)</f>
        <v>166.984049787994</v>
      </c>
      <c r="J211" s="396" t="n">
        <f aca="false">J210+0.5*(vit_x+G210)*pas*(K210&gt;=0)</f>
        <v>71.7123347229263</v>
      </c>
      <c r="K211" s="398" t="n">
        <f aca="false">K210+0.5*(vit_z+H210)*pas</f>
        <v>354.272573398403</v>
      </c>
      <c r="L211" s="397" t="n">
        <f aca="false">SQRT(pos_x^2+pos_z^2)</f>
        <v>361.457764080037</v>
      </c>
      <c r="M211" s="396" t="n">
        <f aca="false">IF(AND(L210&gt;L_rampe,G211&gt;0),ATAN2(G211,H211),$M$4)</f>
        <v>1.35877864717423</v>
      </c>
      <c r="N211" s="397" t="n">
        <f aca="false">DEGREES(Beta)</f>
        <v>77.8522817755789</v>
      </c>
      <c r="P211" s="399" t="n">
        <f aca="false">MATCH(t-pas/2-T_ini,CdP_t)</f>
        <v>23</v>
      </c>
      <c r="Q211" s="397" t="n">
        <f aca="false">(INDEX(CdP,2,i_P+1)-INDEX(CdP,2,i_P+0))/(INDEX(CdP,1,i_P+1)-INDEX(CdP,1,i_P+0))*(t-pas/2-T_ini-INDEX(CdP,1,i_P+0))+INDEX(CdP,2,i_P+0)</f>
        <v>0</v>
      </c>
      <c r="R211" s="396" t="n">
        <f aca="false">Poussee/(g*ISP)</f>
        <v>0</v>
      </c>
      <c r="S211" s="398" t="n">
        <f aca="false">S210-Débit*pas</f>
        <v>8.45</v>
      </c>
      <c r="T211" s="397" t="n">
        <f aca="false">m*g</f>
        <v>82.8945</v>
      </c>
      <c r="U211" s="400" t="n">
        <f aca="false">IF(pos_xz&lt;L_rampe,Poids*COS(Beta),0)</f>
        <v>0</v>
      </c>
      <c r="V211" s="396" t="n">
        <f aca="false">Rho_moyen*(20000-Alt_rampe-pos_z)/(20000+Alt_rampe+pos_z)</f>
        <v>1.18235697251296</v>
      </c>
      <c r="W211" s="397" t="n">
        <f aca="false">1/2*Rho*Sref*Cx*vit_xz^2</f>
        <v>124.058390605136</v>
      </c>
      <c r="Y211" s="401" t="str">
        <f aca="false">IF(AND(pos_z&lt;=0,K210&gt;0),"Impact balistique","") &amp; IF(AND(H212&lt;0,vit_z&gt;=0),"Apogée","") &amp; IF(AND(Poussee=0,Q210&gt;0),"Fin de propulsion","") &amp; IF(AND(L212&gt;L_rampe,pos_xz&lt;=L_rampe),"Sortie de rampe","")</f>
        <v/>
      </c>
      <c r="Z211" s="406" t="str">
        <f aca="false">IF(ABS(t-T_para)&lt;pas/2,"Para","")</f>
        <v/>
      </c>
      <c r="AA211" s="407" t="str">
        <f aca="false">IF(ABS(t-T_satellite)&lt;pas/2,"Satellite","")</f>
        <v/>
      </c>
      <c r="AC211" s="399" t="e">
        <f aca="false">IF(ABS(t-ROUND(t,0))&lt;0.001,t,NA())</f>
        <v>#N/A</v>
      </c>
      <c r="AD211" s="404" t="e">
        <f aca="false">IF(ABS(t-ROUND(t,0))&lt;0.001,pos_x,NA())</f>
        <v>#N/A</v>
      </c>
      <c r="AE211" s="405" t="n">
        <f aca="false">IF(t&lt;T_para, pos_z, NA())</f>
        <v>354.272573398403</v>
      </c>
      <c r="AG211" s="396" t="n">
        <f aca="false">IF(AND(L210&lt;L_rampe,Poussee&lt;Poids*SIN(M210)),0,(-W210+Poussee)/m-Poids*SIN(M210)/m)</f>
        <v>-24.7374193757845</v>
      </c>
      <c r="AH211" s="397" t="n">
        <f aca="false">IF(AND(L210&lt;L_rampe,Poussee&lt;Poids*SIN(M210)), g*SIN(M210), (-W210+Poussee)/m)</f>
        <v>-15.1445515327514</v>
      </c>
    </row>
    <row r="212" customFormat="false" ht="12.75" hidden="false" customHeight="false" outlineLevel="0" collapsed="false">
      <c r="A212" s="396" t="n">
        <f aca="false">IF(B211+0.01&lt;=T_ini+ROUNDUP(Temps_fin_propu,0), 0.01, IF(K211&gt;0, 0.1, 0.0001))</f>
        <v>0.1</v>
      </c>
      <c r="B212" s="397" t="n">
        <f aca="false">B211+pas</f>
        <v>2.8</v>
      </c>
      <c r="D212" s="396" t="n">
        <f aca="false">IF(AND(L211&lt;L_rampe,Poussee&lt;Poids*SIN(M211)),0,(-W211+Poussee)/m*COS(M211)-U211/m*SIN(M211))</f>
        <v>-3.08946247059349</v>
      </c>
      <c r="E212" s="398" t="n">
        <f aca="false">IF(AND(L211&lt;L_rampe,Poussee&lt;Poids*SIN(M211)),0,(-W211+Poussee)/m*SIN(M211)+U211/m*COS(M211)-Poids/m)</f>
        <v>-24.1627236316671</v>
      </c>
      <c r="F212" s="397" t="n">
        <f aca="false">SQRT(acc_x^2+acc_z^2)</f>
        <v>24.3594333197127</v>
      </c>
      <c r="G212" s="396" t="n">
        <f aca="false">G211+acc_x*pas</f>
        <v>34.8299794519719</v>
      </c>
      <c r="H212" s="398" t="n">
        <f aca="false">H211+acc_z*pas</f>
        <v>160.82872383677</v>
      </c>
      <c r="I212" s="397" t="n">
        <f aca="false">SQRT(vit_x^2+vit_z^2)</f>
        <v>164.556998877559</v>
      </c>
      <c r="J212" s="396" t="n">
        <f aca="false">J211+0.5*(vit_x+G211)*pas*(K211&gt;=0)</f>
        <v>75.2107799804765</v>
      </c>
      <c r="K212" s="398" t="n">
        <f aca="false">K211+0.5*(vit_z+H211)*pas</f>
        <v>370.476259400238</v>
      </c>
      <c r="L212" s="397" t="n">
        <f aca="false">SQRT(pos_x^2+pos_z^2)</f>
        <v>378.0334908503</v>
      </c>
      <c r="M212" s="396" t="n">
        <f aca="false">IF(AND(L211&gt;L_rampe,G212&gt;0),ATAN2(G212,H212),$M$4)</f>
        <v>1.35752415992017</v>
      </c>
      <c r="N212" s="397" t="n">
        <f aca="false">DEGREES(Beta)</f>
        <v>77.7804049504686</v>
      </c>
      <c r="P212" s="399" t="n">
        <f aca="false">MATCH(t-pas/2-T_ini,CdP_t)</f>
        <v>23</v>
      </c>
      <c r="Q212" s="397" t="n">
        <f aca="false">(INDEX(CdP,2,i_P+1)-INDEX(CdP,2,i_P+0))/(INDEX(CdP,1,i_P+1)-INDEX(CdP,1,i_P+0))*(t-pas/2-T_ini-INDEX(CdP,1,i_P+0))+INDEX(CdP,2,i_P+0)</f>
        <v>0</v>
      </c>
      <c r="R212" s="396" t="n">
        <f aca="false">Poussee/(g*ISP)</f>
        <v>0</v>
      </c>
      <c r="S212" s="398" t="n">
        <f aca="false">S211-Débit*pas</f>
        <v>8.45</v>
      </c>
      <c r="T212" s="397" t="n">
        <f aca="false">m*g</f>
        <v>82.8945</v>
      </c>
      <c r="U212" s="400" t="n">
        <f aca="false">IF(pos_xz&lt;L_rampe,Poids*COS(Beta),0)</f>
        <v>0</v>
      </c>
      <c r="V212" s="396" t="n">
        <f aca="false">Rho_moyen*(20000-Alt_rampe-pos_z)/(20000+Alt_rampe+pos_z)</f>
        <v>1.18044204151281</v>
      </c>
      <c r="W212" s="397" t="n">
        <f aca="false">1/2*Rho*Sref*Cx*vit_xz^2</f>
        <v>120.283188479532</v>
      </c>
      <c r="Y212" s="401" t="str">
        <f aca="false">IF(AND(pos_z&lt;=0,K211&gt;0),"Impact balistique","") &amp; IF(AND(H213&lt;0,vit_z&gt;=0),"Apogée","") &amp; IF(AND(Poussee=0,Q211&gt;0),"Fin de propulsion","") &amp; IF(AND(L213&gt;L_rampe,pos_xz&lt;=L_rampe),"Sortie de rampe","")</f>
        <v/>
      </c>
      <c r="Z212" s="406" t="str">
        <f aca="false">IF(ABS(t-T_para)&lt;pas/2,"Para","")</f>
        <v/>
      </c>
      <c r="AA212" s="407" t="str">
        <f aca="false">IF(ABS(t-T_satellite)&lt;pas/2,"Satellite","")</f>
        <v/>
      </c>
      <c r="AC212" s="399" t="e">
        <f aca="false">IF(ABS(t-ROUND(t,0))&lt;0.001,t,NA())</f>
        <v>#N/A</v>
      </c>
      <c r="AD212" s="404" t="e">
        <f aca="false">IF(ABS(t-ROUND(t,0))&lt;0.001,pos_x,NA())</f>
        <v>#N/A</v>
      </c>
      <c r="AE212" s="405" t="n">
        <f aca="false">IF(t&lt;T_para, pos_z, NA())</f>
        <v>370.476259400238</v>
      </c>
      <c r="AG212" s="396" t="n">
        <f aca="false">IF(AND(L211&lt;L_rampe,Poussee&lt;Poids*SIN(M211)),0,(-W211+Poussee)/m-Poids*SIN(M211)/m)</f>
        <v>-24.2718039524225</v>
      </c>
      <c r="AH212" s="397" t="n">
        <f aca="false">IF(AND(L211&lt;L_rampe,Poussee&lt;Poids*SIN(M211)), g*SIN(M211), (-W211+Poussee)/m)</f>
        <v>-14.681466343803</v>
      </c>
    </row>
    <row r="213" customFormat="false" ht="12.75" hidden="false" customHeight="false" outlineLevel="0" collapsed="false">
      <c r="A213" s="396" t="n">
        <f aca="false">IF(B212+0.01&lt;=T_ini+ROUNDUP(Temps_fin_propu,0), 0.01, IF(K212&gt;0, 0.1, 0.0001))</f>
        <v>0.1</v>
      </c>
      <c r="B213" s="397" t="n">
        <f aca="false">B212+pas</f>
        <v>2.9</v>
      </c>
      <c r="D213" s="396" t="n">
        <f aca="false">IF(AND(L212&lt;L_rampe,Poussee&lt;Poids*SIN(M212)),0,(-W212+Poussee)/m*COS(M212)-U212/m*SIN(M212))</f>
        <v>-3.01290253573117</v>
      </c>
      <c r="E213" s="398" t="n">
        <f aca="false">IF(AND(L212&lt;L_rampe,Poussee&lt;Poids*SIN(M212)),0,(-W212+Poussee)/m*SIN(M212)+U212/m*COS(M212)-Poids/m)</f>
        <v>-23.7221893693445</v>
      </c>
      <c r="F213" s="397" t="n">
        <f aca="false">SQRT(acc_x^2+acc_z^2)</f>
        <v>23.9127549681097</v>
      </c>
      <c r="G213" s="396" t="n">
        <f aca="false">G212+acc_x*pas</f>
        <v>34.5286891983988</v>
      </c>
      <c r="H213" s="398" t="n">
        <f aca="false">H212+acc_z*pas</f>
        <v>158.456504899836</v>
      </c>
      <c r="I213" s="397" t="n">
        <f aca="false">SQRT(vit_x^2+vit_z^2)</f>
        <v>162.174888077135</v>
      </c>
      <c r="J213" s="396" t="n">
        <f aca="false">J212+0.5*(vit_x+G212)*pas*(K212&gt;=0)</f>
        <v>78.678713412995</v>
      </c>
      <c r="K213" s="398" t="n">
        <f aca="false">K212+0.5*(vit_z+H212)*pas</f>
        <v>386.440520837068</v>
      </c>
      <c r="L213" s="397" t="n">
        <f aca="false">SQRT(pos_x^2+pos_z^2)</f>
        <v>394.368629697075</v>
      </c>
      <c r="M213" s="396" t="n">
        <f aca="false">IF(AND(L212&gt;L_rampe,G213&gt;0),ATAN2(G213,H213),$M$4)</f>
        <v>1.35624382857185</v>
      </c>
      <c r="N213" s="397" t="n">
        <f aca="false">DEGREES(Beta)</f>
        <v>77.7070473678312</v>
      </c>
      <c r="P213" s="399" t="n">
        <f aca="false">MATCH(t-pas/2-T_ini,CdP_t)</f>
        <v>23</v>
      </c>
      <c r="Q213" s="397" t="n">
        <f aca="false">(INDEX(CdP,2,i_P+1)-INDEX(CdP,2,i_P+0))/(INDEX(CdP,1,i_P+1)-INDEX(CdP,1,i_P+0))*(t-pas/2-T_ini-INDEX(CdP,1,i_P+0))+INDEX(CdP,2,i_P+0)</f>
        <v>0</v>
      </c>
      <c r="R213" s="396" t="n">
        <f aca="false">Poussee/(g*ISP)</f>
        <v>0</v>
      </c>
      <c r="S213" s="398" t="n">
        <f aca="false">S212-Débit*pas</f>
        <v>8.45</v>
      </c>
      <c r="T213" s="397" t="n">
        <f aca="false">m*g</f>
        <v>82.8945</v>
      </c>
      <c r="U213" s="400" t="n">
        <f aca="false">IF(pos_xz&lt;L_rampe,Poids*COS(Beta),0)</f>
        <v>0</v>
      </c>
      <c r="V213" s="396" t="n">
        <f aca="false">Rho_moyen*(20000-Alt_rampe-pos_z)/(20000+Alt_rampe+pos_z)</f>
        <v>1.17855838234325</v>
      </c>
      <c r="W213" s="397" t="n">
        <f aca="false">1/2*Rho*Sref*Cx*vit_xz^2</f>
        <v>116.639557038993</v>
      </c>
      <c r="Y213" s="401" t="str">
        <f aca="false">IF(AND(pos_z&lt;=0,K212&gt;0),"Impact balistique","") &amp; IF(AND(H214&lt;0,vit_z&gt;=0),"Apogée","") &amp; IF(AND(Poussee=0,Q212&gt;0),"Fin de propulsion","") &amp; IF(AND(L214&gt;L_rampe,pos_xz&lt;=L_rampe),"Sortie de rampe","")</f>
        <v/>
      </c>
      <c r="Z213" s="406" t="str">
        <f aca="false">IF(ABS(t-T_para)&lt;pas/2,"Para","")</f>
        <v/>
      </c>
      <c r="AA213" s="407" t="str">
        <f aca="false">IF(ABS(t-T_satellite)&lt;pas/2,"Satellite","")</f>
        <v/>
      </c>
      <c r="AC213" s="399" t="e">
        <f aca="false">IF(ABS(t-ROUND(t,0))&lt;0.001,t,NA())</f>
        <v>#N/A</v>
      </c>
      <c r="AD213" s="404" t="e">
        <f aca="false">IF(ABS(t-ROUND(t,0))&lt;0.001,pos_x,NA())</f>
        <v>#N/A</v>
      </c>
      <c r="AE213" s="405" t="n">
        <f aca="false">IF(t&lt;T_para, pos_z, NA())</f>
        <v>386.440520837068</v>
      </c>
      <c r="AG213" s="396" t="n">
        <f aca="false">IF(AND(L212&lt;L_rampe,Poussee&lt;Poids*SIN(M212)),0,(-W212+Poussee)/m-Poids*SIN(M212)/m)</f>
        <v>-23.8224372286531</v>
      </c>
      <c r="AH213" s="397" t="n">
        <f aca="false">IF(AND(L212&lt;L_rampe,Poussee&lt;Poids*SIN(M212)), g*SIN(M212), (-W212+Poussee)/m)</f>
        <v>-14.2346968614831</v>
      </c>
    </row>
    <row r="214" customFormat="false" ht="12.75" hidden="false" customHeight="false" outlineLevel="0" collapsed="false">
      <c r="A214" s="396" t="n">
        <f aca="false">IF(B213+0.01&lt;=T_ini+ROUNDUP(Temps_fin_propu,0), 0.01, IF(K213&gt;0, 0.1, 0.0001))</f>
        <v>0.1</v>
      </c>
      <c r="B214" s="397" t="n">
        <f aca="false">B213+pas</f>
        <v>3</v>
      </c>
      <c r="D214" s="396" t="n">
        <f aca="false">IF(AND(L213&lt;L_rampe,Poussee&lt;Poids*SIN(M213)),0,(-W213+Poussee)/m*COS(M213)-U213/m*SIN(M213))</f>
        <v>-2.93890560744832</v>
      </c>
      <c r="E214" s="398" t="n">
        <f aca="false">IF(AND(L213&lt;L_rampe,Poussee&lt;Poids*SIN(M213)),0,(-W213+Poussee)/m*SIN(M213)+U213/m*COS(M213)-Poids/m)</f>
        <v>-23.2970080966868</v>
      </c>
      <c r="F214" s="397" t="n">
        <f aca="false">SQRT(acc_x^2+acc_z^2)</f>
        <v>23.481647140407</v>
      </c>
      <c r="G214" s="396" t="n">
        <f aca="false">G213+acc_x*pas</f>
        <v>34.234798637654</v>
      </c>
      <c r="H214" s="398" t="n">
        <f aca="false">H213+acc_z*pas</f>
        <v>156.126804090167</v>
      </c>
      <c r="I214" s="397" t="n">
        <f aca="false">SQRT(vit_x^2+vit_z^2)</f>
        <v>159.836167350103</v>
      </c>
      <c r="J214" s="396" t="n">
        <f aca="false">J213+0.5*(vit_x+G213)*pas*(K213&gt;=0)</f>
        <v>82.1168878047977</v>
      </c>
      <c r="K214" s="398" t="n">
        <f aca="false">K213+0.5*(vit_z+H213)*pas</f>
        <v>402.169686286569</v>
      </c>
      <c r="L214" s="397" t="n">
        <f aca="false">SQRT(pos_x^2+pos_z^2)</f>
        <v>410.467586820912</v>
      </c>
      <c r="M214" s="396" t="n">
        <f aca="false">IF(AND(L213&gt;L_rampe,G214&gt;0),ATAN2(G214,H214),$M$4)</f>
        <v>1.35493708443985</v>
      </c>
      <c r="N214" s="397" t="n">
        <f aca="false">DEGREES(Beta)</f>
        <v>77.6321764441643</v>
      </c>
      <c r="P214" s="399" t="n">
        <f aca="false">MATCH(t-pas/2-T_ini,CdP_t)</f>
        <v>23</v>
      </c>
      <c r="Q214" s="397" t="n">
        <f aca="false">(INDEX(CdP,2,i_P+1)-INDEX(CdP,2,i_P+0))/(INDEX(CdP,1,i_P+1)-INDEX(CdP,1,i_P+0))*(t-pas/2-T_ini-INDEX(CdP,1,i_P+0))+INDEX(CdP,2,i_P+0)</f>
        <v>0</v>
      </c>
      <c r="R214" s="396" t="n">
        <f aca="false">Poussee/(g*ISP)</f>
        <v>0</v>
      </c>
      <c r="S214" s="398" t="n">
        <f aca="false">S213-Débit*pas</f>
        <v>8.45</v>
      </c>
      <c r="T214" s="397" t="n">
        <f aca="false">m*g</f>
        <v>82.8945</v>
      </c>
      <c r="U214" s="400" t="n">
        <f aca="false">IF(pos_xz&lt;L_rampe,Poids*COS(Beta),0)</f>
        <v>0</v>
      </c>
      <c r="V214" s="396" t="n">
        <f aca="false">Rho_moyen*(20000-Alt_rampe-pos_z)/(20000+Alt_rampe+pos_z)</f>
        <v>1.17670534572779</v>
      </c>
      <c r="W214" s="397" t="n">
        <f aca="false">1/2*Rho*Sref*Cx*vit_xz^2</f>
        <v>113.121560547092</v>
      </c>
      <c r="Y214" s="401" t="str">
        <f aca="false">IF(AND(pos_z&lt;=0,K213&gt;0),"Impact balistique","") &amp; IF(AND(H215&lt;0,vit_z&gt;=0),"Apogée","") &amp; IF(AND(Poussee=0,Q213&gt;0),"Fin de propulsion","") &amp; IF(AND(L215&gt;L_rampe,pos_xz&lt;=L_rampe),"Sortie de rampe","")</f>
        <v/>
      </c>
      <c r="Z214" s="406" t="str">
        <f aca="false">IF(ABS(t-T_para)&lt;pas/2,"Para","")</f>
        <v/>
      </c>
      <c r="AA214" s="407" t="str">
        <f aca="false">IF(ABS(t-T_satellite)&lt;pas/2,"Satellite","")</f>
        <v/>
      </c>
      <c r="AC214" s="399" t="n">
        <f aca="false">IF(ABS(t-ROUND(t,0))&lt;0.001,t,NA())</f>
        <v>3</v>
      </c>
      <c r="AD214" s="404" t="n">
        <f aca="false">IF(ABS(t-ROUND(t,0))&lt;0.001,pos_x,NA())</f>
        <v>82.1168878047977</v>
      </c>
      <c r="AE214" s="405" t="n">
        <f aca="false">IF(t&lt;T_para, pos_z, NA())</f>
        <v>402.169686286569</v>
      </c>
      <c r="AG214" s="396" t="n">
        <f aca="false">IF(AND(L213&lt;L_rampe,Poussee&lt;Poids*SIN(M213)),0,(-W213+Poussee)/m-Poids*SIN(M213)/m)</f>
        <v>-23.3885719355213</v>
      </c>
      <c r="AH214" s="397" t="n">
        <f aca="false">IF(AND(L213&lt;L_rampe,Poussee&lt;Poids*SIN(M213)), g*SIN(M213), (-W213+Poussee)/m)</f>
        <v>-13.803497874437</v>
      </c>
    </row>
    <row r="215" customFormat="false" ht="12.75" hidden="false" customHeight="false" outlineLevel="0" collapsed="false">
      <c r="A215" s="396" t="n">
        <f aca="false">IF(B214+0.01&lt;=T_ini+ROUNDUP(Temps_fin_propu,0), 0.01, IF(K214&gt;0, 0.1, 0.0001))</f>
        <v>0.1</v>
      </c>
      <c r="B215" s="397" t="n">
        <f aca="false">B214+pas</f>
        <v>3.1</v>
      </c>
      <c r="D215" s="396" t="n">
        <f aca="false">IF(AND(L214&lt;L_rampe,Poussee&lt;Poids*SIN(M214)),0,(-W214+Poussee)/m*COS(M214)-U214/m*SIN(M214))</f>
        <v>-2.86735456517249</v>
      </c>
      <c r="E215" s="398" t="n">
        <f aca="false">IF(AND(L214&lt;L_rampe,Poussee&lt;Poids*SIN(M214)),0,(-W214+Poussee)/m*SIN(M214)+U214/m*COS(M214)-Poids/m)</f>
        <v>-22.8864871495797</v>
      </c>
      <c r="F215" s="397" t="n">
        <f aca="false">SQRT(acc_x^2+acc_z^2)</f>
        <v>23.0654073506256</v>
      </c>
      <c r="G215" s="396" t="n">
        <f aca="false">G214+acc_x*pas</f>
        <v>33.9480631811367</v>
      </c>
      <c r="H215" s="398" t="n">
        <f aca="false">H214+acc_z*pas</f>
        <v>153.838155375209</v>
      </c>
      <c r="I215" s="397" t="n">
        <f aca="false">SQRT(vit_x^2+vit_z^2)</f>
        <v>157.539357123854</v>
      </c>
      <c r="J215" s="396" t="n">
        <f aca="false">J214+0.5*(vit_x+G214)*pas*(K214&gt;=0)</f>
        <v>85.5260308957372</v>
      </c>
      <c r="K215" s="398" t="n">
        <f aca="false">K214+0.5*(vit_z+H214)*pas</f>
        <v>417.667934259837</v>
      </c>
      <c r="L215" s="397" t="n">
        <f aca="false">SQRT(pos_x^2+pos_z^2)</f>
        <v>426.334616550965</v>
      </c>
      <c r="M215" s="396" t="n">
        <f aca="false">IF(AND(L214&gt;L_rampe,G215&gt;0),ATAN2(G215,H215),$M$4)</f>
        <v>1.35360333949065</v>
      </c>
      <c r="N215" s="397" t="n">
        <f aca="false">DEGREES(Beta)</f>
        <v>77.5557584876283</v>
      </c>
      <c r="P215" s="399" t="n">
        <f aca="false">MATCH(t-pas/2-T_ini,CdP_t)</f>
        <v>23</v>
      </c>
      <c r="Q215" s="397" t="n">
        <f aca="false">(INDEX(CdP,2,i_P+1)-INDEX(CdP,2,i_P+0))/(INDEX(CdP,1,i_P+1)-INDEX(CdP,1,i_P+0))*(t-pas/2-T_ini-INDEX(CdP,1,i_P+0))+INDEX(CdP,2,i_P+0)</f>
        <v>0</v>
      </c>
      <c r="R215" s="396" t="n">
        <f aca="false">Poussee/(g*ISP)</f>
        <v>0</v>
      </c>
      <c r="S215" s="398" t="n">
        <f aca="false">S214-Débit*pas</f>
        <v>8.45</v>
      </c>
      <c r="T215" s="397" t="n">
        <f aca="false">m*g</f>
        <v>82.8945</v>
      </c>
      <c r="U215" s="400" t="n">
        <f aca="false">IF(pos_xz&lt;L_rampe,Poids*COS(Beta),0)</f>
        <v>0</v>
      </c>
      <c r="V215" s="396" t="n">
        <f aca="false">Rho_moyen*(20000-Alt_rampe-pos_z)/(20000+Alt_rampe+pos_z)</f>
        <v>1.17488230574465</v>
      </c>
      <c r="W215" s="397" t="n">
        <f aca="false">1/2*Rho*Sref*Cx*vit_xz^2</f>
        <v>109.723599888246</v>
      </c>
      <c r="Y215" s="401" t="str">
        <f aca="false">IF(AND(pos_z&lt;=0,K214&gt;0),"Impact balistique","") &amp; IF(AND(H216&lt;0,vit_z&gt;=0),"Apogée","") &amp; IF(AND(Poussee=0,Q214&gt;0),"Fin de propulsion","") &amp; IF(AND(L216&gt;L_rampe,pos_xz&lt;=L_rampe),"Sortie de rampe","")</f>
        <v/>
      </c>
      <c r="Z215" s="406" t="str">
        <f aca="false">IF(ABS(t-T_para)&lt;pas/2,"Para","")</f>
        <v/>
      </c>
      <c r="AA215" s="407" t="str">
        <f aca="false">IF(ABS(t-T_satellite)&lt;pas/2,"Satellite","")</f>
        <v/>
      </c>
      <c r="AC215" s="399" t="e">
        <f aca="false">IF(ABS(t-ROUND(t,0))&lt;0.001,t,NA())</f>
        <v>#N/A</v>
      </c>
      <c r="AD215" s="404" t="e">
        <f aca="false">IF(ABS(t-ROUND(t,0))&lt;0.001,pos_x,NA())</f>
        <v>#N/A</v>
      </c>
      <c r="AE215" s="405" t="n">
        <f aca="false">IF(t&lt;T_para, pos_z, NA())</f>
        <v>417.667934259837</v>
      </c>
      <c r="AG215" s="396" t="n">
        <f aca="false">IF(AND(L214&lt;L_rampe,Poussee&lt;Poids*SIN(M214)),0,(-W214+Poussee)/m-Poids*SIN(M214)/m)</f>
        <v>-22.9695034768589</v>
      </c>
      <c r="AH215" s="397" t="n">
        <f aca="false">IF(AND(L214&lt;L_rampe,Poussee&lt;Poids*SIN(M214)), g*SIN(M214), (-W214+Poussee)/m)</f>
        <v>-13.3871669286499</v>
      </c>
    </row>
    <row r="216" customFormat="false" ht="12.75" hidden="false" customHeight="false" outlineLevel="0" collapsed="false">
      <c r="A216" s="396" t="n">
        <f aca="false">IF(B215+0.01&lt;=T_ini+ROUNDUP(Temps_fin_propu,0), 0.01, IF(K215&gt;0, 0.1, 0.0001))</f>
        <v>0.1</v>
      </c>
      <c r="B216" s="397" t="n">
        <f aca="false">B215+pas</f>
        <v>3.2</v>
      </c>
      <c r="D216" s="396" t="n">
        <f aca="false">IF(AND(L215&lt;L_rampe,Poussee&lt;Poids*SIN(M215)),0,(-W215+Poussee)/m*COS(M215)-U215/m*SIN(M215))</f>
        <v>-2.79813891676807</v>
      </c>
      <c r="E216" s="398" t="n">
        <f aca="false">IF(AND(L215&lt;L_rampe,Poussee&lt;Poids*SIN(M215)),0,(-W215+Poussee)/m*SIN(M215)+U215/m*COS(M215)-Poids/m)</f>
        <v>-22.4899731443404</v>
      </c>
      <c r="F216" s="397" t="n">
        <f aca="false">SQRT(acc_x^2+acc_z^2)</f>
        <v>22.6633729491152</v>
      </c>
      <c r="G216" s="396" t="n">
        <f aca="false">G215+acc_x*pas</f>
        <v>33.6682492894599</v>
      </c>
      <c r="H216" s="398" t="n">
        <f aca="false">H215+acc_z*pas</f>
        <v>151.589158060775</v>
      </c>
      <c r="I216" s="397" t="n">
        <f aca="false">SQRT(vit_x^2+vit_z^2)</f>
        <v>155.283044315185</v>
      </c>
      <c r="J216" s="396" t="n">
        <f aca="false">J215+0.5*(vit_x+G215)*pas*(K215&gt;=0)</f>
        <v>88.906846519267</v>
      </c>
      <c r="K216" s="398" t="n">
        <f aca="false">K215+0.5*(vit_z+H215)*pas</f>
        <v>432.939299931636</v>
      </c>
      <c r="L216" s="397" t="n">
        <f aca="false">SQRT(pos_x^2+pos_z^2)</f>
        <v>441.973828165533</v>
      </c>
      <c r="M216" s="396" t="n">
        <f aca="false">IF(AND(L215&gt;L_rampe,G216&gt;0),ATAN2(G216,H216),$M$4)</f>
        <v>1.35224198559764</v>
      </c>
      <c r="N216" s="397" t="n">
        <f aca="false">DEGREES(Beta)</f>
        <v>77.4777586551353</v>
      </c>
      <c r="P216" s="399" t="n">
        <f aca="false">MATCH(t-pas/2-T_ini,CdP_t)</f>
        <v>23</v>
      </c>
      <c r="Q216" s="397" t="n">
        <f aca="false">(INDEX(CdP,2,i_P+1)-INDEX(CdP,2,i_P+0))/(INDEX(CdP,1,i_P+1)-INDEX(CdP,1,i_P+0))*(t-pas/2-T_ini-INDEX(CdP,1,i_P+0))+INDEX(CdP,2,i_P+0)</f>
        <v>0</v>
      </c>
      <c r="R216" s="396" t="n">
        <f aca="false">Poussee/(g*ISP)</f>
        <v>0</v>
      </c>
      <c r="S216" s="398" t="n">
        <f aca="false">S215-Débit*pas</f>
        <v>8.45</v>
      </c>
      <c r="T216" s="397" t="n">
        <f aca="false">m*g</f>
        <v>82.8945</v>
      </c>
      <c r="U216" s="400" t="n">
        <f aca="false">IF(pos_xz&lt;L_rampe,Poids*COS(Beta),0)</f>
        <v>0</v>
      </c>
      <c r="V216" s="396" t="n">
        <f aca="false">Rho_moyen*(20000-Alt_rampe-pos_z)/(20000+Alt_rampe+pos_z)</f>
        <v>1.17308865874544</v>
      </c>
      <c r="W216" s="397" t="n">
        <f aca="false">1/2*Rho*Sref*Cx*vit_xz^2</f>
        <v>106.440389842367</v>
      </c>
      <c r="Y216" s="401" t="str">
        <f aca="false">IF(AND(pos_z&lt;=0,K215&gt;0),"Impact balistique","") &amp; IF(AND(H217&lt;0,vit_z&gt;=0),"Apogée","") &amp; IF(AND(Poussee=0,Q215&gt;0),"Fin de propulsion","") &amp; IF(AND(L217&gt;L_rampe,pos_xz&lt;=L_rampe),"Sortie de rampe","")</f>
        <v/>
      </c>
      <c r="Z216" s="406" t="str">
        <f aca="false">IF(ABS(t-T_para)&lt;pas/2,"Para","")</f>
        <v/>
      </c>
      <c r="AA216" s="407" t="str">
        <f aca="false">IF(ABS(t-T_satellite)&lt;pas/2,"Satellite","")</f>
        <v/>
      </c>
      <c r="AC216" s="399" t="e">
        <f aca="false">IF(ABS(t-ROUND(t,0))&lt;0.001,t,NA())</f>
        <v>#N/A</v>
      </c>
      <c r="AD216" s="404" t="e">
        <f aca="false">IF(ABS(t-ROUND(t,0))&lt;0.001,pos_x,NA())</f>
        <v>#N/A</v>
      </c>
      <c r="AE216" s="405" t="n">
        <f aca="false">IF(t&lt;T_para, pos_z, NA())</f>
        <v>432.939299931636</v>
      </c>
      <c r="AG216" s="396" t="n">
        <f aca="false">IF(AND(L215&lt;L_rampe,Poussee&lt;Poids*SIN(M215)),0,(-W215+Poussee)/m-Poids*SIN(M215)/m)</f>
        <v>-22.5645670047049</v>
      </c>
      <c r="AH216" s="397" t="n">
        <f aca="false">IF(AND(L215&lt;L_rampe,Poussee&lt;Poids*SIN(M215)), g*SIN(M215), (-W215+Poussee)/m)</f>
        <v>-12.985041406893</v>
      </c>
    </row>
    <row r="217" customFormat="false" ht="12.75" hidden="false" customHeight="false" outlineLevel="0" collapsed="false">
      <c r="A217" s="396" t="n">
        <f aca="false">IF(B216+0.01&lt;=T_ini+ROUNDUP(Temps_fin_propu,0), 0.01, IF(K216&gt;0, 0.1, 0.0001))</f>
        <v>0.1</v>
      </c>
      <c r="B217" s="397" t="n">
        <f aca="false">B216+pas</f>
        <v>3.3</v>
      </c>
      <c r="D217" s="396" t="n">
        <f aca="false">IF(AND(L216&lt;L_rampe,Poussee&lt;Poids*SIN(M216)),0,(-W216+Poussee)/m*COS(M216)-U216/m*SIN(M216))</f>
        <v>-2.731154350835</v>
      </c>
      <c r="E217" s="398" t="n">
        <f aca="false">IF(AND(L216&lt;L_rampe,Poussee&lt;Poids*SIN(M216)),0,(-W216+Poussee)/m*SIN(M216)+U216/m*COS(M216)-Poids/m)</f>
        <v>-22.1068493258338</v>
      </c>
      <c r="F217" s="397" t="n">
        <f aca="false">SQRT(acc_x^2+acc_z^2)</f>
        <v>22.2749184331437</v>
      </c>
      <c r="G217" s="396" t="n">
        <f aca="false">G216+acc_x*pas</f>
        <v>33.3951338543764</v>
      </c>
      <c r="H217" s="398" t="n">
        <f aca="false">H216+acc_z*pas</f>
        <v>149.378473128191</v>
      </c>
      <c r="I217" s="397" t="n">
        <f aca="false">SQRT(vit_x^2+vit_z^2)</f>
        <v>153.06587862506</v>
      </c>
      <c r="J217" s="396" t="n">
        <f aca="false">J216+0.5*(vit_x+G216)*pas*(K216&gt;=0)</f>
        <v>92.2600156764589</v>
      </c>
      <c r="K217" s="398" t="n">
        <f aca="false">K216+0.5*(vit_z+H216)*pas</f>
        <v>447.987681491085</v>
      </c>
      <c r="L217" s="397" t="n">
        <f aca="false">SQRT(pos_x^2+pos_z^2)</f>
        <v>457.389192330097</v>
      </c>
      <c r="M217" s="396" t="n">
        <f aca="false">IF(AND(L216&gt;L_rampe,G217&gt;0),ATAN2(G217,H217),$M$4)</f>
        <v>1.35085239375575</v>
      </c>
      <c r="N217" s="397" t="n">
        <f aca="false">DEGREES(Beta)</f>
        <v>77.3981409073491</v>
      </c>
      <c r="P217" s="399" t="n">
        <f aca="false">MATCH(t-pas/2-T_ini,CdP_t)</f>
        <v>23</v>
      </c>
      <c r="Q217" s="397" t="n">
        <f aca="false">(INDEX(CdP,2,i_P+1)-INDEX(CdP,2,i_P+0))/(INDEX(CdP,1,i_P+1)-INDEX(CdP,1,i_P+0))*(t-pas/2-T_ini-INDEX(CdP,1,i_P+0))+INDEX(CdP,2,i_P+0)</f>
        <v>0</v>
      </c>
      <c r="R217" s="396" t="n">
        <f aca="false">Poussee/(g*ISP)</f>
        <v>0</v>
      </c>
      <c r="S217" s="398" t="n">
        <f aca="false">S216-Débit*pas</f>
        <v>8.45</v>
      </c>
      <c r="T217" s="397" t="n">
        <f aca="false">m*g</f>
        <v>82.8945</v>
      </c>
      <c r="U217" s="400" t="n">
        <f aca="false">IF(pos_xz&lt;L_rampe,Poids*COS(Beta),0)</f>
        <v>0</v>
      </c>
      <c r="V217" s="396" t="n">
        <f aca="false">Rho_moyen*(20000-Alt_rampe-pos_z)/(20000+Alt_rampe+pos_z)</f>
        <v>1.17132382233648</v>
      </c>
      <c r="W217" s="397" t="n">
        <f aca="false">1/2*Rho*Sref*Cx*vit_xz^2</f>
        <v>103.266938137621</v>
      </c>
      <c r="Y217" s="401" t="str">
        <f aca="false">IF(AND(pos_z&lt;=0,K216&gt;0),"Impact balistique","") &amp; IF(AND(H218&lt;0,vit_z&gt;=0),"Apogée","") &amp; IF(AND(Poussee=0,Q216&gt;0),"Fin de propulsion","") &amp; IF(AND(L218&gt;L_rampe,pos_xz&lt;=L_rampe),"Sortie de rampe","")</f>
        <v/>
      </c>
      <c r="Z217" s="406" t="str">
        <f aca="false">IF(ABS(t-T_para)&lt;pas/2,"Para","")</f>
        <v/>
      </c>
      <c r="AA217" s="407" t="str">
        <f aca="false">IF(ABS(t-T_satellite)&lt;pas/2,"Satellite","")</f>
        <v/>
      </c>
      <c r="AC217" s="399" t="e">
        <f aca="false">IF(ABS(t-ROUND(t,0))&lt;0.001,t,NA())</f>
        <v>#N/A</v>
      </c>
      <c r="AD217" s="404" t="e">
        <f aca="false">IF(ABS(t-ROUND(t,0))&lt;0.001,pos_x,NA())</f>
        <v>#N/A</v>
      </c>
      <c r="AE217" s="405" t="n">
        <f aca="false">IF(t&lt;T_para, pos_z, NA())</f>
        <v>447.987681491085</v>
      </c>
      <c r="AG217" s="396" t="n">
        <f aca="false">IF(AND(L216&lt;L_rampe,Poussee&lt;Poids*SIN(M216)),0,(-W216+Poussee)/m-Poids*SIN(M216)/m)</f>
        <v>-22.1731347256614</v>
      </c>
      <c r="AH217" s="397" t="n">
        <f aca="false">IF(AND(L216&lt;L_rampe,Poussee&lt;Poids*SIN(M216)), g*SIN(M216), (-W216+Poussee)/m)</f>
        <v>-12.5964958393334</v>
      </c>
    </row>
    <row r="218" customFormat="false" ht="12.75" hidden="false" customHeight="false" outlineLevel="0" collapsed="false">
      <c r="A218" s="396" t="n">
        <f aca="false">IF(B217+0.01&lt;=T_ini+ROUNDUP(Temps_fin_propu,0), 0.01, IF(K217&gt;0, 0.1, 0.0001))</f>
        <v>0.1</v>
      </c>
      <c r="B218" s="397" t="n">
        <f aca="false">B217+pas</f>
        <v>3.4</v>
      </c>
      <c r="D218" s="396" t="n">
        <f aca="false">IF(AND(L217&lt;L_rampe,Poussee&lt;Poids*SIN(M217)),0,(-W217+Poussee)/m*COS(M217)-U217/m*SIN(M217))</f>
        <v>-2.66630232404351</v>
      </c>
      <c r="E218" s="398" t="n">
        <f aca="false">IF(AND(L217&lt;L_rampe,Poussee&lt;Poids*SIN(M217)),0,(-W217+Poussee)/m*SIN(M217)+U217/m*COS(M217)-Poids/m)</f>
        <v>-21.7365331230757</v>
      </c>
      <c r="F218" s="397" t="n">
        <f aca="false">SQRT(acc_x^2+acc_z^2)</f>
        <v>21.8994529679115</v>
      </c>
      <c r="G218" s="396" t="n">
        <f aca="false">G217+acc_x*pas</f>
        <v>33.1285036219721</v>
      </c>
      <c r="H218" s="398" t="n">
        <f aca="false">H217+acc_z*pas</f>
        <v>147.204819815884</v>
      </c>
      <c r="I218" s="397" t="n">
        <f aca="false">SQRT(vit_x^2+vit_z^2)</f>
        <v>150.886569081737</v>
      </c>
      <c r="J218" s="396" t="n">
        <f aca="false">J217+0.5*(vit_x+G217)*pas*(K217&gt;=0)</f>
        <v>95.5861975502763</v>
      </c>
      <c r="K218" s="398" t="n">
        <f aca="false">K217+0.5*(vit_z+H217)*pas</f>
        <v>462.816846138289</v>
      </c>
      <c r="L218" s="397" t="n">
        <f aca="false">SQRT(pos_x^2+pos_z^2)</f>
        <v>472.584547178082</v>
      </c>
      <c r="M218" s="396" t="n">
        <f aca="false">IF(AND(L217&gt;L_rampe,G218&gt;0),ATAN2(G218,H218),$M$4)</f>
        <v>1.34943391325762</v>
      </c>
      <c r="N218" s="397" t="n">
        <f aca="false">DEGREES(Beta)</f>
        <v>77.3168679614845</v>
      </c>
      <c r="P218" s="399" t="n">
        <f aca="false">MATCH(t-pas/2-T_ini,CdP_t)</f>
        <v>23</v>
      </c>
      <c r="Q218" s="397" t="n">
        <f aca="false">(INDEX(CdP,2,i_P+1)-INDEX(CdP,2,i_P+0))/(INDEX(CdP,1,i_P+1)-INDEX(CdP,1,i_P+0))*(t-pas/2-T_ini-INDEX(CdP,1,i_P+0))+INDEX(CdP,2,i_P+0)</f>
        <v>0</v>
      </c>
      <c r="R218" s="396" t="n">
        <f aca="false">Poussee/(g*ISP)</f>
        <v>0</v>
      </c>
      <c r="S218" s="398" t="n">
        <f aca="false">S217-Débit*pas</f>
        <v>8.45</v>
      </c>
      <c r="T218" s="397" t="n">
        <f aca="false">m*g</f>
        <v>82.8945</v>
      </c>
      <c r="U218" s="400" t="n">
        <f aca="false">IF(pos_xz&lt;L_rampe,Poids*COS(Beta),0)</f>
        <v>0</v>
      </c>
      <c r="V218" s="396" t="n">
        <f aca="false">Rho_moyen*(20000-Alt_rampe-pos_z)/(20000+Alt_rampe+pos_z)</f>
        <v>1.16958723441818</v>
      </c>
      <c r="W218" s="397" t="n">
        <f aca="false">1/2*Rho*Sref*Cx*vit_xz^2</f>
        <v>100.198526123584</v>
      </c>
      <c r="Y218" s="401" t="str">
        <f aca="false">IF(AND(pos_z&lt;=0,K217&gt;0),"Impact balistique","") &amp; IF(AND(H219&lt;0,vit_z&gt;=0),"Apogée","") &amp; IF(AND(Poussee=0,Q217&gt;0),"Fin de propulsion","") &amp; IF(AND(L219&gt;L_rampe,pos_xz&lt;=L_rampe),"Sortie de rampe","")</f>
        <v/>
      </c>
      <c r="Z218" s="406" t="str">
        <f aca="false">IF(ABS(t-T_para)&lt;pas/2,"Para","")</f>
        <v/>
      </c>
      <c r="AA218" s="407" t="str">
        <f aca="false">IF(ABS(t-T_satellite)&lt;pas/2,"Satellite","")</f>
        <v/>
      </c>
      <c r="AC218" s="399" t="e">
        <f aca="false">IF(ABS(t-ROUND(t,0))&lt;0.001,t,NA())</f>
        <v>#N/A</v>
      </c>
      <c r="AD218" s="404" t="e">
        <f aca="false">IF(ABS(t-ROUND(t,0))&lt;0.001,pos_x,NA())</f>
        <v>#N/A</v>
      </c>
      <c r="AE218" s="405" t="n">
        <f aca="false">IF(t&lt;T_para, pos_z, NA())</f>
        <v>462.816846138289</v>
      </c>
      <c r="AG218" s="396" t="n">
        <f aca="false">IF(AND(L217&lt;L_rampe,Poussee&lt;Poids*SIN(M217)),0,(-W217+Poussee)/m-Poids*SIN(M217)/m)</f>
        <v>-21.7946134174342</v>
      </c>
      <c r="AH218" s="397" t="n">
        <f aca="false">IF(AND(L217&lt;L_rampe,Poussee&lt;Poids*SIN(M217)), g*SIN(M217), (-W217+Poussee)/m)</f>
        <v>-12.2209394245705</v>
      </c>
    </row>
    <row r="219" customFormat="false" ht="12.75" hidden="false" customHeight="false" outlineLevel="0" collapsed="false">
      <c r="A219" s="396" t="n">
        <f aca="false">IF(B218+0.01&lt;=T_ini+ROUNDUP(Temps_fin_propu,0), 0.01, IF(K218&gt;0, 0.1, 0.0001))</f>
        <v>0.1</v>
      </c>
      <c r="B219" s="397" t="n">
        <f aca="false">B218+pas</f>
        <v>3.5</v>
      </c>
      <c r="D219" s="396" t="n">
        <f aca="false">IF(AND(L218&lt;L_rampe,Poussee&lt;Poids*SIN(M218)),0,(-W218+Poussee)/m*COS(M218)-U218/m*SIN(M218))</f>
        <v>-2.60348968039798</v>
      </c>
      <c r="E219" s="398" t="n">
        <f aca="false">IF(AND(L218&lt;L_rampe,Poussee&lt;Poids*SIN(M218)),0,(-W218+Poussee)/m*SIN(M218)+U218/m*COS(M218)-Poids/m)</f>
        <v>-21.3784738939224</v>
      </c>
      <c r="F219" s="397" t="n">
        <f aca="false">SQRT(acc_x^2+acc_z^2)</f>
        <v>21.5364180993279</v>
      </c>
      <c r="G219" s="396" t="n">
        <f aca="false">G218+acc_x*pas</f>
        <v>32.8681546539323</v>
      </c>
      <c r="H219" s="398" t="n">
        <f aca="false">H218+acc_z*pas</f>
        <v>145.066972426492</v>
      </c>
      <c r="I219" s="397" t="n">
        <f aca="false">SQRT(vit_x^2+vit_z^2)</f>
        <v>148.743880813105</v>
      </c>
      <c r="J219" s="396" t="n">
        <f aca="false">J218+0.5*(vit_x+G218)*pas*(K218&gt;=0)</f>
        <v>98.8860304640715</v>
      </c>
      <c r="K219" s="398" t="n">
        <f aca="false">K218+0.5*(vit_z+H218)*pas</f>
        <v>477.430435750407</v>
      </c>
      <c r="L219" s="397" t="n">
        <f aca="false">SQRT(pos_x^2+pos_z^2)</f>
        <v>487.563604057732</v>
      </c>
      <c r="M219" s="396" t="n">
        <f aca="false">IF(AND(L218&gt;L_rampe,G219&gt;0),ATAN2(G219,H219),$M$4)</f>
        <v>1.34798587082926</v>
      </c>
      <c r="N219" s="397" t="n">
        <f aca="false">DEGREES(Beta)</f>
        <v>77.2339012417833</v>
      </c>
      <c r="P219" s="399" t="n">
        <f aca="false">MATCH(t-pas/2-T_ini,CdP_t)</f>
        <v>23</v>
      </c>
      <c r="Q219" s="397" t="n">
        <f aca="false">(INDEX(CdP,2,i_P+1)-INDEX(CdP,2,i_P+0))/(INDEX(CdP,1,i_P+1)-INDEX(CdP,1,i_P+0))*(t-pas/2-T_ini-INDEX(CdP,1,i_P+0))+INDEX(CdP,2,i_P+0)</f>
        <v>0</v>
      </c>
      <c r="R219" s="396" t="n">
        <f aca="false">Poussee/(g*ISP)</f>
        <v>0</v>
      </c>
      <c r="S219" s="398" t="n">
        <f aca="false">S218-Débit*pas</f>
        <v>8.45</v>
      </c>
      <c r="T219" s="397" t="n">
        <f aca="false">m*g</f>
        <v>82.8945</v>
      </c>
      <c r="U219" s="400" t="n">
        <f aca="false">IF(pos_xz&lt;L_rampe,Poids*COS(Beta),0)</f>
        <v>0</v>
      </c>
      <c r="V219" s="396" t="n">
        <f aca="false">Rho_moyen*(20000-Alt_rampe-pos_z)/(20000+Alt_rampe+pos_z)</f>
        <v>1.16787835227869</v>
      </c>
      <c r="W219" s="397" t="n">
        <f aca="false">1/2*Rho*Sref*Cx*vit_xz^2</f>
        <v>97.2306909227092</v>
      </c>
      <c r="Y219" s="401" t="str">
        <f aca="false">IF(AND(pos_z&lt;=0,K218&gt;0),"Impact balistique","") &amp; IF(AND(H220&lt;0,vit_z&gt;=0),"Apogée","") &amp; IF(AND(Poussee=0,Q218&gt;0),"Fin de propulsion","") &amp; IF(AND(L220&gt;L_rampe,pos_xz&lt;=L_rampe),"Sortie de rampe","")</f>
        <v/>
      </c>
      <c r="Z219" s="406" t="str">
        <f aca="false">IF(ABS(t-T_para)&lt;pas/2,"Para","")</f>
        <v/>
      </c>
      <c r="AA219" s="407" t="str">
        <f aca="false">IF(ABS(t-T_satellite)&lt;pas/2,"Satellite","")</f>
        <v>Satellite</v>
      </c>
      <c r="AC219" s="399" t="e">
        <f aca="false">IF(ABS(t-ROUND(t,0))&lt;0.001,t,NA())</f>
        <v>#N/A</v>
      </c>
      <c r="AD219" s="404" t="e">
        <f aca="false">IF(ABS(t-ROUND(t,0))&lt;0.001,pos_x,NA())</f>
        <v>#N/A</v>
      </c>
      <c r="AE219" s="405" t="n">
        <f aca="false">IF(t&lt;T_para, pos_z, NA())</f>
        <v>477.430435750407</v>
      </c>
      <c r="AG219" s="396" t="n">
        <f aca="false">IF(AND(L218&lt;L_rampe,Poussee&lt;Poids*SIN(M218)),0,(-W218+Poussee)/m-Poids*SIN(M218)/m)</f>
        <v>-21.4284421368793</v>
      </c>
      <c r="AH219" s="397" t="n">
        <f aca="false">IF(AND(L218&lt;L_rampe,Poussee&lt;Poids*SIN(M218)), g*SIN(M218), (-W218+Poussee)/m)</f>
        <v>-11.8578137424359</v>
      </c>
    </row>
    <row r="220" customFormat="false" ht="12.75" hidden="false" customHeight="false" outlineLevel="0" collapsed="false">
      <c r="A220" s="396" t="n">
        <f aca="false">IF(B219+0.01&lt;=T_ini+ROUNDUP(Temps_fin_propu,0), 0.01, IF(K219&gt;0, 0.1, 0.0001))</f>
        <v>0.1</v>
      </c>
      <c r="B220" s="397" t="n">
        <f aca="false">B219+pas</f>
        <v>3.6</v>
      </c>
      <c r="D220" s="396" t="n">
        <f aca="false">IF(AND(L219&lt;L_rampe,Poussee&lt;Poids*SIN(M219)),0,(-W219+Poussee)/m*COS(M219)-U219/m*SIN(M219))</f>
        <v>-2.54262829963021</v>
      </c>
      <c r="E220" s="398" t="n">
        <f aca="false">IF(AND(L219&lt;L_rampe,Poussee&lt;Poids*SIN(M219)),0,(-W219+Poussee)/m*SIN(M219)+U219/m*COS(M219)-Poids/m)</f>
        <v>-21.0321508422635</v>
      </c>
      <c r="F220" s="397" t="n">
        <f aca="false">SQRT(acc_x^2+acc_z^2)</f>
        <v>21.1852856417327</v>
      </c>
      <c r="G220" s="396" t="n">
        <f aca="false">G219+acc_x*pas</f>
        <v>32.6138918239693</v>
      </c>
      <c r="H220" s="398" t="n">
        <f aca="false">H219+acc_z*pas</f>
        <v>142.963757342265</v>
      </c>
      <c r="I220" s="397" t="n">
        <f aca="false">SQRT(vit_x^2+vit_z^2)</f>
        <v>146.636632030757</v>
      </c>
      <c r="J220" s="396" t="n">
        <f aca="false">J219+0.5*(vit_x+G219)*pas*(K219&gt;=0)</f>
        <v>102.160132787967</v>
      </c>
      <c r="K220" s="398" t="n">
        <f aca="false">K219+0.5*(vit_z+H219)*pas</f>
        <v>491.831972238845</v>
      </c>
      <c r="L220" s="397" t="n">
        <f aca="false">SQRT(pos_x^2+pos_z^2)</f>
        <v>502.32995296678</v>
      </c>
      <c r="M220" s="396" t="n">
        <f aca="false">IF(AND(L219&gt;L_rampe,G220&gt;0),ATAN2(G220,H220),$M$4)</f>
        <v>1.34650756972293</v>
      </c>
      <c r="N220" s="397" t="n">
        <f aca="false">DEGREES(Beta)</f>
        <v>77.1492008275413</v>
      </c>
      <c r="P220" s="399" t="n">
        <f aca="false">MATCH(t-pas/2-T_ini,CdP_t)</f>
        <v>23</v>
      </c>
      <c r="Q220" s="397" t="n">
        <f aca="false">(INDEX(CdP,2,i_P+1)-INDEX(CdP,2,i_P+0))/(INDEX(CdP,1,i_P+1)-INDEX(CdP,1,i_P+0))*(t-pas/2-T_ini-INDEX(CdP,1,i_P+0))+INDEX(CdP,2,i_P+0)</f>
        <v>0</v>
      </c>
      <c r="R220" s="396" t="n">
        <f aca="false">Poussee/(g*ISP)</f>
        <v>0</v>
      </c>
      <c r="S220" s="398" t="n">
        <f aca="false">S219-Débit*pas</f>
        <v>8.45</v>
      </c>
      <c r="T220" s="397" t="n">
        <f aca="false">m*g</f>
        <v>82.8945</v>
      </c>
      <c r="U220" s="400" t="n">
        <f aca="false">IF(pos_xz&lt;L_rampe,Poids*COS(Beta),0)</f>
        <v>0</v>
      </c>
      <c r="V220" s="396" t="n">
        <f aca="false">Rho_moyen*(20000-Alt_rampe-pos_z)/(20000+Alt_rampe+pos_z)</f>
        <v>1.16619665173823</v>
      </c>
      <c r="W220" s="397" t="n">
        <f aca="false">1/2*Rho*Sref*Cx*vit_xz^2</f>
        <v>94.3592089318975</v>
      </c>
      <c r="Y220" s="401" t="str">
        <f aca="false">IF(AND(pos_z&lt;=0,K219&gt;0),"Impact balistique","") &amp; IF(AND(H221&lt;0,vit_z&gt;=0),"Apogée","") &amp; IF(AND(Poussee=0,Q219&gt;0),"Fin de propulsion","") &amp; IF(AND(L221&gt;L_rampe,pos_xz&lt;=L_rampe),"Sortie de rampe","")</f>
        <v/>
      </c>
      <c r="Z220" s="406" t="str">
        <f aca="false">IF(ABS(t-T_para)&lt;pas/2,"Para","")</f>
        <v/>
      </c>
      <c r="AA220" s="403" t="str">
        <f aca="false">IF(ABS(t-T_satellite)&lt;pas/2,"Satellite","")</f>
        <v/>
      </c>
      <c r="AC220" s="399" t="e">
        <f aca="false">IF(ABS(t-ROUND(t,0))&lt;0.001,t,NA())</f>
        <v>#N/A</v>
      </c>
      <c r="AD220" s="404" t="e">
        <f aca="false">IF(ABS(t-ROUND(t,0))&lt;0.001,pos_x,NA())</f>
        <v>#N/A</v>
      </c>
      <c r="AE220" s="405" t="n">
        <f aca="false">IF(t&lt;T_para, pos_z, NA())</f>
        <v>491.831972238845</v>
      </c>
      <c r="AG220" s="396" t="n">
        <f aca="false">IF(AND(L219&lt;L_rampe,Poussee&lt;Poids*SIN(M219)),0,(-W219+Poussee)/m-Poids*SIN(M219)/m)</f>
        <v>-21.0740901027236</v>
      </c>
      <c r="AH220" s="397" t="n">
        <f aca="false">IF(AND(L219&lt;L_rampe,Poussee&lt;Poids*SIN(M219)), g*SIN(M219), (-W219+Poussee)/m)</f>
        <v>-11.5065906417407</v>
      </c>
    </row>
    <row r="221" customFormat="false" ht="12.75" hidden="false" customHeight="false" outlineLevel="0" collapsed="false">
      <c r="A221" s="396" t="n">
        <f aca="false">IF(B220+0.01&lt;=T_ini+ROUNDUP(Temps_fin_propu,0), 0.01, IF(K220&gt;0, 0.1, 0.0001))</f>
        <v>0.1</v>
      </c>
      <c r="B221" s="397" t="n">
        <f aca="false">B220+pas</f>
        <v>3.7</v>
      </c>
      <c r="D221" s="396" t="n">
        <f aca="false">IF(AND(L220&lt;L_rampe,Poussee&lt;Poids*SIN(M220)),0,(-W220+Poussee)/m*COS(M220)-U220/m*SIN(M220))</f>
        <v>-2.48363477219652</v>
      </c>
      <c r="E221" s="398" t="n">
        <f aca="false">IF(AND(L220&lt;L_rampe,Poussee&lt;Poids*SIN(M220)),0,(-W220+Poussee)/m*SIN(M220)+U220/m*COS(M220)-Poids/m)</f>
        <v>-20.6970710927593</v>
      </c>
      <c r="F221" s="397" t="n">
        <f aca="false">SQRT(acc_x^2+acc_z^2)</f>
        <v>20.8455557253914</v>
      </c>
      <c r="G221" s="396" t="n">
        <f aca="false">G220+acc_x*pas</f>
        <v>32.3655283467496</v>
      </c>
      <c r="H221" s="398" t="n">
        <f aca="false">H220+acc_z*pas</f>
        <v>140.894050232989</v>
      </c>
      <c r="I221" s="397" t="n">
        <f aca="false">SQRT(vit_x^2+vit_z^2)</f>
        <v>144.563691209862</v>
      </c>
      <c r="J221" s="396" t="n">
        <f aca="false">J220+0.5*(vit_x+G220)*pas*(K220&gt;=0)</f>
        <v>105.409103796503</v>
      </c>
      <c r="K221" s="398" t="n">
        <f aca="false">K220+0.5*(vit_z+H220)*pas</f>
        <v>506.024862617608</v>
      </c>
      <c r="L221" s="397" t="n">
        <f aca="false">SQRT(pos_x^2+pos_z^2)</f>
        <v>516.887067695015</v>
      </c>
      <c r="M221" s="396" t="n">
        <f aca="false">IF(AND(L220&gt;L_rampe,G221&gt;0),ATAN2(G221,H221),$M$4)</f>
        <v>1.34499828876491</v>
      </c>
      <c r="N221" s="397" t="n">
        <f aca="false">DEGREES(Beta)</f>
        <v>77.0627253985475</v>
      </c>
      <c r="P221" s="399" t="n">
        <f aca="false">MATCH(t-pas/2-T_ini,CdP_t)</f>
        <v>23</v>
      </c>
      <c r="Q221" s="397" t="n">
        <f aca="false">(INDEX(CdP,2,i_P+1)-INDEX(CdP,2,i_P+0))/(INDEX(CdP,1,i_P+1)-INDEX(CdP,1,i_P+0))*(t-pas/2-T_ini-INDEX(CdP,1,i_P+0))+INDEX(CdP,2,i_P+0)</f>
        <v>0</v>
      </c>
      <c r="R221" s="396" t="n">
        <f aca="false">Poussee/(g*ISP)</f>
        <v>0</v>
      </c>
      <c r="S221" s="398" t="n">
        <f aca="false">S220-Débit*pas</f>
        <v>8.45</v>
      </c>
      <c r="T221" s="397" t="n">
        <f aca="false">m*g</f>
        <v>82.8945</v>
      </c>
      <c r="U221" s="400" t="n">
        <f aca="false">IF(pos_xz&lt;L_rampe,Poids*COS(Beta),0)</f>
        <v>0</v>
      </c>
      <c r="V221" s="396" t="n">
        <f aca="false">Rho_moyen*(20000-Alt_rampe-pos_z)/(20000+Alt_rampe+pos_z)</f>
        <v>1.1645416263406</v>
      </c>
      <c r="W221" s="397" t="n">
        <f aca="false">1/2*Rho*Sref*Cx*vit_xz^2</f>
        <v>91.5800805583795</v>
      </c>
      <c r="Y221" s="401" t="str">
        <f aca="false">IF(AND(pos_z&lt;=0,K220&gt;0),"Impact balistique","") &amp; IF(AND(H222&lt;0,vit_z&gt;=0),"Apogée","") &amp; IF(AND(Poussee=0,Q220&gt;0),"Fin de propulsion","") &amp; IF(AND(L222&gt;L_rampe,pos_xz&lt;=L_rampe),"Sortie de rampe","")</f>
        <v/>
      </c>
      <c r="Z221" s="406" t="str">
        <f aca="false">IF(ABS(t-T_para)&lt;pas/2,"Para","")</f>
        <v/>
      </c>
      <c r="AA221" s="403" t="str">
        <f aca="false">IF(ABS(t-T_satellite)&lt;pas/2,"Satellite","")</f>
        <v/>
      </c>
      <c r="AC221" s="399" t="e">
        <f aca="false">IF(ABS(t-ROUND(t,0))&lt;0.001,t,NA())</f>
        <v>#N/A</v>
      </c>
      <c r="AD221" s="404" t="e">
        <f aca="false">IF(ABS(t-ROUND(t,0))&lt;0.001,pos_x,NA())</f>
        <v>#N/A</v>
      </c>
      <c r="AE221" s="405" t="n">
        <f aca="false">IF(t&lt;T_para, pos_z, NA())</f>
        <v>506.024862617608</v>
      </c>
      <c r="AG221" s="396" t="n">
        <f aca="false">IF(AND(L220&lt;L_rampe,Poussee&lt;Poids*SIN(M220)),0,(-W220+Poussee)/m-Poids*SIN(M220)/m)</f>
        <v>-20.7310547377677</v>
      </c>
      <c r="AH221" s="397" t="n">
        <f aca="false">IF(AND(L220&lt;L_rampe,Poussee&lt;Poids*SIN(M220)), g*SIN(M220), (-W220+Poussee)/m)</f>
        <v>-11.1667702877985</v>
      </c>
    </row>
    <row r="222" customFormat="false" ht="12.75" hidden="false" customHeight="false" outlineLevel="0" collapsed="false">
      <c r="A222" s="396" t="n">
        <f aca="false">IF(B221+0.01&lt;=T_ini+ROUNDUP(Temps_fin_propu,0), 0.01, IF(K221&gt;0, 0.1, 0.0001))</f>
        <v>0.1</v>
      </c>
      <c r="B222" s="397" t="n">
        <f aca="false">B221+pas</f>
        <v>3.8</v>
      </c>
      <c r="D222" s="396" t="n">
        <f aca="false">IF(AND(L221&lt;L_rampe,Poussee&lt;Poids*SIN(M221)),0,(-W221+Poussee)/m*COS(M221)-U221/m*SIN(M221))</f>
        <v>-2.42643009859746</v>
      </c>
      <c r="E222" s="398" t="n">
        <f aca="false">IF(AND(L221&lt;L_rampe,Poussee&lt;Poids*SIN(M221)),0,(-W221+Poussee)/m*SIN(M221)+U221/m*COS(M221)-Poids/m)</f>
        <v>-20.3727679096102</v>
      </c>
      <c r="F222" s="397" t="n">
        <f aca="false">SQRT(acc_x^2+acc_z^2)</f>
        <v>20.5167549900618</v>
      </c>
      <c r="G222" s="396" t="n">
        <f aca="false">G221+acc_x*pas</f>
        <v>32.1228853368899</v>
      </c>
      <c r="H222" s="398" t="n">
        <f aca="false">H221+acc_z*pas</f>
        <v>138.856773442028</v>
      </c>
      <c r="I222" s="397" t="n">
        <f aca="false">SQRT(vit_x^2+vit_z^2)</f>
        <v>142.523974450258</v>
      </c>
      <c r="J222" s="396" t="n">
        <f aca="false">J221+0.5*(vit_x+G221)*pas*(K221&gt;=0)</f>
        <v>108.633524480684</v>
      </c>
      <c r="K222" s="398" t="n">
        <f aca="false">K221+0.5*(vit_z+H221)*pas</f>
        <v>520.012403801359</v>
      </c>
      <c r="L222" s="397" t="n">
        <f aca="false">SQRT(pos_x^2+pos_z^2)</f>
        <v>531.238310693386</v>
      </c>
      <c r="M222" s="396" t="n">
        <f aca="false">IF(AND(L221&gt;L_rampe,G222&gt;0),ATAN2(G222,H222),$M$4)</f>
        <v>1.34345728135556</v>
      </c>
      <c r="N222" s="397" t="n">
        <f aca="false">DEGREES(Beta)</f>
        <v>76.9744321777932</v>
      </c>
      <c r="P222" s="399" t="n">
        <f aca="false">MATCH(t-pas/2-T_ini,CdP_t)</f>
        <v>23</v>
      </c>
      <c r="Q222" s="397" t="n">
        <f aca="false">(INDEX(CdP,2,i_P+1)-INDEX(CdP,2,i_P+0))/(INDEX(CdP,1,i_P+1)-INDEX(CdP,1,i_P+0))*(t-pas/2-T_ini-INDEX(CdP,1,i_P+0))+INDEX(CdP,2,i_P+0)</f>
        <v>0</v>
      </c>
      <c r="R222" s="396" t="n">
        <f aca="false">Poussee/(g*ISP)</f>
        <v>0</v>
      </c>
      <c r="S222" s="398" t="n">
        <f aca="false">S221-Débit*pas</f>
        <v>8.45</v>
      </c>
      <c r="T222" s="397" t="n">
        <f aca="false">m*g</f>
        <v>82.8945</v>
      </c>
      <c r="U222" s="400" t="n">
        <f aca="false">IF(pos_xz&lt;L_rampe,Poids*COS(Beta),0)</f>
        <v>0</v>
      </c>
      <c r="V222" s="396" t="n">
        <f aca="false">Rho_moyen*(20000-Alt_rampe-pos_z)/(20000+Alt_rampe+pos_z)</f>
        <v>1.1629127865889</v>
      </c>
      <c r="W222" s="397" t="n">
        <f aca="false">1/2*Rho*Sref*Cx*vit_xz^2</f>
        <v>88.8895160852025</v>
      </c>
      <c r="Y222" s="401" t="str">
        <f aca="false">IF(AND(pos_z&lt;=0,K221&gt;0),"Impact balistique","") &amp; IF(AND(H223&lt;0,vit_z&gt;=0),"Apogée","") &amp; IF(AND(Poussee=0,Q221&gt;0),"Fin de propulsion","") &amp; IF(AND(L223&gt;L_rampe,pos_xz&lt;=L_rampe),"Sortie de rampe","")</f>
        <v/>
      </c>
      <c r="Z222" s="406" t="str">
        <f aca="false">IF(ABS(t-T_para)&lt;pas/2,"Para","")</f>
        <v/>
      </c>
      <c r="AA222" s="403" t="str">
        <f aca="false">IF(ABS(t-T_satellite)&lt;pas/2,"Satellite","")</f>
        <v/>
      </c>
      <c r="AC222" s="399" t="e">
        <f aca="false">IF(ABS(t-ROUND(t,0))&lt;0.001,t,NA())</f>
        <v>#N/A</v>
      </c>
      <c r="AD222" s="404" t="e">
        <f aca="false">IF(ABS(t-ROUND(t,0))&lt;0.001,pos_x,NA())</f>
        <v>#N/A</v>
      </c>
      <c r="AE222" s="405" t="n">
        <f aca="false">IF(t&lt;T_para, pos_z, NA())</f>
        <v>520.012403801359</v>
      </c>
      <c r="AG222" s="396" t="n">
        <f aca="false">IF(AND(L221&lt;L_rampe,Poussee&lt;Poids*SIN(M221)),0,(-W221+Poussee)/m-Poids*SIN(M221)/m)</f>
        <v>-20.3988598568521</v>
      </c>
      <c r="AH222" s="397" t="n">
        <f aca="false">IF(AND(L221&lt;L_rampe,Poussee&lt;Poids*SIN(M221)), g*SIN(M221), (-W221+Poussee)/m)</f>
        <v>-10.8378793560212</v>
      </c>
    </row>
    <row r="223" customFormat="false" ht="12.75" hidden="false" customHeight="false" outlineLevel="0" collapsed="false">
      <c r="A223" s="396" t="n">
        <f aca="false">IF(B222+0.01&lt;=T_ini+ROUNDUP(Temps_fin_propu,0), 0.01, IF(K222&gt;0, 0.1, 0.0001))</f>
        <v>0.1</v>
      </c>
      <c r="B223" s="397" t="n">
        <f aca="false">B222+pas</f>
        <v>3.9</v>
      </c>
      <c r="D223" s="396" t="n">
        <f aca="false">IF(AND(L222&lt;L_rampe,Poussee&lt;Poids*SIN(M222)),0,(-W222+Poussee)/m*COS(M222)-U222/m*SIN(M222))</f>
        <v>-2.37093941095714</v>
      </c>
      <c r="E223" s="398" t="n">
        <f aca="false">IF(AND(L222&lt;L_rampe,Poussee&lt;Poids*SIN(M222)),0,(-W222+Poussee)/m*SIN(M222)+U222/m*COS(M222)-Poids/m)</f>
        <v>-20.0587990471384</v>
      </c>
      <c r="F223" s="397" t="n">
        <f aca="false">SQRT(acc_x^2+acc_z^2)</f>
        <v>20.1984349122379</v>
      </c>
      <c r="G223" s="396" t="n">
        <f aca="false">G222+acc_x*pas</f>
        <v>31.8857913957941</v>
      </c>
      <c r="H223" s="398" t="n">
        <f aca="false">H222+acc_z*pas</f>
        <v>136.850893537314</v>
      </c>
      <c r="I223" s="397" t="n">
        <f aca="false">SQRT(vit_x^2+vit_z^2)</f>
        <v>140.516443005427</v>
      </c>
      <c r="J223" s="396" t="n">
        <f aca="false">J222+0.5*(vit_x+G222)*pas*(K222&gt;=0)</f>
        <v>111.833958317319</v>
      </c>
      <c r="K223" s="398" t="n">
        <f aca="false">K222+0.5*(vit_z+H222)*pas</f>
        <v>533.797787150326</v>
      </c>
      <c r="L223" s="397" t="n">
        <f aca="false">SQRT(pos_x^2+pos_z^2)</f>
        <v>545.386937686909</v>
      </c>
      <c r="M223" s="396" t="n">
        <f aca="false">IF(AND(L222&gt;L_rampe,G223&gt;0),ATAN2(G223,H223),$M$4)</f>
        <v>1.34188377441901</v>
      </c>
      <c r="N223" s="397" t="n">
        <f aca="false">DEGREES(Beta)</f>
        <v>76.8842768712941</v>
      </c>
      <c r="P223" s="399" t="n">
        <f aca="false">MATCH(t-pas/2-T_ini,CdP_t)</f>
        <v>23</v>
      </c>
      <c r="Q223" s="397" t="n">
        <f aca="false">(INDEX(CdP,2,i_P+1)-INDEX(CdP,2,i_P+0))/(INDEX(CdP,1,i_P+1)-INDEX(CdP,1,i_P+0))*(t-pas/2-T_ini-INDEX(CdP,1,i_P+0))+INDEX(CdP,2,i_P+0)</f>
        <v>0</v>
      </c>
      <c r="R223" s="396" t="n">
        <f aca="false">Poussee/(g*ISP)</f>
        <v>0</v>
      </c>
      <c r="S223" s="398" t="n">
        <f aca="false">S222-Débit*pas</f>
        <v>8.45</v>
      </c>
      <c r="T223" s="397" t="n">
        <f aca="false">m*g</f>
        <v>82.8945</v>
      </c>
      <c r="U223" s="400" t="n">
        <f aca="false">IF(pos_xz&lt;L_rampe,Poids*COS(Beta),0)</f>
        <v>0</v>
      </c>
      <c r="V223" s="396" t="n">
        <f aca="false">Rho_moyen*(20000-Alt_rampe-pos_z)/(20000+Alt_rampe+pos_z)</f>
        <v>1.16130965922258</v>
      </c>
      <c r="W223" s="397" t="n">
        <f aca="false">1/2*Rho*Sref*Cx*vit_xz^2</f>
        <v>86.283922571518</v>
      </c>
      <c r="Y223" s="401" t="str">
        <f aca="false">IF(AND(pos_z&lt;=0,K222&gt;0),"Impact balistique","") &amp; IF(AND(H224&lt;0,vit_z&gt;=0),"Apogée","") &amp; IF(AND(Poussee=0,Q222&gt;0),"Fin de propulsion","") &amp; IF(AND(L224&gt;L_rampe,pos_xz&lt;=L_rampe),"Sortie de rampe","")</f>
        <v/>
      </c>
      <c r="Z223" s="406" t="str">
        <f aca="false">IF(ABS(t-T_para)&lt;pas/2,"Para","")</f>
        <v/>
      </c>
      <c r="AA223" s="403" t="str">
        <f aca="false">IF(ABS(t-T_satellite)&lt;pas/2,"Satellite","")</f>
        <v/>
      </c>
      <c r="AC223" s="399" t="e">
        <f aca="false">IF(ABS(t-ROUND(t,0))&lt;0.001,t,NA())</f>
        <v>#N/A</v>
      </c>
      <c r="AD223" s="404" t="e">
        <f aca="false">IF(ABS(t-ROUND(t,0))&lt;0.001,pos_x,NA())</f>
        <v>#N/A</v>
      </c>
      <c r="AE223" s="405" t="n">
        <f aca="false">IF(t&lt;T_para, pos_z, NA())</f>
        <v>533.797787150326</v>
      </c>
      <c r="AG223" s="396" t="n">
        <f aca="false">IF(AND(L222&lt;L_rampe,Poussee&lt;Poids*SIN(M222)),0,(-W222+Poussee)/m-Poids*SIN(M222)/m)</f>
        <v>-20.0770539881712</v>
      </c>
      <c r="AH223" s="397" t="n">
        <f aca="false">IF(AND(L222&lt;L_rampe,Poussee&lt;Poids*SIN(M222)), g*SIN(M222), (-W222+Poussee)/m)</f>
        <v>-10.5194693591956</v>
      </c>
    </row>
    <row r="224" customFormat="false" ht="12.75" hidden="false" customHeight="false" outlineLevel="0" collapsed="false">
      <c r="A224" s="396" t="n">
        <f aca="false">IF(B223+0.01&lt;=T_ini+ROUNDUP(Temps_fin_propu,0), 0.01, IF(K223&gt;0, 0.1, 0.0001))</f>
        <v>0.1</v>
      </c>
      <c r="B224" s="397" t="n">
        <f aca="false">B223+pas</f>
        <v>4</v>
      </c>
      <c r="D224" s="396" t="n">
        <f aca="false">IF(AND(L223&lt;L_rampe,Poussee&lt;Poids*SIN(M223)),0,(-W223+Poussee)/m*COS(M223)-U223/m*SIN(M223))</f>
        <v>-2.31709171499495</v>
      </c>
      <c r="E224" s="398" t="n">
        <f aca="false">IF(AND(L223&lt;L_rampe,Poussee&lt;Poids*SIN(M223)),0,(-W223+Poussee)/m*SIN(M223)+U223/m*COS(M223)-Poids/m)</f>
        <v>-19.7547452211204</v>
      </c>
      <c r="F224" s="397" t="n">
        <f aca="false">SQRT(acc_x^2+acc_z^2)</f>
        <v>19.890170254854</v>
      </c>
      <c r="G224" s="396" t="n">
        <f aca="false">G223+acc_x*pas</f>
        <v>31.6540822242946</v>
      </c>
      <c r="H224" s="398" t="n">
        <f aca="false">H223+acc_z*pas</f>
        <v>134.875419015202</v>
      </c>
      <c r="I224" s="397" t="n">
        <f aca="false">SQRT(vit_x^2+vit_z^2)</f>
        <v>138.540100967153</v>
      </c>
      <c r="J224" s="396" t="n">
        <f aca="false">J223+0.5*(vit_x+G223)*pas*(K223&gt;=0)</f>
        <v>115.010951998323</v>
      </c>
      <c r="K224" s="398" t="n">
        <f aca="false">K223+0.5*(vit_z+H223)*pas</f>
        <v>547.384102777952</v>
      </c>
      <c r="L224" s="397" t="n">
        <f aca="false">SQRT(pos_x^2+pos_z^2)</f>
        <v>559.336102047404</v>
      </c>
      <c r="M224" s="396" t="n">
        <f aca="false">IF(AND(L223&gt;L_rampe,G224&gt;0),ATAN2(G224,H224),$M$4)</f>
        <v>1.34027696729964</v>
      </c>
      <c r="N224" s="397" t="n">
        <f aca="false">DEGREES(Beta)</f>
        <v>76.792213604863</v>
      </c>
      <c r="P224" s="399" t="n">
        <f aca="false">MATCH(t-pas/2-T_ini,CdP_t)</f>
        <v>23</v>
      </c>
      <c r="Q224" s="397" t="n">
        <f aca="false">(INDEX(CdP,2,i_P+1)-INDEX(CdP,2,i_P+0))/(INDEX(CdP,1,i_P+1)-INDEX(CdP,1,i_P+0))*(t-pas/2-T_ini-INDEX(CdP,1,i_P+0))+INDEX(CdP,2,i_P+0)</f>
        <v>0</v>
      </c>
      <c r="R224" s="396" t="n">
        <f aca="false">Poussee/(g*ISP)</f>
        <v>0</v>
      </c>
      <c r="S224" s="398" t="n">
        <f aca="false">S223-Débit*pas</f>
        <v>8.45</v>
      </c>
      <c r="T224" s="397" t="n">
        <f aca="false">m*g</f>
        <v>82.8945</v>
      </c>
      <c r="U224" s="400" t="n">
        <f aca="false">IF(pos_xz&lt;L_rampe,Poids*COS(Beta),0)</f>
        <v>0</v>
      </c>
      <c r="V224" s="396" t="n">
        <f aca="false">Rho_moyen*(20000-Alt_rampe-pos_z)/(20000+Alt_rampe+pos_z)</f>
        <v>1.15973178653313</v>
      </c>
      <c r="W224" s="397" t="n">
        <f aca="false">1/2*Rho*Sref*Cx*vit_xz^2</f>
        <v>83.7598917017536</v>
      </c>
      <c r="Y224" s="401" t="str">
        <f aca="false">IF(AND(pos_z&lt;=0,K223&gt;0),"Impact balistique","") &amp; IF(AND(H225&lt;0,vit_z&gt;=0),"Apogée","") &amp; IF(AND(Poussee=0,Q223&gt;0),"Fin de propulsion","") &amp; IF(AND(L225&gt;L_rampe,pos_xz&lt;=L_rampe),"Sortie de rampe","")</f>
        <v/>
      </c>
      <c r="Z224" s="406" t="str">
        <f aca="false">IF(ABS(t-T_para)&lt;pas/2,"Para","")</f>
        <v/>
      </c>
      <c r="AA224" s="403" t="str">
        <f aca="false">IF(ABS(t-T_satellite)&lt;pas/2,"Satellite","")</f>
        <v/>
      </c>
      <c r="AC224" s="399" t="n">
        <f aca="false">IF(ABS(t-ROUND(t,0))&lt;0.001,t,NA())</f>
        <v>4</v>
      </c>
      <c r="AD224" s="404" t="n">
        <f aca="false">IF(ABS(t-ROUND(t,0))&lt;0.001,pos_x,NA())</f>
        <v>115.010951998323</v>
      </c>
      <c r="AE224" s="405" t="n">
        <f aca="false">IF(t&lt;T_para, pos_z, NA())</f>
        <v>547.384102777952</v>
      </c>
      <c r="AG224" s="396" t="n">
        <f aca="false">IF(AND(L223&lt;L_rampe,Poussee&lt;Poids*SIN(M223)),0,(-W223+Poussee)/m-Poids*SIN(M223)/m)</f>
        <v>-19.7652088166956</v>
      </c>
      <c r="AH224" s="397" t="n">
        <f aca="false">IF(AND(L223&lt;L_rampe,Poussee&lt;Poids*SIN(M223)), g*SIN(M223), (-W223+Poussee)/m)</f>
        <v>-10.2111150972211</v>
      </c>
    </row>
    <row r="225" customFormat="false" ht="12.75" hidden="false" customHeight="false" outlineLevel="0" collapsed="false">
      <c r="A225" s="396" t="n">
        <f aca="false">IF(B224+0.01&lt;=T_ini+ROUNDUP(Temps_fin_propu,0), 0.01, IF(K224&gt;0, 0.1, 0.0001))</f>
        <v>0.1</v>
      </c>
      <c r="B225" s="397" t="n">
        <f aca="false">B224+pas</f>
        <v>4.1</v>
      </c>
      <c r="D225" s="396" t="n">
        <f aca="false">IF(AND(L224&lt;L_rampe,Poussee&lt;Poids*SIN(M224)),0,(-W224+Poussee)/m*COS(M224)-U224/m*SIN(M224))</f>
        <v>-2.26481965069676</v>
      </c>
      <c r="E225" s="398" t="n">
        <f aca="false">IF(AND(L224&lt;L_rampe,Poussee&lt;Poids*SIN(M224)),0,(-W224+Poussee)/m*SIN(M224)+U224/m*COS(M224)-Poids/m)</f>
        <v>-19.4602086908443</v>
      </c>
      <c r="F225" s="397" t="n">
        <f aca="false">SQRT(acc_x^2+acc_z^2)</f>
        <v>19.5915576292799</v>
      </c>
      <c r="G225" s="396" t="n">
        <f aca="false">G224+acc_x*pas</f>
        <v>31.427600259225</v>
      </c>
      <c r="H225" s="398" t="n">
        <f aca="false">H224+acc_z*pas</f>
        <v>132.929398146118</v>
      </c>
      <c r="I225" s="397" t="n">
        <f aca="false">SQRT(vit_x^2+vit_z^2)</f>
        <v>136.593993094656</v>
      </c>
      <c r="J225" s="396" t="n">
        <f aca="false">J224+0.5*(vit_x+G224)*pas*(K224&gt;=0)</f>
        <v>118.165036122499</v>
      </c>
      <c r="K225" s="398" t="n">
        <f aca="false">K224+0.5*(vit_z+H224)*pas</f>
        <v>560.774343636018</v>
      </c>
      <c r="L225" s="397" t="n">
        <f aca="false">SQRT(pos_x^2+pos_z^2)</f>
        <v>573.088858940948</v>
      </c>
      <c r="M225" s="396" t="n">
        <f aca="false">IF(AND(L224&gt;L_rampe,G225&gt;0),ATAN2(G225,H225),$M$4)</f>
        <v>1.3386360306023</v>
      </c>
      <c r="N225" s="397" t="n">
        <f aca="false">DEGREES(Beta)</f>
        <v>76.6981948576569</v>
      </c>
      <c r="P225" s="399" t="n">
        <f aca="false">MATCH(t-pas/2-T_ini,CdP_t)</f>
        <v>23</v>
      </c>
      <c r="Q225" s="397" t="n">
        <f aca="false">(INDEX(CdP,2,i_P+1)-INDEX(CdP,2,i_P+0))/(INDEX(CdP,1,i_P+1)-INDEX(CdP,1,i_P+0))*(t-pas/2-T_ini-INDEX(CdP,1,i_P+0))+INDEX(CdP,2,i_P+0)</f>
        <v>0</v>
      </c>
      <c r="R225" s="396" t="n">
        <f aca="false">Poussee/(g*ISP)</f>
        <v>0</v>
      </c>
      <c r="S225" s="398" t="n">
        <f aca="false">S224-Débit*pas</f>
        <v>8.45</v>
      </c>
      <c r="T225" s="397" t="n">
        <f aca="false">m*g</f>
        <v>82.8945</v>
      </c>
      <c r="U225" s="400" t="n">
        <f aca="false">IF(pos_xz&lt;L_rampe,Poids*COS(Beta),0)</f>
        <v>0</v>
      </c>
      <c r="V225" s="396" t="n">
        <f aca="false">Rho_moyen*(20000-Alt_rampe-pos_z)/(20000+Alt_rampe+pos_z)</f>
        <v>1.15817872571597</v>
      </c>
      <c r="W225" s="397" t="n">
        <f aca="false">1/2*Rho*Sref*Cx*vit_xz^2</f>
        <v>81.3141885057126</v>
      </c>
      <c r="Y225" s="401" t="str">
        <f aca="false">IF(AND(pos_z&lt;=0,K224&gt;0),"Impact balistique","") &amp; IF(AND(H226&lt;0,vit_z&gt;=0),"Apogée","") &amp; IF(AND(Poussee=0,Q224&gt;0),"Fin de propulsion","") &amp; IF(AND(L226&gt;L_rampe,pos_xz&lt;=L_rampe),"Sortie de rampe","")</f>
        <v/>
      </c>
      <c r="Z225" s="406" t="str">
        <f aca="false">IF(ABS(t-T_para)&lt;pas/2,"Para","")</f>
        <v/>
      </c>
      <c r="AA225" s="403" t="str">
        <f aca="false">IF(ABS(t-T_satellite)&lt;pas/2,"Satellite","")</f>
        <v/>
      </c>
      <c r="AC225" s="399" t="e">
        <f aca="false">IF(ABS(t-ROUND(t,0))&lt;0.001,t,NA())</f>
        <v>#N/A</v>
      </c>
      <c r="AD225" s="404" t="e">
        <f aca="false">IF(ABS(t-ROUND(t,0))&lt;0.001,pos_x,NA())</f>
        <v>#N/A</v>
      </c>
      <c r="AE225" s="405" t="n">
        <f aca="false">IF(t&lt;T_para, pos_z, NA())</f>
        <v>560.774343636018</v>
      </c>
      <c r="AG225" s="396" t="n">
        <f aca="false">IF(AND(L224&lt;L_rampe,Poussee&lt;Poids*SIN(M224)),0,(-W224+Poussee)/m-Poids*SIN(M224)/m)</f>
        <v>-19.4629177395112</v>
      </c>
      <c r="AH225" s="397" t="n">
        <f aca="false">IF(AND(L224&lt;L_rampe,Poussee&lt;Poids*SIN(M224)), g*SIN(M224), (-W224+Poussee)/m)</f>
        <v>-9.91241321914244</v>
      </c>
    </row>
    <row r="226" customFormat="false" ht="12.75" hidden="false" customHeight="false" outlineLevel="0" collapsed="false">
      <c r="A226" s="396" t="n">
        <f aca="false">IF(B225+0.01&lt;=T_ini+ROUNDUP(Temps_fin_propu,0), 0.01, IF(K225&gt;0, 0.1, 0.0001))</f>
        <v>0.1</v>
      </c>
      <c r="B226" s="397" t="n">
        <f aca="false">B225+pas</f>
        <v>4.2</v>
      </c>
      <c r="D226" s="396" t="n">
        <f aca="false">IF(AND(L225&lt;L_rampe,Poussee&lt;Poids*SIN(M225)),0,(-W225+Poussee)/m*COS(M225)-U225/m*SIN(M225))</f>
        <v>-2.21405927015041</v>
      </c>
      <c r="E226" s="398" t="n">
        <f aca="false">IF(AND(L225&lt;L_rampe,Poussee&lt;Poids*SIN(M225)),0,(-W225+Poussee)/m*SIN(M225)+U225/m*COS(M225)-Poids/m)</f>
        <v>-19.1748119427934</v>
      </c>
      <c r="F226" s="397" t="n">
        <f aca="false">SQRT(acc_x^2+acc_z^2)</f>
        <v>19.3022141603815</v>
      </c>
      <c r="G226" s="396" t="n">
        <f aca="false">G225+acc_x*pas</f>
        <v>31.2061943322099</v>
      </c>
      <c r="H226" s="398" t="n">
        <f aca="false">H225+acc_z*pas</f>
        <v>131.011916951839</v>
      </c>
      <c r="I226" s="397" t="n">
        <f aca="false">SQRT(vit_x^2+vit_z^2)</f>
        <v>134.677202777958</v>
      </c>
      <c r="J226" s="396" t="n">
        <f aca="false">J225+0.5*(vit_x+G225)*pas*(K225&gt;=0)</f>
        <v>121.296725852071</v>
      </c>
      <c r="K226" s="398" t="n">
        <f aca="false">K225+0.5*(vit_z+H225)*pas</f>
        <v>573.971409390916</v>
      </c>
      <c r="L226" s="397" t="n">
        <f aca="false">SQRT(pos_x^2+pos_z^2)</f>
        <v>586.64816926385</v>
      </c>
      <c r="M226" s="396" t="n">
        <f aca="false">IF(AND(L225&gt;L_rampe,G226&gt;0),ATAN2(G226,H226),$M$4)</f>
        <v>1.33696010497287</v>
      </c>
      <c r="N226" s="397" t="n">
        <f aca="false">DEGREES(Beta)</f>
        <v>76.6021713923127</v>
      </c>
      <c r="P226" s="399" t="n">
        <f aca="false">MATCH(t-pas/2-T_ini,CdP_t)</f>
        <v>23</v>
      </c>
      <c r="Q226" s="397" t="n">
        <f aca="false">(INDEX(CdP,2,i_P+1)-INDEX(CdP,2,i_P+0))/(INDEX(CdP,1,i_P+1)-INDEX(CdP,1,i_P+0))*(t-pas/2-T_ini-INDEX(CdP,1,i_P+0))+INDEX(CdP,2,i_P+0)</f>
        <v>0</v>
      </c>
      <c r="R226" s="396" t="n">
        <f aca="false">Poussee/(g*ISP)</f>
        <v>0</v>
      </c>
      <c r="S226" s="398" t="n">
        <f aca="false">S225-Débit*pas</f>
        <v>8.45</v>
      </c>
      <c r="T226" s="397" t="n">
        <f aca="false">m*g</f>
        <v>82.8945</v>
      </c>
      <c r="U226" s="400" t="n">
        <f aca="false">IF(pos_xz&lt;L_rampe,Poids*COS(Beta),0)</f>
        <v>0</v>
      </c>
      <c r="V226" s="396" t="n">
        <f aca="false">Rho_moyen*(20000-Alt_rampe-pos_z)/(20000+Alt_rampe+pos_z)</f>
        <v>1.15665004825632</v>
      </c>
      <c r="W226" s="397" t="n">
        <f aca="false">1/2*Rho*Sref*Cx*vit_xz^2</f>
        <v>78.9437408787943</v>
      </c>
      <c r="Y226" s="401" t="str">
        <f aca="false">IF(AND(pos_z&lt;=0,K225&gt;0),"Impact balistique","") &amp; IF(AND(H227&lt;0,vit_z&gt;=0),"Apogée","") &amp; IF(AND(Poussee=0,Q225&gt;0),"Fin de propulsion","") &amp; IF(AND(L227&gt;L_rampe,pos_xz&lt;=L_rampe),"Sortie de rampe","")</f>
        <v/>
      </c>
      <c r="Z226" s="406" t="str">
        <f aca="false">IF(ABS(t-T_para)&lt;pas/2,"Para","")</f>
        <v/>
      </c>
      <c r="AA226" s="403" t="str">
        <f aca="false">IF(ABS(t-T_satellite)&lt;pas/2,"Satellite","")</f>
        <v/>
      </c>
      <c r="AC226" s="399" t="e">
        <f aca="false">IF(ABS(t-ROUND(t,0))&lt;0.001,t,NA())</f>
        <v>#N/A</v>
      </c>
      <c r="AD226" s="404" t="e">
        <f aca="false">IF(ABS(t-ROUND(t,0))&lt;0.001,pos_x,NA())</f>
        <v>#N/A</v>
      </c>
      <c r="AE226" s="405" t="n">
        <f aca="false">IF(t&lt;T_para, pos_z, NA())</f>
        <v>573.971409390916</v>
      </c>
      <c r="AG226" s="396" t="n">
        <f aca="false">IF(AND(L225&lt;L_rampe,Poussee&lt;Poids*SIN(M225)),0,(-W225+Poussee)/m-Poids*SIN(M225)/m)</f>
        <v>-19.169794523823</v>
      </c>
      <c r="AH226" s="397" t="n">
        <f aca="false">IF(AND(L225&lt;L_rampe,Poussee&lt;Poids*SIN(M225)), g*SIN(M225), (-W225+Poussee)/m)</f>
        <v>-9.62298088825001</v>
      </c>
    </row>
    <row r="227" customFormat="false" ht="12.75" hidden="false" customHeight="false" outlineLevel="0" collapsed="false">
      <c r="A227" s="396" t="n">
        <f aca="false">IF(B226+0.01&lt;=T_ini+ROUNDUP(Temps_fin_propu,0), 0.01, IF(K226&gt;0, 0.1, 0.0001))</f>
        <v>0.1</v>
      </c>
      <c r="B227" s="397" t="n">
        <f aca="false">B226+pas</f>
        <v>4.3</v>
      </c>
      <c r="D227" s="396" t="n">
        <f aca="false">IF(AND(L226&lt;L_rampe,Poussee&lt;Poids*SIN(M226)),0,(-W226+Poussee)/m*COS(M226)-U226/m*SIN(M226))</f>
        <v>-2.16474983115051</v>
      </c>
      <c r="E227" s="398" t="n">
        <f aca="false">IF(AND(L226&lt;L_rampe,Poussee&lt;Poids*SIN(M226)),0,(-W226+Poussee)/m*SIN(M226)+U226/m*COS(M226)-Poids/m)</f>
        <v>-18.8981964676951</v>
      </c>
      <c r="F227" s="397" t="n">
        <f aca="false">SQRT(acc_x^2+acc_z^2)</f>
        <v>19.0217762462676</v>
      </c>
      <c r="G227" s="396" t="n">
        <f aca="false">G226+acc_x*pas</f>
        <v>30.9897193490949</v>
      </c>
      <c r="H227" s="398" t="n">
        <f aca="false">H226+acc_z*pas</f>
        <v>129.122097305069</v>
      </c>
      <c r="I227" s="397" t="n">
        <f aca="false">SQRT(vit_x^2+vit_z^2)</f>
        <v>132.788850126038</v>
      </c>
      <c r="J227" s="396" t="n">
        <f aca="false">J226+0.5*(vit_x+G226)*pas*(K226&gt;=0)</f>
        <v>124.406521536136</v>
      </c>
      <c r="K227" s="398" t="n">
        <f aca="false">K226+0.5*(vit_z+H226)*pas</f>
        <v>586.978110103761</v>
      </c>
      <c r="L227" s="397" t="n">
        <f aca="false">SQRT(pos_x^2+pos_z^2)</f>
        <v>600.016903379983</v>
      </c>
      <c r="M227" s="396" t="n">
        <f aca="false">IF(AND(L226&gt;L_rampe,G227&gt;0),ATAN2(G227,H227),$M$4)</f>
        <v>1.33524829981594</v>
      </c>
      <c r="N227" s="397" t="n">
        <f aca="false">DEGREES(Beta)</f>
        <v>76.504092181472</v>
      </c>
      <c r="P227" s="399" t="n">
        <f aca="false">MATCH(t-pas/2-T_ini,CdP_t)</f>
        <v>23</v>
      </c>
      <c r="Q227" s="397" t="n">
        <f aca="false">(INDEX(CdP,2,i_P+1)-INDEX(CdP,2,i_P+0))/(INDEX(CdP,1,i_P+1)-INDEX(CdP,1,i_P+0))*(t-pas/2-T_ini-INDEX(CdP,1,i_P+0))+INDEX(CdP,2,i_P+0)</f>
        <v>0</v>
      </c>
      <c r="R227" s="396" t="n">
        <f aca="false">Poussee/(g*ISP)</f>
        <v>0</v>
      </c>
      <c r="S227" s="398" t="n">
        <f aca="false">S226-Débit*pas</f>
        <v>8.45</v>
      </c>
      <c r="T227" s="397" t="n">
        <f aca="false">m*g</f>
        <v>82.8945</v>
      </c>
      <c r="U227" s="400" t="n">
        <f aca="false">IF(pos_xz&lt;L_rampe,Poids*COS(Beta),0)</f>
        <v>0</v>
      </c>
      <c r="V227" s="396" t="n">
        <f aca="false">Rho_moyen*(20000-Alt_rampe-pos_z)/(20000+Alt_rampe+pos_z)</f>
        <v>1.15514533934689</v>
      </c>
      <c r="W227" s="397" t="n">
        <f aca="false">1/2*Rho*Sref*Cx*vit_xz^2</f>
        <v>76.6456298379571</v>
      </c>
      <c r="Y227" s="401" t="str">
        <f aca="false">IF(AND(pos_z&lt;=0,K226&gt;0),"Impact balistique","") &amp; IF(AND(H228&lt;0,vit_z&gt;=0),"Apogée","") &amp; IF(AND(Poussee=0,Q226&gt;0),"Fin de propulsion","") &amp; IF(AND(L228&gt;L_rampe,pos_xz&lt;=L_rampe),"Sortie de rampe","")</f>
        <v/>
      </c>
      <c r="Z227" s="406" t="str">
        <f aca="false">IF(ABS(t-T_para)&lt;pas/2,"Para","")</f>
        <v/>
      </c>
      <c r="AA227" s="403" t="str">
        <f aca="false">IF(ABS(t-T_satellite)&lt;pas/2,"Satellite","")</f>
        <v/>
      </c>
      <c r="AC227" s="399" t="e">
        <f aca="false">IF(ABS(t-ROUND(t,0))&lt;0.001,t,NA())</f>
        <v>#N/A</v>
      </c>
      <c r="AD227" s="404" t="e">
        <f aca="false">IF(ABS(t-ROUND(t,0))&lt;0.001,pos_x,NA())</f>
        <v>#N/A</v>
      </c>
      <c r="AE227" s="405" t="n">
        <f aca="false">IF(t&lt;T_para, pos_z, NA())</f>
        <v>586.978110103761</v>
      </c>
      <c r="AG227" s="396" t="n">
        <f aca="false">IF(AND(L226&lt;L_rampe,Poussee&lt;Poids*SIN(M226)),0,(-W226+Poussee)/m-Poids*SIN(M226)/m)</f>
        <v>-18.8854720592176</v>
      </c>
      <c r="AH227" s="397" t="n">
        <f aca="false">IF(AND(L226&lt;L_rampe,Poussee&lt;Poids*SIN(M226)), g*SIN(M226), (-W226+Poussee)/m)</f>
        <v>-9.34245454186915</v>
      </c>
    </row>
    <row r="228" customFormat="false" ht="12.75" hidden="false" customHeight="false" outlineLevel="0" collapsed="false">
      <c r="A228" s="396" t="n">
        <f aca="false">IF(B227+0.01&lt;=T_ini+ROUNDUP(Temps_fin_propu,0), 0.01, IF(K227&gt;0, 0.1, 0.0001))</f>
        <v>0.1</v>
      </c>
      <c r="B228" s="397" t="n">
        <f aca="false">B227+pas</f>
        <v>4.4</v>
      </c>
      <c r="D228" s="396" t="n">
        <f aca="false">IF(AND(L227&lt;L_rampe,Poussee&lt;Poids*SIN(M227)),0,(-W227+Poussee)/m*COS(M227)-U227/m*SIN(M227))</f>
        <v>-2.11683360530462</v>
      </c>
      <c r="E228" s="398" t="n">
        <f aca="false">IF(AND(L227&lt;L_rampe,Poussee&lt;Poids*SIN(M227)),0,(-W227+Poussee)/m*SIN(M227)+U227/m*COS(M227)-Poids/m)</f>
        <v>-18.6300216234216</v>
      </c>
      <c r="F228" s="397" t="n">
        <f aca="false">SQRT(acc_x^2+acc_z^2)</f>
        <v>18.7498984051035</v>
      </c>
      <c r="G228" s="396" t="n">
        <f aca="false">G227+acc_x*pas</f>
        <v>30.7780359885644</v>
      </c>
      <c r="H228" s="398" t="n">
        <f aca="false">H227+acc_z*pas</f>
        <v>127.259095142727</v>
      </c>
      <c r="I228" s="397" t="n">
        <f aca="false">SQRT(vit_x^2+vit_z^2)</f>
        <v>130.928090171128</v>
      </c>
      <c r="J228" s="396" t="n">
        <f aca="false">J227+0.5*(vit_x+G227)*pas*(K227&gt;=0)</f>
        <v>127.494909303019</v>
      </c>
      <c r="K228" s="398" t="n">
        <f aca="false">K227+0.5*(vit_z+H227)*pas</f>
        <v>599.797169726151</v>
      </c>
      <c r="L228" s="397" t="n">
        <f aca="false">SQRT(pos_x^2+pos_z^2)</f>
        <v>613.197844671429</v>
      </c>
      <c r="M228" s="396" t="n">
        <f aca="false">IF(AND(L227&gt;L_rampe,G228&gt;0),ATAN2(G228,H228),$M$4)</f>
        <v>1.33349969194569</v>
      </c>
      <c r="N228" s="397" t="n">
        <f aca="false">DEGREES(Beta)</f>
        <v>76.4039043304837</v>
      </c>
      <c r="P228" s="399" t="n">
        <f aca="false">MATCH(t-pas/2-T_ini,CdP_t)</f>
        <v>23</v>
      </c>
      <c r="Q228" s="397" t="n">
        <f aca="false">(INDEX(CdP,2,i_P+1)-INDEX(CdP,2,i_P+0))/(INDEX(CdP,1,i_P+1)-INDEX(CdP,1,i_P+0))*(t-pas/2-T_ini-INDEX(CdP,1,i_P+0))+INDEX(CdP,2,i_P+0)</f>
        <v>0</v>
      </c>
      <c r="R228" s="396" t="n">
        <f aca="false">Poussee/(g*ISP)</f>
        <v>0</v>
      </c>
      <c r="S228" s="398" t="n">
        <f aca="false">S227-Débit*pas</f>
        <v>8.45</v>
      </c>
      <c r="T228" s="397" t="n">
        <f aca="false">m*g</f>
        <v>82.8945</v>
      </c>
      <c r="U228" s="400" t="n">
        <f aca="false">IF(pos_xz&lt;L_rampe,Poids*COS(Beta),0)</f>
        <v>0</v>
      </c>
      <c r="V228" s="396" t="n">
        <f aca="false">Rho_moyen*(20000-Alt_rampe-pos_z)/(20000+Alt_rampe+pos_z)</f>
        <v>1.15366419733546</v>
      </c>
      <c r="W228" s="397" t="n">
        <f aca="false">1/2*Rho*Sref*Cx*vit_xz^2</f>
        <v>74.4170804548271</v>
      </c>
      <c r="Y228" s="401" t="str">
        <f aca="false">IF(AND(pos_z&lt;=0,K227&gt;0),"Impact balistique","") &amp; IF(AND(H229&lt;0,vit_z&gt;=0),"Apogée","") &amp; IF(AND(Poussee=0,Q227&gt;0),"Fin de propulsion","") &amp; IF(AND(L229&gt;L_rampe,pos_xz&lt;=L_rampe),"Sortie de rampe","")</f>
        <v/>
      </c>
      <c r="Z228" s="406" t="str">
        <f aca="false">IF(ABS(t-T_para)&lt;pas/2,"Para","")</f>
        <v/>
      </c>
      <c r="AA228" s="403" t="str">
        <f aca="false">IF(ABS(t-T_satellite)&lt;pas/2,"Satellite","")</f>
        <v/>
      </c>
      <c r="AC228" s="399" t="e">
        <f aca="false">IF(ABS(t-ROUND(t,0))&lt;0.001,t,NA())</f>
        <v>#N/A</v>
      </c>
      <c r="AD228" s="404" t="e">
        <f aca="false">IF(ABS(t-ROUND(t,0))&lt;0.001,pos_x,NA())</f>
        <v>#N/A</v>
      </c>
      <c r="AE228" s="405" t="n">
        <f aca="false">IF(t&lt;T_para, pos_z, NA())</f>
        <v>599.797169726151</v>
      </c>
      <c r="AG228" s="396" t="n">
        <f aca="false">IF(AND(L227&lt;L_rampe,Poussee&lt;Poids*SIN(M227)),0,(-W227+Poussee)/m-Poids*SIN(M227)/m)</f>
        <v>-18.6096011965356</v>
      </c>
      <c r="AH228" s="397" t="n">
        <f aca="false">IF(AND(L227&lt;L_rampe,Poussee&lt;Poids*SIN(M227)), g*SIN(M227), (-W227+Poussee)/m)</f>
        <v>-9.07048873821977</v>
      </c>
    </row>
    <row r="229" customFormat="false" ht="12.75" hidden="false" customHeight="false" outlineLevel="0" collapsed="false">
      <c r="A229" s="396" t="n">
        <f aca="false">IF(B228+0.01&lt;=T_ini+ROUNDUP(Temps_fin_propu,0), 0.01, IF(K228&gt;0, 0.1, 0.0001))</f>
        <v>0.1</v>
      </c>
      <c r="B229" s="397" t="n">
        <f aca="false">B228+pas</f>
        <v>4.5</v>
      </c>
      <c r="D229" s="396" t="n">
        <f aca="false">IF(AND(L228&lt;L_rampe,Poussee&lt;Poids*SIN(M228)),0,(-W228+Poussee)/m*COS(M228)-U228/m*SIN(M228))</f>
        <v>-2.07025569948689</v>
      </c>
      <c r="E229" s="398" t="n">
        <f aca="false">IF(AND(L228&lt;L_rampe,Poussee&lt;Poids*SIN(M228)),0,(-W228+Poussee)/m*SIN(M228)+U228/m*COS(M228)-Poids/m)</f>
        <v>-18.3699635769048</v>
      </c>
      <c r="F229" s="397" t="n">
        <f aca="false">SQRT(acc_x^2+acc_z^2)</f>
        <v>18.4862522020572</v>
      </c>
      <c r="G229" s="396" t="n">
        <f aca="false">G228+acc_x*pas</f>
        <v>30.5710104186157</v>
      </c>
      <c r="H229" s="398" t="n">
        <f aca="false">H228+acc_z*pas</f>
        <v>125.422098785037</v>
      </c>
      <c r="I229" s="397" t="n">
        <f aca="false">SQRT(vit_x^2+vit_z^2)</f>
        <v>129.094111181179</v>
      </c>
      <c r="J229" s="396" t="n">
        <f aca="false">J228+0.5*(vit_x+G228)*pas*(K228&gt;=0)</f>
        <v>130.562361623378</v>
      </c>
      <c r="K229" s="398" t="n">
        <f aca="false">K228+0.5*(vit_z+H228)*pas</f>
        <v>612.431229422539</v>
      </c>
      <c r="L229" s="397" t="n">
        <f aca="false">SQRT(pos_x^2+pos_z^2)</f>
        <v>626.193692913524</v>
      </c>
      <c r="M229" s="396" t="n">
        <f aca="false">IF(AND(L228&gt;L_rampe,G229&gt;0),ATAN2(G229,H229),$M$4)</f>
        <v>1.33171332416616</v>
      </c>
      <c r="N229" s="397" t="n">
        <f aca="false">DEGREES(Beta)</f>
        <v>76.3015529960582</v>
      </c>
      <c r="P229" s="399" t="n">
        <f aca="false">MATCH(t-pas/2-T_ini,CdP_t)</f>
        <v>23</v>
      </c>
      <c r="Q229" s="397" t="n">
        <f aca="false">(INDEX(CdP,2,i_P+1)-INDEX(CdP,2,i_P+0))/(INDEX(CdP,1,i_P+1)-INDEX(CdP,1,i_P+0))*(t-pas/2-T_ini-INDEX(CdP,1,i_P+0))+INDEX(CdP,2,i_P+0)</f>
        <v>0</v>
      </c>
      <c r="R229" s="396" t="n">
        <f aca="false">Poussee/(g*ISP)</f>
        <v>0</v>
      </c>
      <c r="S229" s="398" t="n">
        <f aca="false">S228-Débit*pas</f>
        <v>8.45</v>
      </c>
      <c r="T229" s="397" t="n">
        <f aca="false">m*g</f>
        <v>82.8945</v>
      </c>
      <c r="U229" s="400" t="n">
        <f aca="false">IF(pos_xz&lt;L_rampe,Poids*COS(Beta),0)</f>
        <v>0</v>
      </c>
      <c r="V229" s="396" t="n">
        <f aca="false">Rho_moyen*(20000-Alt_rampe-pos_z)/(20000+Alt_rampe+pos_z)</f>
        <v>1.1522062332005</v>
      </c>
      <c r="W229" s="397" t="n">
        <f aca="false">1/2*Rho*Sref*Cx*vit_xz^2</f>
        <v>72.2554534125704</v>
      </c>
      <c r="Y229" s="401" t="str">
        <f aca="false">IF(AND(pos_z&lt;=0,K228&gt;0),"Impact balistique","") &amp; IF(AND(H230&lt;0,vit_z&gt;=0),"Apogée","") &amp; IF(AND(Poussee=0,Q228&gt;0),"Fin de propulsion","") &amp; IF(AND(L230&gt;L_rampe,pos_xz&lt;=L_rampe),"Sortie de rampe","")</f>
        <v/>
      </c>
      <c r="Z229" s="406" t="str">
        <f aca="false">IF(ABS(t-T_para)&lt;pas/2,"Para","")</f>
        <v/>
      </c>
      <c r="AA229" s="403" t="str">
        <f aca="false">IF(ABS(t-T_satellite)&lt;pas/2,"Satellite","")</f>
        <v/>
      </c>
      <c r="AC229" s="399" t="e">
        <f aca="false">IF(ABS(t-ROUND(t,0))&lt;0.001,t,NA())</f>
        <v>#N/A</v>
      </c>
      <c r="AD229" s="404" t="e">
        <f aca="false">IF(ABS(t-ROUND(t,0))&lt;0.001,pos_x,NA())</f>
        <v>#N/A</v>
      </c>
      <c r="AE229" s="405" t="n">
        <f aca="false">IF(t&lt;T_para, pos_z, NA())</f>
        <v>612.431229422539</v>
      </c>
      <c r="AG229" s="396" t="n">
        <f aca="false">IF(AND(L228&lt;L_rampe,Poussee&lt;Poids*SIN(M228)),0,(-W228+Poussee)/m-Poids*SIN(M228)/m)</f>
        <v>-18.3418496663878</v>
      </c>
      <c r="AH229" s="397" t="n">
        <f aca="false">IF(AND(L228&lt;L_rampe,Poussee&lt;Poids*SIN(M228)), g*SIN(M228), (-W228+Poussee)/m)</f>
        <v>-8.80675508341149</v>
      </c>
    </row>
    <row r="230" customFormat="false" ht="12.75" hidden="false" customHeight="false" outlineLevel="0" collapsed="false">
      <c r="A230" s="396" t="n">
        <f aca="false">IF(B229+0.01&lt;=T_ini+ROUNDUP(Temps_fin_propu,0), 0.01, IF(K229&gt;0, 0.1, 0.0001))</f>
        <v>0.1</v>
      </c>
      <c r="B230" s="397" t="n">
        <f aca="false">B229+pas</f>
        <v>4.6</v>
      </c>
      <c r="D230" s="396" t="n">
        <f aca="false">IF(AND(L229&lt;L_rampe,Poussee&lt;Poids*SIN(M229)),0,(-W229+Poussee)/m*COS(M229)-U229/m*SIN(M229))</f>
        <v>-2.02496388958761</v>
      </c>
      <c r="E230" s="398" t="n">
        <f aca="false">IF(AND(L229&lt;L_rampe,Poussee&lt;Poids*SIN(M229)),0,(-W229+Poussee)/m*SIN(M229)+U229/m*COS(M229)-Poids/m)</f>
        <v>-18.117714318835</v>
      </c>
      <c r="F230" s="397" t="n">
        <f aca="false">SQRT(acc_x^2+acc_z^2)</f>
        <v>18.2305252500594</v>
      </c>
      <c r="G230" s="396" t="n">
        <f aca="false">G229+acc_x*pas</f>
        <v>30.368514029657</v>
      </c>
      <c r="H230" s="398" t="n">
        <f aca="false">H229+acc_z*pas</f>
        <v>123.610327353153</v>
      </c>
      <c r="I230" s="397" t="n">
        <f aca="false">SQRT(vit_x^2+vit_z^2)</f>
        <v>127.286133073179</v>
      </c>
      <c r="J230" s="396" t="n">
        <f aca="false">J229+0.5*(vit_x+G229)*pas*(K229&gt;=0)</f>
        <v>133.609337845792</v>
      </c>
      <c r="K230" s="398" t="n">
        <f aca="false">K229+0.5*(vit_z+H229)*pas</f>
        <v>624.882850729448</v>
      </c>
      <c r="L230" s="397" t="n">
        <f aca="false">SQRT(pos_x^2+pos_z^2)</f>
        <v>639.007067484666</v>
      </c>
      <c r="M230" s="396" t="n">
        <f aca="false">IF(AND(L229&gt;L_rampe,G230&gt;0),ATAN2(G230,H230),$M$4)</f>
        <v>1.32988820377657</v>
      </c>
      <c r="N230" s="397" t="n">
        <f aca="false">DEGREES(Beta)</f>
        <v>76.1969813006313</v>
      </c>
      <c r="P230" s="399" t="n">
        <f aca="false">MATCH(t-pas/2-T_ini,CdP_t)</f>
        <v>23</v>
      </c>
      <c r="Q230" s="397" t="n">
        <f aca="false">(INDEX(CdP,2,i_P+1)-INDEX(CdP,2,i_P+0))/(INDEX(CdP,1,i_P+1)-INDEX(CdP,1,i_P+0))*(t-pas/2-T_ini-INDEX(CdP,1,i_P+0))+INDEX(CdP,2,i_P+0)</f>
        <v>0</v>
      </c>
      <c r="R230" s="396" t="n">
        <f aca="false">Poussee/(g*ISP)</f>
        <v>0</v>
      </c>
      <c r="S230" s="398" t="n">
        <f aca="false">S229-Débit*pas</f>
        <v>8.45</v>
      </c>
      <c r="T230" s="397" t="n">
        <f aca="false">m*g</f>
        <v>82.8945</v>
      </c>
      <c r="U230" s="400" t="n">
        <f aca="false">IF(pos_xz&lt;L_rampe,Poids*COS(Beta),0)</f>
        <v>0</v>
      </c>
      <c r="V230" s="396" t="n">
        <f aca="false">Rho_moyen*(20000-Alt_rampe-pos_z)/(20000+Alt_rampe+pos_z)</f>
        <v>1.15077107005323</v>
      </c>
      <c r="W230" s="397" t="n">
        <f aca="false">1/2*Rho*Sref*Cx*vit_xz^2</f>
        <v>70.1582371378451</v>
      </c>
      <c r="Y230" s="401" t="str">
        <f aca="false">IF(AND(pos_z&lt;=0,K229&gt;0),"Impact balistique","") &amp; IF(AND(H231&lt;0,vit_z&gt;=0),"Apogée","") &amp; IF(AND(Poussee=0,Q229&gt;0),"Fin de propulsion","") &amp; IF(AND(L231&gt;L_rampe,pos_xz&lt;=L_rampe),"Sortie de rampe","")</f>
        <v/>
      </c>
      <c r="Z230" s="406" t="str">
        <f aca="false">IF(ABS(t-T_para)&lt;pas/2,"Para","")</f>
        <v/>
      </c>
      <c r="AA230" s="403" t="str">
        <f aca="false">IF(ABS(t-T_satellite)&lt;pas/2,"Satellite","")</f>
        <v/>
      </c>
      <c r="AC230" s="399" t="e">
        <f aca="false">IF(ABS(t-ROUND(t,0))&lt;0.001,t,NA())</f>
        <v>#N/A</v>
      </c>
      <c r="AD230" s="404" t="e">
        <f aca="false">IF(ABS(t-ROUND(t,0))&lt;0.001,pos_x,NA())</f>
        <v>#N/A</v>
      </c>
      <c r="AE230" s="405" t="n">
        <f aca="false">IF(t&lt;T_para, pos_z, NA())</f>
        <v>624.882850729448</v>
      </c>
      <c r="AG230" s="396" t="n">
        <f aca="false">IF(AND(L229&lt;L_rampe,Poussee&lt;Poids*SIN(M229)),0,(-W229+Poussee)/m-Poids*SIN(M229)/m)</f>
        <v>-18.0819010709624</v>
      </c>
      <c r="AH230" s="397" t="n">
        <f aca="false">IF(AND(L229&lt;L_rampe,Poussee&lt;Poids*SIN(M229)), g*SIN(M229), (-W229+Poussee)/m)</f>
        <v>-8.55094123225685</v>
      </c>
    </row>
    <row r="231" customFormat="false" ht="12.75" hidden="false" customHeight="false" outlineLevel="0" collapsed="false">
      <c r="A231" s="396" t="n">
        <f aca="false">IF(B230+0.01&lt;=T_ini+ROUNDUP(Temps_fin_propu,0), 0.01, IF(K230&gt;0, 0.1, 0.0001))</f>
        <v>0.1</v>
      </c>
      <c r="B231" s="397" t="n">
        <f aca="false">B230+pas</f>
        <v>4.7</v>
      </c>
      <c r="D231" s="396" t="n">
        <f aca="false">IF(AND(L230&lt;L_rampe,Poussee&lt;Poids*SIN(M230)),0,(-W230+Poussee)/m*COS(M230)-U230/m*SIN(M230))</f>
        <v>-1.98090846560027</v>
      </c>
      <c r="E231" s="398" t="n">
        <f aca="false">IF(AND(L230&lt;L_rampe,Poussee&lt;Poids*SIN(M230)),0,(-W230+Poussee)/m*SIN(M230)+U230/m*COS(M230)-Poids/m)</f>
        <v>-17.8729807454641</v>
      </c>
      <c r="F231" s="397" t="n">
        <f aca="false">SQRT(acc_x^2+acc_z^2)</f>
        <v>17.9824202786171</v>
      </c>
      <c r="G231" s="396" t="n">
        <f aca="false">G230+acc_x*pas</f>
        <v>30.1704231830969</v>
      </c>
      <c r="H231" s="398" t="n">
        <f aca="false">H230+acc_z*pas</f>
        <v>121.823029278607</v>
      </c>
      <c r="I231" s="397" t="n">
        <f aca="false">SQRT(vit_x^2+vit_z^2)</f>
        <v>125.50340592057</v>
      </c>
      <c r="J231" s="396" t="n">
        <f aca="false">J230+0.5*(vit_x+G230)*pas*(K230&gt;=0)</f>
        <v>136.636284706429</v>
      </c>
      <c r="K231" s="398" t="n">
        <f aca="false">K230+0.5*(vit_z+H230)*pas</f>
        <v>637.154518561036</v>
      </c>
      <c r="L231" s="397" t="n">
        <f aca="false">SQRT(pos_x^2+pos_z^2)</f>
        <v>651.640510420525</v>
      </c>
      <c r="M231" s="396" t="n">
        <f aca="false">IF(AND(L230&gt;L_rampe,G231&gt;0),ATAN2(G231,H231),$M$4)</f>
        <v>1.32802330099737</v>
      </c>
      <c r="N231" s="397" t="n">
        <f aca="false">DEGREES(Beta)</f>
        <v>76.090130242181</v>
      </c>
      <c r="P231" s="399" t="n">
        <f aca="false">MATCH(t-pas/2-T_ini,CdP_t)</f>
        <v>23</v>
      </c>
      <c r="Q231" s="397" t="n">
        <f aca="false">(INDEX(CdP,2,i_P+1)-INDEX(CdP,2,i_P+0))/(INDEX(CdP,1,i_P+1)-INDEX(CdP,1,i_P+0))*(t-pas/2-T_ini-INDEX(CdP,1,i_P+0))+INDEX(CdP,2,i_P+0)</f>
        <v>0</v>
      </c>
      <c r="R231" s="396" t="n">
        <f aca="false">Poussee/(g*ISP)</f>
        <v>0</v>
      </c>
      <c r="S231" s="398" t="n">
        <f aca="false">S230-Débit*pas</f>
        <v>8.45</v>
      </c>
      <c r="T231" s="397" t="n">
        <f aca="false">m*g</f>
        <v>82.8945</v>
      </c>
      <c r="U231" s="400" t="n">
        <f aca="false">IF(pos_xz&lt;L_rampe,Poids*COS(Beta),0)</f>
        <v>0</v>
      </c>
      <c r="V231" s="396" t="n">
        <f aca="false">Rho_moyen*(20000-Alt_rampe-pos_z)/(20000+Alt_rampe+pos_z)</f>
        <v>1.14935834266441</v>
      </c>
      <c r="W231" s="397" t="n">
        <f aca="false">1/2*Rho*Sref*Cx*vit_xz^2</f>
        <v>68.1230404633926</v>
      </c>
      <c r="Y231" s="401" t="str">
        <f aca="false">IF(AND(pos_z&lt;=0,K230&gt;0),"Impact balistique","") &amp; IF(AND(H232&lt;0,vit_z&gt;=0),"Apogée","") &amp; IF(AND(Poussee=0,Q230&gt;0),"Fin de propulsion","") &amp; IF(AND(L232&gt;L_rampe,pos_xz&lt;=L_rampe),"Sortie de rampe","")</f>
        <v/>
      </c>
      <c r="Z231" s="406" t="str">
        <f aca="false">IF(ABS(t-T_para)&lt;pas/2,"Para","")</f>
        <v/>
      </c>
      <c r="AA231" s="403" t="str">
        <f aca="false">IF(ABS(t-T_satellite)&lt;pas/2,"Satellite","")</f>
        <v/>
      </c>
      <c r="AC231" s="399" t="e">
        <f aca="false">IF(ABS(t-ROUND(t,0))&lt;0.001,t,NA())</f>
        <v>#N/A</v>
      </c>
      <c r="AD231" s="404" t="e">
        <f aca="false">IF(ABS(t-ROUND(t,0))&lt;0.001,pos_x,NA())</f>
        <v>#N/A</v>
      </c>
      <c r="AE231" s="405" t="n">
        <f aca="false">IF(t&lt;T_para, pos_z, NA())</f>
        <v>637.154518561036</v>
      </c>
      <c r="AG231" s="396" t="n">
        <f aca="false">IF(AND(L230&lt;L_rampe,Poussee&lt;Poids*SIN(M230)),0,(-W230+Poussee)/m-Poids*SIN(M230)/m)</f>
        <v>-17.8294539433272</v>
      </c>
      <c r="AH231" s="397" t="n">
        <f aca="false">IF(AND(L230&lt;L_rampe,Poussee&lt;Poids*SIN(M230)), g*SIN(M230), (-W230+Poussee)/m)</f>
        <v>-8.30274995714143</v>
      </c>
    </row>
    <row r="232" customFormat="false" ht="12.75" hidden="false" customHeight="false" outlineLevel="0" collapsed="false">
      <c r="A232" s="396" t="n">
        <f aca="false">IF(B231+0.01&lt;=T_ini+ROUNDUP(Temps_fin_propu,0), 0.01, IF(K231&gt;0, 0.1, 0.0001))</f>
        <v>0.1</v>
      </c>
      <c r="B232" s="397" t="n">
        <f aca="false">B231+pas</f>
        <v>4.8</v>
      </c>
      <c r="D232" s="396" t="n">
        <f aca="false">IF(AND(L231&lt;L_rampe,Poussee&lt;Poids*SIN(M231)),0,(-W231+Poussee)/m*COS(M231)-U231/m*SIN(M231))</f>
        <v>-1.93804208717101</v>
      </c>
      <c r="E232" s="398" t="n">
        <f aca="false">IF(AND(L231&lt;L_rampe,Poussee&lt;Poids*SIN(M231)),0,(-W231+Poussee)/m*SIN(M231)+U231/m*COS(M231)-Poids/m)</f>
        <v>-17.6354838023247</v>
      </c>
      <c r="F232" s="397" t="n">
        <f aca="false">SQRT(acc_x^2+acc_z^2)</f>
        <v>17.7416542654202</v>
      </c>
      <c r="G232" s="396" t="n">
        <f aca="false">G231+acc_x*pas</f>
        <v>29.9766189743798</v>
      </c>
      <c r="H232" s="398" t="n">
        <f aca="false">H231+acc_z*pas</f>
        <v>120.059480898374</v>
      </c>
      <c r="I232" s="397" t="n">
        <f aca="false">SQRT(vit_x^2+vit_z^2)</f>
        <v>123.745208548542</v>
      </c>
      <c r="J232" s="396" t="n">
        <f aca="false">J231+0.5*(vit_x+G231)*pas*(K231&gt;=0)</f>
        <v>139.643636814303</v>
      </c>
      <c r="K232" s="398" t="n">
        <f aca="false">K231+0.5*(vit_z+H231)*pas</f>
        <v>649.248644069885</v>
      </c>
      <c r="L232" s="397" t="n">
        <f aca="false">SQRT(pos_x^2+pos_z^2)</f>
        <v>664.096489321627</v>
      </c>
      <c r="M232" s="396" t="n">
        <f aca="false">IF(AND(L231&gt;L_rampe,G232&gt;0),ATAN2(G232,H232),$M$4)</f>
        <v>1.32611754731207</v>
      </c>
      <c r="N232" s="397" t="n">
        <f aca="false">DEGREES(Beta)</f>
        <v>75.9809385992221</v>
      </c>
      <c r="P232" s="399" t="n">
        <f aca="false">MATCH(t-pas/2-T_ini,CdP_t)</f>
        <v>23</v>
      </c>
      <c r="Q232" s="397" t="n">
        <f aca="false">(INDEX(CdP,2,i_P+1)-INDEX(CdP,2,i_P+0))/(INDEX(CdP,1,i_P+1)-INDEX(CdP,1,i_P+0))*(t-pas/2-T_ini-INDEX(CdP,1,i_P+0))+INDEX(CdP,2,i_P+0)</f>
        <v>0</v>
      </c>
      <c r="R232" s="396" t="n">
        <f aca="false">Poussee/(g*ISP)</f>
        <v>0</v>
      </c>
      <c r="S232" s="398" t="n">
        <f aca="false">S231-Débit*pas</f>
        <v>8.45</v>
      </c>
      <c r="T232" s="397" t="n">
        <f aca="false">m*g</f>
        <v>82.8945</v>
      </c>
      <c r="U232" s="400" t="n">
        <f aca="false">IF(pos_xz&lt;L_rampe,Poids*COS(Beta),0)</f>
        <v>0</v>
      </c>
      <c r="V232" s="396" t="n">
        <f aca="false">Rho_moyen*(20000-Alt_rampe-pos_z)/(20000+Alt_rampe+pos_z)</f>
        <v>1.14796769701458</v>
      </c>
      <c r="W232" s="397" t="n">
        <f aca="false">1/2*Rho*Sref*Cx*vit_xz^2</f>
        <v>66.1475857806658</v>
      </c>
      <c r="Y232" s="401" t="str">
        <f aca="false">IF(AND(pos_z&lt;=0,K231&gt;0),"Impact balistique","") &amp; IF(AND(H233&lt;0,vit_z&gt;=0),"Apogée","") &amp; IF(AND(Poussee=0,Q231&gt;0),"Fin de propulsion","") &amp; IF(AND(L233&gt;L_rampe,pos_xz&lt;=L_rampe),"Sortie de rampe","")</f>
        <v/>
      </c>
      <c r="Z232" s="406" t="str">
        <f aca="false">IF(ABS(t-T_para)&lt;pas/2,"Para","")</f>
        <v/>
      </c>
      <c r="AA232" s="403" t="str">
        <f aca="false">IF(ABS(t-T_satellite)&lt;pas/2,"Satellite","")</f>
        <v/>
      </c>
      <c r="AC232" s="399" t="e">
        <f aca="false">IF(ABS(t-ROUND(t,0))&lt;0.001,t,NA())</f>
        <v>#N/A</v>
      </c>
      <c r="AD232" s="404" t="e">
        <f aca="false">IF(ABS(t-ROUND(t,0))&lt;0.001,pos_x,NA())</f>
        <v>#N/A</v>
      </c>
      <c r="AE232" s="405" t="n">
        <f aca="false">IF(t&lt;T_para, pos_z, NA())</f>
        <v>649.248644069885</v>
      </c>
      <c r="AG232" s="396" t="n">
        <f aca="false">IF(AND(L231&lt;L_rampe,Poussee&lt;Poids*SIN(M231)),0,(-W231+Poussee)/m-Poids*SIN(M231)/m)</f>
        <v>-17.5842208689245</v>
      </c>
      <c r="AH232" s="397" t="n">
        <f aca="false">IF(AND(L231&lt;L_rampe,Poussee&lt;Poids*SIN(M231)), g*SIN(M231), (-W231+Poussee)/m)</f>
        <v>-8.06189827969143</v>
      </c>
    </row>
    <row r="233" customFormat="false" ht="12.75" hidden="false" customHeight="false" outlineLevel="0" collapsed="false">
      <c r="A233" s="396" t="n">
        <f aca="false">IF(B232+0.01&lt;=T_ini+ROUNDUP(Temps_fin_propu,0), 0.01, IF(K232&gt;0, 0.1, 0.0001))</f>
        <v>0.1</v>
      </c>
      <c r="B233" s="397" t="n">
        <f aca="false">B232+pas</f>
        <v>4.9</v>
      </c>
      <c r="D233" s="396" t="n">
        <f aca="false">IF(AND(L232&lt;L_rampe,Poussee&lt;Poids*SIN(M232)),0,(-W232+Poussee)/m*COS(M232)-U232/m*SIN(M232))</f>
        <v>-1.89631964881103</v>
      </c>
      <c r="E233" s="398" t="n">
        <f aca="false">IF(AND(L232&lt;L_rampe,Poussee&lt;Poids*SIN(M232)),0,(-W232+Poussee)/m*SIN(M232)+U232/m*COS(M232)-Poids/m)</f>
        <v>-17.4049576851287</v>
      </c>
      <c r="F233" s="397" t="n">
        <f aca="false">SQRT(acc_x^2+acc_z^2)</f>
        <v>17.5079576259364</v>
      </c>
      <c r="G233" s="396" t="n">
        <f aca="false">G232+acc_x*pas</f>
        <v>29.7869870094987</v>
      </c>
      <c r="H233" s="398" t="n">
        <f aca="false">H232+acc_z*pas</f>
        <v>118.318985129861</v>
      </c>
      <c r="I233" s="397" t="n">
        <f aca="false">SQRT(vit_x^2+vit_z^2)</f>
        <v>122.010847211485</v>
      </c>
      <c r="J233" s="396" t="n">
        <f aca="false">J232+0.5*(vit_x+G232)*pas*(K232&gt;=0)</f>
        <v>142.631817113497</v>
      </c>
      <c r="K233" s="398" t="n">
        <f aca="false">K232+0.5*(vit_z+H232)*pas</f>
        <v>661.167567371297</v>
      </c>
      <c r="L233" s="397" t="n">
        <f aca="false">SQRT(pos_x^2+pos_z^2)</f>
        <v>676.377400122725</v>
      </c>
      <c r="M233" s="396" t="n">
        <f aca="false">IF(AND(L232&gt;L_rampe,G233&gt;0),ATAN2(G233,H233),$M$4)</f>
        <v>1.3241698337198</v>
      </c>
      <c r="N233" s="397" t="n">
        <f aca="false">DEGREES(Beta)</f>
        <v>75.8693428306846</v>
      </c>
      <c r="P233" s="399" t="n">
        <f aca="false">MATCH(t-pas/2-T_ini,CdP_t)</f>
        <v>23</v>
      </c>
      <c r="Q233" s="397" t="n">
        <f aca="false">(INDEX(CdP,2,i_P+1)-INDEX(CdP,2,i_P+0))/(INDEX(CdP,1,i_P+1)-INDEX(CdP,1,i_P+0))*(t-pas/2-T_ini-INDEX(CdP,1,i_P+0))+INDEX(CdP,2,i_P+0)</f>
        <v>0</v>
      </c>
      <c r="R233" s="396" t="n">
        <f aca="false">Poussee/(g*ISP)</f>
        <v>0</v>
      </c>
      <c r="S233" s="398" t="n">
        <f aca="false">S232-Débit*pas</f>
        <v>8.45</v>
      </c>
      <c r="T233" s="397" t="n">
        <f aca="false">m*g</f>
        <v>82.8945</v>
      </c>
      <c r="U233" s="400" t="n">
        <f aca="false">IF(pos_xz&lt;L_rampe,Poids*COS(Beta),0)</f>
        <v>0</v>
      </c>
      <c r="V233" s="396" t="n">
        <f aca="false">Rho_moyen*(20000-Alt_rampe-pos_z)/(20000+Alt_rampe+pos_z)</f>
        <v>1.14659878986617</v>
      </c>
      <c r="W233" s="397" t="n">
        <f aca="false">1/2*Rho*Sref*Cx*vit_xz^2</f>
        <v>64.2297026453624</v>
      </c>
      <c r="Y233" s="401" t="str">
        <f aca="false">IF(AND(pos_z&lt;=0,K232&gt;0),"Impact balistique","") &amp; IF(AND(H234&lt;0,vit_z&gt;=0),"Apogée","") &amp; IF(AND(Poussee=0,Q232&gt;0),"Fin de propulsion","") &amp; IF(AND(L234&gt;L_rampe,pos_xz&lt;=L_rampe),"Sortie de rampe","")</f>
        <v/>
      </c>
      <c r="Z233" s="406" t="str">
        <f aca="false">IF(ABS(t-T_para)&lt;pas/2,"Para","")</f>
        <v/>
      </c>
      <c r="AA233" s="403" t="str">
        <f aca="false">IF(ABS(t-T_satellite)&lt;pas/2,"Satellite","")</f>
        <v/>
      </c>
      <c r="AC233" s="399" t="e">
        <f aca="false">IF(ABS(t-ROUND(t,0))&lt;0.001,t,NA())</f>
        <v>#N/A</v>
      </c>
      <c r="AD233" s="404" t="e">
        <f aca="false">IF(ABS(t-ROUND(t,0))&lt;0.001,pos_x,NA())</f>
        <v>#N/A</v>
      </c>
      <c r="AE233" s="405" t="n">
        <f aca="false">IF(t&lt;T_para, pos_z, NA())</f>
        <v>661.167567371297</v>
      </c>
      <c r="AG233" s="396" t="n">
        <f aca="false">IF(AND(L232&lt;L_rampe,Poussee&lt;Poids*SIN(M232)),0,(-W232+Poussee)/m-Poids*SIN(M232)/m)</f>
        <v>-17.3459276644133</v>
      </c>
      <c r="AH233" s="397" t="n">
        <f aca="false">IF(AND(L232&lt;L_rampe,Poussee&lt;Poids*SIN(M232)), g*SIN(M232), (-W232+Poussee)/m)</f>
        <v>-7.82811666043382</v>
      </c>
    </row>
    <row r="234" customFormat="false" ht="12.75" hidden="false" customHeight="false" outlineLevel="0" collapsed="false">
      <c r="A234" s="396" t="n">
        <f aca="false">IF(B233+0.01&lt;=T_ini+ROUNDUP(Temps_fin_propu,0), 0.01, IF(K233&gt;0, 0.1, 0.0001))</f>
        <v>0.1</v>
      </c>
      <c r="B234" s="397" t="n">
        <f aca="false">B233+pas</f>
        <v>5</v>
      </c>
      <c r="D234" s="396" t="n">
        <f aca="false">IF(AND(L233&lt;L_rampe,Poussee&lt;Poids*SIN(M233)),0,(-W233+Poussee)/m*COS(M233)-U233/m*SIN(M233))</f>
        <v>-1.85569815404122</v>
      </c>
      <c r="E234" s="398" t="n">
        <f aca="false">IF(AND(L233&lt;L_rampe,Poussee&lt;Poids*SIN(M233)),0,(-W233+Poussee)/m*SIN(M233)+U233/m*COS(M233)-Poids/m)</f>
        <v>-17.1811490935118</v>
      </c>
      <c r="F234" s="397" t="n">
        <f aca="false">SQRT(acc_x^2+acc_z^2)</f>
        <v>17.2810734565996</v>
      </c>
      <c r="G234" s="396" t="n">
        <f aca="false">G233+acc_x*pas</f>
        <v>29.6014171940946</v>
      </c>
      <c r="H234" s="398" t="n">
        <f aca="false">H233+acc_z*pas</f>
        <v>116.60087022051</v>
      </c>
      <c r="I234" s="397" t="n">
        <f aca="false">SQRT(vit_x^2+vit_z^2)</f>
        <v>120.299654347297</v>
      </c>
      <c r="J234" s="396" t="n">
        <f aca="false">J233+0.5*(vit_x+G233)*pas*(K233&gt;=0)</f>
        <v>145.601237323677</v>
      </c>
      <c r="K234" s="398" t="n">
        <f aca="false">K233+0.5*(vit_z+H233)*pas</f>
        <v>672.913560138816</v>
      </c>
      <c r="L234" s="397" t="n">
        <f aca="false">SQRT(pos_x^2+pos_z^2)</f>
        <v>688.485569731771</v>
      </c>
      <c r="M234" s="396" t="n">
        <f aca="false">IF(AND(L233&gt;L_rampe,G234&gt;0),ATAN2(G234,H234),$M$4)</f>
        <v>1.32217900889305</v>
      </c>
      <c r="N234" s="397" t="n">
        <f aca="false">DEGREES(Beta)</f>
        <v>75.755276970362</v>
      </c>
      <c r="P234" s="399" t="n">
        <f aca="false">MATCH(t-pas/2-T_ini,CdP_t)</f>
        <v>23</v>
      </c>
      <c r="Q234" s="397" t="n">
        <f aca="false">(INDEX(CdP,2,i_P+1)-INDEX(CdP,2,i_P+0))/(INDEX(CdP,1,i_P+1)-INDEX(CdP,1,i_P+0))*(t-pas/2-T_ini-INDEX(CdP,1,i_P+0))+INDEX(CdP,2,i_P+0)</f>
        <v>0</v>
      </c>
      <c r="R234" s="396" t="n">
        <f aca="false">Poussee/(g*ISP)</f>
        <v>0</v>
      </c>
      <c r="S234" s="398" t="n">
        <f aca="false">S233-Débit*pas</f>
        <v>8.45</v>
      </c>
      <c r="T234" s="397" t="n">
        <f aca="false">m*g</f>
        <v>82.8945</v>
      </c>
      <c r="U234" s="400" t="n">
        <f aca="false">IF(pos_xz&lt;L_rampe,Poids*COS(Beta),0)</f>
        <v>0</v>
      </c>
      <c r="V234" s="396" t="n">
        <f aca="false">Rho_moyen*(20000-Alt_rampe-pos_z)/(20000+Alt_rampe+pos_z)</f>
        <v>1.14525128835642</v>
      </c>
      <c r="W234" s="397" t="n">
        <f aca="false">1/2*Rho*Sref*Cx*vit_xz^2</f>
        <v>62.3673218018746</v>
      </c>
      <c r="Y234" s="401" t="str">
        <f aca="false">IF(AND(pos_z&lt;=0,K233&gt;0),"Impact balistique","") &amp; IF(AND(H235&lt;0,vit_z&gt;=0),"Apogée","") &amp; IF(AND(Poussee=0,Q233&gt;0),"Fin de propulsion","") &amp; IF(AND(L235&gt;L_rampe,pos_xz&lt;=L_rampe),"Sortie de rampe","")</f>
        <v/>
      </c>
      <c r="Z234" s="406" t="str">
        <f aca="false">IF(ABS(t-T_para)&lt;pas/2,"Para","")</f>
        <v/>
      </c>
      <c r="AA234" s="403" t="str">
        <f aca="false">IF(ABS(t-T_satellite)&lt;pas/2,"Satellite","")</f>
        <v/>
      </c>
      <c r="AC234" s="399" t="n">
        <f aca="false">IF(ABS(t-ROUND(t,0))&lt;0.001,t,NA())</f>
        <v>5</v>
      </c>
      <c r="AD234" s="404" t="n">
        <f aca="false">IF(ABS(t-ROUND(t,0))&lt;0.001,pos_x,NA())</f>
        <v>145.601237323677</v>
      </c>
      <c r="AE234" s="405" t="n">
        <f aca="false">IF(t&lt;T_para, pos_z, NA())</f>
        <v>672.913560138816</v>
      </c>
      <c r="AG234" s="396" t="n">
        <f aca="false">IF(AND(L233&lt;L_rampe,Poussee&lt;Poids*SIN(M233)),0,(-W233+Poussee)/m-Poids*SIN(M233)/m)</f>
        <v>-17.1143126094166</v>
      </c>
      <c r="AH234" s="397" t="n">
        <f aca="false">IF(AND(L233&lt;L_rampe,Poussee&lt;Poids*SIN(M233)), g*SIN(M233), (-W233+Poussee)/m)</f>
        <v>-7.60114824205472</v>
      </c>
    </row>
    <row r="235" customFormat="false" ht="12.75" hidden="false" customHeight="false" outlineLevel="0" collapsed="false">
      <c r="A235" s="396" t="n">
        <f aca="false">IF(B234+0.01&lt;=T_ini+ROUNDUP(Temps_fin_propu,0), 0.01, IF(K234&gt;0, 0.1, 0.0001))</f>
        <v>0.1</v>
      </c>
      <c r="B235" s="397" t="n">
        <f aca="false">B234+pas</f>
        <v>5.1</v>
      </c>
      <c r="D235" s="396" t="n">
        <f aca="false">IF(AND(L234&lt;L_rampe,Poussee&lt;Poids*SIN(M234)),0,(-W234+Poussee)/m*COS(M234)-U234/m*SIN(M234))</f>
        <v>-1.81613659779985</v>
      </c>
      <c r="E235" s="398" t="n">
        <f aca="false">IF(AND(L234&lt;L_rampe,Poussee&lt;Poids*SIN(M234)),0,(-W234+Poussee)/m*SIN(M234)+U234/m*COS(M234)-Poids/m)</f>
        <v>-16.9638165336566</v>
      </c>
      <c r="F235" s="397" t="n">
        <f aca="false">SQRT(acc_x^2+acc_z^2)</f>
        <v>17.0607568275686</v>
      </c>
      <c r="G235" s="396" t="n">
        <f aca="false">G234+acc_x*pas</f>
        <v>29.4198035343146</v>
      </c>
      <c r="H235" s="398" t="n">
        <f aca="false">H234+acc_z*pas</f>
        <v>114.904488567144</v>
      </c>
      <c r="I235" s="397" t="n">
        <f aca="false">SQRT(vit_x^2+vit_z^2)</f>
        <v>118.610987403675</v>
      </c>
      <c r="J235" s="396" t="n">
        <f aca="false">J234+0.5*(vit_x+G234)*pas*(K234&gt;=0)</f>
        <v>148.552298360097</v>
      </c>
      <c r="K235" s="398" t="n">
        <f aca="false">K234+0.5*(vit_z+H234)*pas</f>
        <v>684.488828078198</v>
      </c>
      <c r="L235" s="397" t="n">
        <f aca="false">SQRT(pos_x^2+pos_z^2)</f>
        <v>700.423258545812</v>
      </c>
      <c r="M235" s="396" t="n">
        <f aca="false">IF(AND(L234&gt;L_rampe,G235&gt;0),ATAN2(G235,H235),$M$4)</f>
        <v>1.32014387723486</v>
      </c>
      <c r="N235" s="397" t="n">
        <f aca="false">DEGREES(Beta)</f>
        <v>75.6386725155941</v>
      </c>
      <c r="P235" s="399" t="n">
        <f aca="false">MATCH(t-pas/2-T_ini,CdP_t)</f>
        <v>23</v>
      </c>
      <c r="Q235" s="397" t="n">
        <f aca="false">(INDEX(CdP,2,i_P+1)-INDEX(CdP,2,i_P+0))/(INDEX(CdP,1,i_P+1)-INDEX(CdP,1,i_P+0))*(t-pas/2-T_ini-INDEX(CdP,1,i_P+0))+INDEX(CdP,2,i_P+0)</f>
        <v>0</v>
      </c>
      <c r="R235" s="396" t="n">
        <f aca="false">Poussee/(g*ISP)</f>
        <v>0</v>
      </c>
      <c r="S235" s="398" t="n">
        <f aca="false">S234-Débit*pas</f>
        <v>8.45</v>
      </c>
      <c r="T235" s="397" t="n">
        <f aca="false">m*g</f>
        <v>82.8945</v>
      </c>
      <c r="U235" s="400" t="n">
        <f aca="false">IF(pos_xz&lt;L_rampe,Poids*COS(Beta),0)</f>
        <v>0</v>
      </c>
      <c r="V235" s="396" t="n">
        <f aca="false">Rho_moyen*(20000-Alt_rampe-pos_z)/(20000+Alt_rampe+pos_z)</f>
        <v>1.14392486960978</v>
      </c>
      <c r="W235" s="397" t="n">
        <f aca="false">1/2*Rho*Sref*Cx*vit_xz^2</f>
        <v>60.5584695955163</v>
      </c>
      <c r="Y235" s="401" t="str">
        <f aca="false">IF(AND(pos_z&lt;=0,K234&gt;0),"Impact balistique","") &amp; IF(AND(H236&lt;0,vit_z&gt;=0),"Apogée","") &amp; IF(AND(Poussee=0,Q234&gt;0),"Fin de propulsion","") &amp; IF(AND(L236&gt;L_rampe,pos_xz&lt;=L_rampe),"Sortie de rampe","")</f>
        <v/>
      </c>
      <c r="Z235" s="406" t="str">
        <f aca="false">IF(ABS(t-T_para)&lt;pas/2,"Para","")</f>
        <v/>
      </c>
      <c r="AA235" s="403" t="str">
        <f aca="false">IF(ABS(t-T_satellite)&lt;pas/2,"Satellite","")</f>
        <v/>
      </c>
      <c r="AC235" s="399" t="e">
        <f aca="false">IF(ABS(t-ROUND(t,0))&lt;0.001,t,NA())</f>
        <v>#N/A</v>
      </c>
      <c r="AD235" s="404" t="e">
        <f aca="false">IF(ABS(t-ROUND(t,0))&lt;0.001,pos_x,NA())</f>
        <v>#N/A</v>
      </c>
      <c r="AE235" s="405" t="n">
        <f aca="false">IF(t&lt;T_para, pos_z, NA())</f>
        <v>684.488828078198</v>
      </c>
      <c r="AG235" s="396" t="n">
        <f aca="false">IF(AND(L234&lt;L_rampe,Poussee&lt;Poids*SIN(M234)),0,(-W234+Poussee)/m-Poids*SIN(M234)/m)</f>
        <v>-16.8891257271017</v>
      </c>
      <c r="AH235" s="397" t="n">
        <f aca="false">IF(AND(L234&lt;L_rampe,Poussee&lt;Poids*SIN(M234)), g*SIN(M234), (-W234+Poussee)/m)</f>
        <v>-7.38074814223368</v>
      </c>
    </row>
    <row r="236" customFormat="false" ht="12.75" hidden="false" customHeight="false" outlineLevel="0" collapsed="false">
      <c r="A236" s="396" t="n">
        <f aca="false">IF(B235+0.01&lt;=T_ini+ROUNDUP(Temps_fin_propu,0), 0.01, IF(K235&gt;0, 0.1, 0.0001))</f>
        <v>0.1</v>
      </c>
      <c r="B236" s="397" t="n">
        <f aca="false">B235+pas</f>
        <v>5.2</v>
      </c>
      <c r="D236" s="396" t="n">
        <f aca="false">IF(AND(L235&lt;L_rampe,Poussee&lt;Poids*SIN(M235)),0,(-W235+Poussee)/m*COS(M235)-U235/m*SIN(M235))</f>
        <v>-1.77759585650082</v>
      </c>
      <c r="E236" s="398" t="n">
        <f aca="false">IF(AND(L235&lt;L_rampe,Poussee&lt;Poids*SIN(M235)),0,(-W235+Poussee)/m*SIN(M235)+U235/m*COS(M235)-Poids/m)</f>
        <v>-16.7527296661606</v>
      </c>
      <c r="F236" s="397" t="n">
        <f aca="false">SQRT(acc_x^2+acc_z^2)</f>
        <v>16.8467741213713</v>
      </c>
      <c r="G236" s="396" t="n">
        <f aca="false">G235+acc_x*pas</f>
        <v>29.2420439486645</v>
      </c>
      <c r="H236" s="398" t="n">
        <f aca="false">H235+acc_z*pas</f>
        <v>113.229215600528</v>
      </c>
      <c r="I236" s="397" t="n">
        <f aca="false">SQRT(vit_x^2+vit_z^2)</f>
        <v>116.944227731883</v>
      </c>
      <c r="J236" s="396" t="n">
        <f aca="false">J235+0.5*(vit_x+G235)*pas*(K235&gt;=0)</f>
        <v>151.485390734246</v>
      </c>
      <c r="K236" s="398" t="n">
        <f aca="false">K235+0.5*(vit_z+H235)*pas</f>
        <v>695.895513286582</v>
      </c>
      <c r="L236" s="397" t="n">
        <f aca="false">SQRT(pos_x^2+pos_z^2)</f>
        <v>712.192662850652</v>
      </c>
      <c r="M236" s="396" t="n">
        <f aca="false">IF(AND(L235&gt;L_rampe,G236&gt;0),ATAN2(G236,H236),$M$4)</f>
        <v>1.31806319682905</v>
      </c>
      <c r="N236" s="397" t="n">
        <f aca="false">DEGREES(Beta)</f>
        <v>75.5194583098259</v>
      </c>
      <c r="P236" s="399" t="n">
        <f aca="false">MATCH(t-pas/2-T_ini,CdP_t)</f>
        <v>23</v>
      </c>
      <c r="Q236" s="397" t="n">
        <f aca="false">(INDEX(CdP,2,i_P+1)-INDEX(CdP,2,i_P+0))/(INDEX(CdP,1,i_P+1)-INDEX(CdP,1,i_P+0))*(t-pas/2-T_ini-INDEX(CdP,1,i_P+0))+INDEX(CdP,2,i_P+0)</f>
        <v>0</v>
      </c>
      <c r="R236" s="396" t="n">
        <f aca="false">Poussee/(g*ISP)</f>
        <v>0</v>
      </c>
      <c r="S236" s="398" t="n">
        <f aca="false">S235-Débit*pas</f>
        <v>8.45</v>
      </c>
      <c r="T236" s="397" t="n">
        <f aca="false">m*g</f>
        <v>82.8945</v>
      </c>
      <c r="U236" s="400" t="n">
        <f aca="false">IF(pos_xz&lt;L_rampe,Poids*COS(Beta),0)</f>
        <v>0</v>
      </c>
      <c r="V236" s="396" t="n">
        <f aca="false">Rho_moyen*(20000-Alt_rampe-pos_z)/(20000+Alt_rampe+pos_z)</f>
        <v>1.14261922036872</v>
      </c>
      <c r="W236" s="397" t="n">
        <f aca="false">1/2*Rho*Sref*Cx*vit_xz^2</f>
        <v>58.8012627439785</v>
      </c>
      <c r="Y236" s="401" t="str">
        <f aca="false">IF(AND(pos_z&lt;=0,K235&gt;0),"Impact balistique","") &amp; IF(AND(H237&lt;0,vit_z&gt;=0),"Apogée","") &amp; IF(AND(Poussee=0,Q235&gt;0),"Fin de propulsion","") &amp; IF(AND(L237&gt;L_rampe,pos_xz&lt;=L_rampe),"Sortie de rampe","")</f>
        <v/>
      </c>
      <c r="Z236" s="406" t="str">
        <f aca="false">IF(ABS(t-T_para)&lt;pas/2,"Para","")</f>
        <v/>
      </c>
      <c r="AA236" s="403" t="str">
        <f aca="false">IF(ABS(t-T_satellite)&lt;pas/2,"Satellite","")</f>
        <v/>
      </c>
      <c r="AC236" s="399" t="e">
        <f aca="false">IF(ABS(t-ROUND(t,0))&lt;0.001,t,NA())</f>
        <v>#N/A</v>
      </c>
      <c r="AD236" s="404" t="e">
        <f aca="false">IF(ABS(t-ROUND(t,0))&lt;0.001,pos_x,NA())</f>
        <v>#N/A</v>
      </c>
      <c r="AE236" s="405" t="n">
        <f aca="false">IF(t&lt;T_para, pos_z, NA())</f>
        <v>695.895513286582</v>
      </c>
      <c r="AG236" s="396" t="n">
        <f aca="false">IF(AND(L235&lt;L_rampe,Poussee&lt;Poids*SIN(M235)),0,(-W235+Poussee)/m-Poids*SIN(M235)/m)</f>
        <v>-16.6701281098535</v>
      </c>
      <c r="AH236" s="397" t="n">
        <f aca="false">IF(AND(L235&lt;L_rampe,Poussee&lt;Poids*SIN(M235)), g*SIN(M235), (-W235+Poussee)/m)</f>
        <v>-7.1666827923688</v>
      </c>
    </row>
    <row r="237" customFormat="false" ht="12.75" hidden="false" customHeight="false" outlineLevel="0" collapsed="false">
      <c r="A237" s="396" t="n">
        <f aca="false">IF(B236+0.01&lt;=T_ini+ROUNDUP(Temps_fin_propu,0), 0.01, IF(K236&gt;0, 0.1, 0.0001))</f>
        <v>0.1</v>
      </c>
      <c r="B237" s="397" t="n">
        <f aca="false">B236+pas</f>
        <v>5.3</v>
      </c>
      <c r="D237" s="396" t="n">
        <f aca="false">IF(AND(L236&lt;L_rampe,Poussee&lt;Poids*SIN(M236)),0,(-W236+Poussee)/m*COS(M236)-U236/m*SIN(M236))</f>
        <v>-1.74003858518057</v>
      </c>
      <c r="E237" s="398" t="n">
        <f aca="false">IF(AND(L236&lt;L_rampe,Poussee&lt;Poids*SIN(M236)),0,(-W236+Poussee)/m*SIN(M236)+U236/m*COS(M236)-Poids/m)</f>
        <v>-16.5476686958179</v>
      </c>
      <c r="F237" s="397" t="n">
        <f aca="false">SQRT(acc_x^2+acc_z^2)</f>
        <v>16.6389024140557</v>
      </c>
      <c r="G237" s="396" t="n">
        <f aca="false">G236+acc_x*pas</f>
        <v>29.0680400901465</v>
      </c>
      <c r="H237" s="398" t="n">
        <f aca="false">H236+acc_z*pas</f>
        <v>111.574448730947</v>
      </c>
      <c r="I237" s="397" t="n">
        <f aca="false">SQRT(vit_x^2+vit_z^2)</f>
        <v>115.298779543831</v>
      </c>
      <c r="J237" s="396" t="n">
        <f aca="false">J236+0.5*(vit_x+G236)*pas*(K236&gt;=0)</f>
        <v>154.400894936187</v>
      </c>
      <c r="K237" s="398" t="n">
        <f aca="false">K236+0.5*(vit_z+H236)*pas</f>
        <v>707.135696503156</v>
      </c>
      <c r="L237" s="397" t="n">
        <f aca="false">SQRT(pos_x^2+pos_z^2)</f>
        <v>723.795917110686</v>
      </c>
      <c r="M237" s="396" t="n">
        <f aca="false">IF(AND(L236&gt;L_rampe,G237&gt;0),ATAN2(G237,H237),$M$4)</f>
        <v>1.31593567727692</v>
      </c>
      <c r="N237" s="397" t="n">
        <f aca="false">DEGREES(Beta)</f>
        <v>75.3975604186571</v>
      </c>
      <c r="P237" s="399" t="n">
        <f aca="false">MATCH(t-pas/2-T_ini,CdP_t)</f>
        <v>23</v>
      </c>
      <c r="Q237" s="397" t="n">
        <f aca="false">(INDEX(CdP,2,i_P+1)-INDEX(CdP,2,i_P+0))/(INDEX(CdP,1,i_P+1)-INDEX(CdP,1,i_P+0))*(t-pas/2-T_ini-INDEX(CdP,1,i_P+0))+INDEX(CdP,2,i_P+0)</f>
        <v>0</v>
      </c>
      <c r="R237" s="396" t="n">
        <f aca="false">Poussee/(g*ISP)</f>
        <v>0</v>
      </c>
      <c r="S237" s="398" t="n">
        <f aca="false">S236-Débit*pas</f>
        <v>8.45</v>
      </c>
      <c r="T237" s="397" t="n">
        <f aca="false">m*g</f>
        <v>82.8945</v>
      </c>
      <c r="U237" s="400" t="n">
        <f aca="false">IF(pos_xz&lt;L_rampe,Poids*COS(Beta),0)</f>
        <v>0</v>
      </c>
      <c r="V237" s="396" t="n">
        <f aca="false">Rho_moyen*(20000-Alt_rampe-pos_z)/(20000+Alt_rampe+pos_z)</f>
        <v>1.141334036642</v>
      </c>
      <c r="W237" s="397" t="n">
        <f aca="false">1/2*Rho*Sref*Cx*vit_xz^2</f>
        <v>57.0939034418084</v>
      </c>
      <c r="Y237" s="401" t="str">
        <f aca="false">IF(AND(pos_z&lt;=0,K236&gt;0),"Impact balistique","") &amp; IF(AND(H238&lt;0,vit_z&gt;=0),"Apogée","") &amp; IF(AND(Poussee=0,Q236&gt;0),"Fin de propulsion","") &amp; IF(AND(L238&gt;L_rampe,pos_xz&lt;=L_rampe),"Sortie de rampe","")</f>
        <v/>
      </c>
      <c r="Z237" s="406" t="str">
        <f aca="false">IF(ABS(t-T_para)&lt;pas/2,"Para","")</f>
        <v/>
      </c>
      <c r="AA237" s="403" t="str">
        <f aca="false">IF(ABS(t-T_satellite)&lt;pas/2,"Satellite","")</f>
        <v/>
      </c>
      <c r="AC237" s="399" t="e">
        <f aca="false">IF(ABS(t-ROUND(t,0))&lt;0.001,t,NA())</f>
        <v>#N/A</v>
      </c>
      <c r="AD237" s="404" t="e">
        <f aca="false">IF(ABS(t-ROUND(t,0))&lt;0.001,pos_x,NA())</f>
        <v>#N/A</v>
      </c>
      <c r="AE237" s="405" t="n">
        <f aca="false">IF(t&lt;T_para, pos_z, NA())</f>
        <v>707.135696503156</v>
      </c>
      <c r="AG237" s="396" t="n">
        <f aca="false">IF(AND(L236&lt;L_rampe,Poussee&lt;Poids*SIN(M236)),0,(-W236+Poussee)/m-Poids*SIN(M236)/m)</f>
        <v>-16.4570912866048</v>
      </c>
      <c r="AH237" s="397" t="n">
        <f aca="false">IF(AND(L236&lt;L_rampe,Poussee&lt;Poids*SIN(M236)), g*SIN(M236), (-W236+Poussee)/m)</f>
        <v>-6.95872931881402</v>
      </c>
    </row>
    <row r="238" customFormat="false" ht="12.75" hidden="false" customHeight="false" outlineLevel="0" collapsed="false">
      <c r="A238" s="396" t="n">
        <f aca="false">IF(B237+0.01&lt;=T_ini+ROUNDUP(Temps_fin_propu,0), 0.01, IF(K237&gt;0, 0.1, 0.0001))</f>
        <v>0.1</v>
      </c>
      <c r="B238" s="397" t="n">
        <f aca="false">B237+pas</f>
        <v>5.4</v>
      </c>
      <c r="D238" s="396" t="n">
        <f aca="false">IF(AND(L237&lt;L_rampe,Poussee&lt;Poids*SIN(M237)),0,(-W237+Poussee)/m*COS(M237)-U237/m*SIN(M237))</f>
        <v>-1.70342912121846</v>
      </c>
      <c r="E238" s="398" t="n">
        <f aca="false">IF(AND(L237&lt;L_rampe,Poussee&lt;Poids*SIN(M237)),0,(-W237+Poussee)/m*SIN(M237)+U237/m*COS(M237)-Poids/m)</f>
        <v>-16.3484238002554</v>
      </c>
      <c r="F238" s="397" t="n">
        <f aca="false">SQRT(acc_x^2+acc_z^2)</f>
        <v>16.4369288957448</v>
      </c>
      <c r="G238" s="396" t="n">
        <f aca="false">G237+acc_x*pas</f>
        <v>28.8976971780246</v>
      </c>
      <c r="H238" s="398" t="n">
        <f aca="false">H237+acc_z*pas</f>
        <v>109.939606350921</v>
      </c>
      <c r="I238" s="397" t="n">
        <f aca="false">SQRT(vit_x^2+vit_z^2)</f>
        <v>113.674068928618</v>
      </c>
      <c r="J238" s="396" t="n">
        <f aca="false">J237+0.5*(vit_x+G237)*pas*(K237&gt;=0)</f>
        <v>157.299181799595</v>
      </c>
      <c r="K238" s="398" t="n">
        <f aca="false">K237+0.5*(vit_z+H237)*pas</f>
        <v>718.211399257249</v>
      </c>
      <c r="L238" s="397" t="n">
        <f aca="false">SQRT(pos_x^2+pos_z^2)</f>
        <v>735.235096154882</v>
      </c>
      <c r="M238" s="396" t="n">
        <f aca="false">IF(AND(L237&gt;L_rampe,G238&gt;0),ATAN2(G238,H238),$M$4)</f>
        <v>1.31375997741311</v>
      </c>
      <c r="N238" s="397" t="n">
        <f aca="false">DEGREES(Beta)</f>
        <v>75.2729019989738</v>
      </c>
      <c r="P238" s="399" t="n">
        <f aca="false">MATCH(t-pas/2-T_ini,CdP_t)</f>
        <v>23</v>
      </c>
      <c r="Q238" s="397" t="n">
        <f aca="false">(INDEX(CdP,2,i_P+1)-INDEX(CdP,2,i_P+0))/(INDEX(CdP,1,i_P+1)-INDEX(CdP,1,i_P+0))*(t-pas/2-T_ini-INDEX(CdP,1,i_P+0))+INDEX(CdP,2,i_P+0)</f>
        <v>0</v>
      </c>
      <c r="R238" s="396" t="n">
        <f aca="false">Poussee/(g*ISP)</f>
        <v>0</v>
      </c>
      <c r="S238" s="398" t="n">
        <f aca="false">S237-Débit*pas</f>
        <v>8.45</v>
      </c>
      <c r="T238" s="397" t="n">
        <f aca="false">m*g</f>
        <v>82.8945</v>
      </c>
      <c r="U238" s="400" t="n">
        <f aca="false">IF(pos_xz&lt;L_rampe,Poids*COS(Beta),0)</f>
        <v>0</v>
      </c>
      <c r="V238" s="396" t="n">
        <f aca="false">Rho_moyen*(20000-Alt_rampe-pos_z)/(20000+Alt_rampe+pos_z)</f>
        <v>1.1400690233693</v>
      </c>
      <c r="W238" s="397" t="n">
        <f aca="false">1/2*Rho*Sref*Cx*vit_xz^2</f>
        <v>55.4346747738498</v>
      </c>
      <c r="Y238" s="401" t="str">
        <f aca="false">IF(AND(pos_z&lt;=0,K237&gt;0),"Impact balistique","") &amp; IF(AND(H239&lt;0,vit_z&gt;=0),"Apogée","") &amp; IF(AND(Poussee=0,Q237&gt;0),"Fin de propulsion","") &amp; IF(AND(L239&gt;L_rampe,pos_xz&lt;=L_rampe),"Sortie de rampe","")</f>
        <v/>
      </c>
      <c r="Z238" s="406" t="str">
        <f aca="false">IF(ABS(t-T_para)&lt;pas/2,"Para","")</f>
        <v/>
      </c>
      <c r="AA238" s="403" t="str">
        <f aca="false">IF(ABS(t-T_satellite)&lt;pas/2,"Satellite","")</f>
        <v/>
      </c>
      <c r="AC238" s="399" t="e">
        <f aca="false">IF(ABS(t-ROUND(t,0))&lt;0.001,t,NA())</f>
        <v>#N/A</v>
      </c>
      <c r="AD238" s="404" t="e">
        <f aca="false">IF(ABS(t-ROUND(t,0))&lt;0.001,pos_x,NA())</f>
        <v>#N/A</v>
      </c>
      <c r="AE238" s="405" t="n">
        <f aca="false">IF(t&lt;T_para, pos_z, NA())</f>
        <v>718.211399257249</v>
      </c>
      <c r="AG238" s="396" t="n">
        <f aca="false">IF(AND(L237&lt;L_rampe,Poussee&lt;Poids*SIN(M237)),0,(-W237+Poussee)/m-Poids*SIN(M237)/m)</f>
        <v>-16.2497966286576</v>
      </c>
      <c r="AH238" s="397" t="n">
        <f aca="false">IF(AND(L237&lt;L_rampe,Poussee&lt;Poids*SIN(M237)), g*SIN(M237), (-W237+Poussee)/m)</f>
        <v>-6.75667496352762</v>
      </c>
    </row>
    <row r="239" customFormat="false" ht="12.75" hidden="false" customHeight="false" outlineLevel="0" collapsed="false">
      <c r="A239" s="396" t="n">
        <f aca="false">IF(B238+0.01&lt;=T_ini+ROUNDUP(Temps_fin_propu,0), 0.01, IF(K238&gt;0, 0.1, 0.0001))</f>
        <v>0.1</v>
      </c>
      <c r="B239" s="397" t="n">
        <f aca="false">B238+pas</f>
        <v>5.5</v>
      </c>
      <c r="D239" s="396" t="n">
        <f aca="false">IF(AND(L238&lt;L_rampe,Poussee&lt;Poids*SIN(M238)),0,(-W238+Poussee)/m*COS(M238)-U238/m*SIN(M238))</f>
        <v>-1.66773339415744</v>
      </c>
      <c r="E239" s="398" t="n">
        <f aca="false">IF(AND(L238&lt;L_rampe,Poussee&lt;Poids*SIN(M238)),0,(-W238+Poussee)/m*SIN(M238)+U238/m*COS(M238)-Poids/m)</f>
        <v>-16.1547945946151</v>
      </c>
      <c r="F239" s="397" t="n">
        <f aca="false">SQRT(acc_x^2+acc_z^2)</f>
        <v>16.2406503277483</v>
      </c>
      <c r="G239" s="396" t="n">
        <f aca="false">G238+acc_x*pas</f>
        <v>28.7309238386089</v>
      </c>
      <c r="H239" s="398" t="n">
        <f aca="false">H238+acc_z*pas</f>
        <v>108.32412689146</v>
      </c>
      <c r="I239" s="397" t="n">
        <f aca="false">SQRT(vit_x^2+vit_z^2)</f>
        <v>112.069542924994</v>
      </c>
      <c r="J239" s="396" t="n">
        <f aca="false">J238+0.5*(vit_x+G238)*pas*(K238&gt;=0)</f>
        <v>160.180612850427</v>
      </c>
      <c r="K239" s="398" t="n">
        <f aca="false">K238+0.5*(vit_z+H238)*pas</f>
        <v>729.124585919368</v>
      </c>
      <c r="L239" s="397" t="n">
        <f aca="false">SQRT(pos_x^2+pos_z^2)</f>
        <v>746.512217264546</v>
      </c>
      <c r="M239" s="396" t="n">
        <f aca="false">IF(AND(L238&gt;L_rampe,G239&gt;0),ATAN2(G239,H239),$M$4)</f>
        <v>1.31153470289311</v>
      </c>
      <c r="N239" s="397" t="n">
        <f aca="false">DEGREES(Beta)</f>
        <v>75.1454031607197</v>
      </c>
      <c r="P239" s="399" t="n">
        <f aca="false">MATCH(t-pas/2-T_ini,CdP_t)</f>
        <v>23</v>
      </c>
      <c r="Q239" s="397" t="n">
        <f aca="false">(INDEX(CdP,2,i_P+1)-INDEX(CdP,2,i_P+0))/(INDEX(CdP,1,i_P+1)-INDEX(CdP,1,i_P+0))*(t-pas/2-T_ini-INDEX(CdP,1,i_P+0))+INDEX(CdP,2,i_P+0)</f>
        <v>0</v>
      </c>
      <c r="R239" s="396" t="n">
        <f aca="false">Poussee/(g*ISP)</f>
        <v>0</v>
      </c>
      <c r="S239" s="398" t="n">
        <f aca="false">S238-Débit*pas</f>
        <v>8.45</v>
      </c>
      <c r="T239" s="397" t="n">
        <f aca="false">m*g</f>
        <v>82.8945</v>
      </c>
      <c r="U239" s="400" t="n">
        <f aca="false">IF(pos_xz&lt;L_rampe,Poids*COS(Beta),0)</f>
        <v>0</v>
      </c>
      <c r="V239" s="396" t="n">
        <f aca="false">Rho_moyen*(20000-Alt_rampe-pos_z)/(20000+Alt_rampe+pos_z)</f>
        <v>1.13882389410135</v>
      </c>
      <c r="W239" s="397" t="n">
        <f aca="false">1/2*Rho*Sref*Cx*vit_xz^2</f>
        <v>53.8219364155216</v>
      </c>
      <c r="Y239" s="401" t="str">
        <f aca="false">IF(AND(pos_z&lt;=0,K238&gt;0),"Impact balistique","") &amp; IF(AND(H240&lt;0,vit_z&gt;=0),"Apogée","") &amp; IF(AND(Poussee=0,Q238&gt;0),"Fin de propulsion","") &amp; IF(AND(L240&gt;L_rampe,pos_xz&lt;=L_rampe),"Sortie de rampe","")</f>
        <v/>
      </c>
      <c r="Z239" s="406" t="str">
        <f aca="false">IF(ABS(t-T_para)&lt;pas/2,"Para","")</f>
        <v/>
      </c>
      <c r="AA239" s="403" t="str">
        <f aca="false">IF(ABS(t-T_satellite)&lt;pas/2,"Satellite","")</f>
        <v/>
      </c>
      <c r="AC239" s="399" t="e">
        <f aca="false">IF(ABS(t-ROUND(t,0))&lt;0.001,t,NA())</f>
        <v>#N/A</v>
      </c>
      <c r="AD239" s="404" t="e">
        <f aca="false">IF(ABS(t-ROUND(t,0))&lt;0.001,pos_x,NA())</f>
        <v>#N/A</v>
      </c>
      <c r="AE239" s="405" t="n">
        <f aca="false">IF(t&lt;T_para, pos_z, NA())</f>
        <v>729.124585919368</v>
      </c>
      <c r="AG239" s="396" t="n">
        <f aca="false">IF(AND(L238&lt;L_rampe,Poussee&lt;Poids*SIN(M238)),0,(-W238+Poussee)/m-Poids*SIN(M238)/m)</f>
        <v>-16.0480347910792</v>
      </c>
      <c r="AH239" s="397" t="n">
        <f aca="false">IF(AND(L238&lt;L_rampe,Poussee&lt;Poids*SIN(M238)), g*SIN(M238), (-W238+Poussee)/m)</f>
        <v>-6.560316541284</v>
      </c>
    </row>
    <row r="240" customFormat="false" ht="12.75" hidden="false" customHeight="false" outlineLevel="0" collapsed="false">
      <c r="A240" s="396" t="n">
        <f aca="false">IF(B239+0.01&lt;=T_ini+ROUNDUP(Temps_fin_propu,0), 0.01, IF(K239&gt;0, 0.1, 0.0001))</f>
        <v>0.1</v>
      </c>
      <c r="B240" s="397" t="n">
        <f aca="false">B239+pas</f>
        <v>5.6</v>
      </c>
      <c r="D240" s="396" t="n">
        <f aca="false">IF(AND(L239&lt;L_rampe,Poussee&lt;Poids*SIN(M239)),0,(-W239+Poussee)/m*COS(M239)-U239/m*SIN(M239))</f>
        <v>-1.63291884119002</v>
      </c>
      <c r="E240" s="398" t="n">
        <f aca="false">IF(AND(L239&lt;L_rampe,Poussee&lt;Poids*SIN(M239)),0,(-W239+Poussee)/m*SIN(M239)+U239/m*COS(M239)-Poids/m)</f>
        <v>-15.9665896297015</v>
      </c>
      <c r="F240" s="397" t="n">
        <f aca="false">SQRT(acc_x^2+acc_z^2)</f>
        <v>16.0498725336124</v>
      </c>
      <c r="G240" s="396" t="n">
        <f aca="false">G239+acc_x*pas</f>
        <v>28.5676319544899</v>
      </c>
      <c r="H240" s="398" t="n">
        <f aca="false">H239+acc_z*pas</f>
        <v>106.727467928489</v>
      </c>
      <c r="I240" s="397" t="n">
        <f aca="false">SQRT(vit_x^2+vit_z^2)</f>
        <v>110.484668646441</v>
      </c>
      <c r="J240" s="396" t="n">
        <f aca="false">J239+0.5*(vit_x+G239)*pas*(K239&gt;=0)</f>
        <v>163.045540640082</v>
      </c>
      <c r="K240" s="398" t="n">
        <f aca="false">K239+0.5*(vit_z+H239)*pas</f>
        <v>739.877165660366</v>
      </c>
      <c r="L240" s="397" t="n">
        <f aca="false">SQRT(pos_x^2+pos_z^2)</f>
        <v>757.629242168116</v>
      </c>
      <c r="M240" s="396" t="n">
        <f aca="false">IF(AND(L239&gt;L_rampe,G240&gt;0),ATAN2(G240,H240),$M$4)</f>
        <v>1.30925840364403</v>
      </c>
      <c r="N240" s="397" t="n">
        <f aca="false">DEGREES(Beta)</f>
        <v>75.0149808208384</v>
      </c>
      <c r="P240" s="399" t="n">
        <f aca="false">MATCH(t-pas/2-T_ini,CdP_t)</f>
        <v>23</v>
      </c>
      <c r="Q240" s="397" t="n">
        <f aca="false">(INDEX(CdP,2,i_P+1)-INDEX(CdP,2,i_P+0))/(INDEX(CdP,1,i_P+1)-INDEX(CdP,1,i_P+0))*(t-pas/2-T_ini-INDEX(CdP,1,i_P+0))+INDEX(CdP,2,i_P+0)</f>
        <v>0</v>
      </c>
      <c r="R240" s="396" t="n">
        <f aca="false">Poussee/(g*ISP)</f>
        <v>0</v>
      </c>
      <c r="S240" s="398" t="n">
        <f aca="false">S239-Débit*pas</f>
        <v>8.45</v>
      </c>
      <c r="T240" s="397" t="n">
        <f aca="false">m*g</f>
        <v>82.8945</v>
      </c>
      <c r="U240" s="400" t="n">
        <f aca="false">IF(pos_xz&lt;L_rampe,Poids*COS(Beta),0)</f>
        <v>0</v>
      </c>
      <c r="V240" s="396" t="n">
        <f aca="false">Rho_moyen*(20000-Alt_rampe-pos_z)/(20000+Alt_rampe+pos_z)</f>
        <v>1.13759837069483</v>
      </c>
      <c r="W240" s="397" t="n">
        <f aca="false">1/2*Rho*Sref*Cx*vit_xz^2</f>
        <v>52.2541205995844</v>
      </c>
      <c r="Y240" s="401" t="str">
        <f aca="false">IF(AND(pos_z&lt;=0,K239&gt;0),"Impact balistique","") &amp; IF(AND(H241&lt;0,vit_z&gt;=0),"Apogée","") &amp; IF(AND(Poussee=0,Q239&gt;0),"Fin de propulsion","") &amp; IF(AND(L241&gt;L_rampe,pos_xz&lt;=L_rampe),"Sortie de rampe","")</f>
        <v/>
      </c>
      <c r="Z240" s="406" t="str">
        <f aca="false">IF(ABS(t-T_para)&lt;pas/2,"Para","")</f>
        <v/>
      </c>
      <c r="AA240" s="403" t="str">
        <f aca="false">IF(ABS(t-T_satellite)&lt;pas/2,"Satellite","")</f>
        <v/>
      </c>
      <c r="AC240" s="399" t="e">
        <f aca="false">IF(ABS(t-ROUND(t,0))&lt;0.001,t,NA())</f>
        <v>#N/A</v>
      </c>
      <c r="AD240" s="404" t="e">
        <f aca="false">IF(ABS(t-ROUND(t,0))&lt;0.001,pos_x,NA())</f>
        <v>#N/A</v>
      </c>
      <c r="AE240" s="405" t="n">
        <f aca="false">IF(t&lt;T_para, pos_z, NA())</f>
        <v>739.877165660366</v>
      </c>
      <c r="AG240" s="396" t="n">
        <f aca="false">IF(AND(L239&lt;L_rampe,Poussee&lt;Poids*SIN(M239)),0,(-W239+Poussee)/m-Poids*SIN(M239)/m)</f>
        <v>-15.8516051869818</v>
      </c>
      <c r="AH240" s="397" t="n">
        <f aca="false">IF(AND(L239&lt;L_rampe,Poussee&lt;Poids*SIN(M239)), g*SIN(M239), (-W239+Poussee)/m)</f>
        <v>-6.36945993083096</v>
      </c>
    </row>
    <row r="241" customFormat="false" ht="12.75" hidden="false" customHeight="false" outlineLevel="0" collapsed="false">
      <c r="A241" s="396" t="n">
        <f aca="false">IF(B240+0.01&lt;=T_ini+ROUNDUP(Temps_fin_propu,0), 0.01, IF(K240&gt;0, 0.1, 0.0001))</f>
        <v>0.1</v>
      </c>
      <c r="B241" s="397" t="n">
        <f aca="false">B240+pas</f>
        <v>5.7</v>
      </c>
      <c r="D241" s="396" t="n">
        <f aca="false">IF(AND(L240&lt;L_rampe,Poussee&lt;Poids*SIN(M240)),0,(-W240+Poussee)/m*COS(M240)-U240/m*SIN(M240))</f>
        <v>-1.59895432791005</v>
      </c>
      <c r="E241" s="398" t="n">
        <f aca="false">IF(AND(L240&lt;L_rampe,Poussee&lt;Poids*SIN(M240)),0,(-W240+Poussee)/m*SIN(M240)+U240/m*COS(M240)-Poids/m)</f>
        <v>-15.7836259212174</v>
      </c>
      <c r="F241" s="397" t="n">
        <f aca="false">SQRT(acc_x^2+acc_z^2)</f>
        <v>15.864409921698</v>
      </c>
      <c r="G241" s="396" t="n">
        <f aca="false">G240+acc_x*pas</f>
        <v>28.4077365216989</v>
      </c>
      <c r="H241" s="398" t="n">
        <f aca="false">H240+acc_z*pas</f>
        <v>105.149105336368</v>
      </c>
      <c r="I241" s="397" t="n">
        <f aca="false">SQRT(vit_x^2+vit_z^2)</f>
        <v>108.918932455863</v>
      </c>
      <c r="J241" s="396" t="n">
        <f aca="false">J240+0.5*(vit_x+G240)*pas*(K240&gt;=0)</f>
        <v>165.894309063891</v>
      </c>
      <c r="K241" s="398" t="n">
        <f aca="false">K240+0.5*(vit_z+H240)*pas</f>
        <v>750.470994323609</v>
      </c>
      <c r="L241" s="397" t="n">
        <f aca="false">SQRT(pos_x^2+pos_z^2)</f>
        <v>768.588078947919</v>
      </c>
      <c r="M241" s="396" t="n">
        <f aca="false">IF(AND(L240&gt;L_rampe,G241&gt;0),ATAN2(G241,H241),$M$4)</f>
        <v>1.30692957116993</v>
      </c>
      <c r="N241" s="397" t="n">
        <f aca="false">DEGREES(Beta)</f>
        <v>74.8815485488796</v>
      </c>
      <c r="P241" s="399" t="n">
        <f aca="false">MATCH(t-pas/2-T_ini,CdP_t)</f>
        <v>23</v>
      </c>
      <c r="Q241" s="397" t="n">
        <f aca="false">(INDEX(CdP,2,i_P+1)-INDEX(CdP,2,i_P+0))/(INDEX(CdP,1,i_P+1)-INDEX(CdP,1,i_P+0))*(t-pas/2-T_ini-INDEX(CdP,1,i_P+0))+INDEX(CdP,2,i_P+0)</f>
        <v>0</v>
      </c>
      <c r="R241" s="396" t="n">
        <f aca="false">Poussee/(g*ISP)</f>
        <v>0</v>
      </c>
      <c r="S241" s="398" t="n">
        <f aca="false">S240-Débit*pas</f>
        <v>8.45</v>
      </c>
      <c r="T241" s="397" t="n">
        <f aca="false">m*g</f>
        <v>82.8945</v>
      </c>
      <c r="U241" s="400" t="n">
        <f aca="false">IF(pos_xz&lt;L_rampe,Poids*COS(Beta),0)</f>
        <v>0</v>
      </c>
      <c r="V241" s="396" t="n">
        <f aca="false">Rho_moyen*(20000-Alt_rampe-pos_z)/(20000+Alt_rampe+pos_z)</f>
        <v>1.13639218302101</v>
      </c>
      <c r="W241" s="397" t="n">
        <f aca="false">1/2*Rho*Sref*Cx*vit_xz^2</f>
        <v>50.7297283306603</v>
      </c>
      <c r="Y241" s="401" t="str">
        <f aca="false">IF(AND(pos_z&lt;=0,K240&gt;0),"Impact balistique","") &amp; IF(AND(H242&lt;0,vit_z&gt;=0),"Apogée","") &amp; IF(AND(Poussee=0,Q240&gt;0),"Fin de propulsion","") &amp; IF(AND(L242&gt;L_rampe,pos_xz&lt;=L_rampe),"Sortie de rampe","")</f>
        <v/>
      </c>
      <c r="Z241" s="406" t="str">
        <f aca="false">IF(ABS(t-T_para)&lt;pas/2,"Para","")</f>
        <v/>
      </c>
      <c r="AA241" s="403" t="str">
        <f aca="false">IF(ABS(t-T_satellite)&lt;pas/2,"Satellite","")</f>
        <v/>
      </c>
      <c r="AC241" s="399" t="e">
        <f aca="false">IF(ABS(t-ROUND(t,0))&lt;0.001,t,NA())</f>
        <v>#N/A</v>
      </c>
      <c r="AD241" s="404" t="e">
        <f aca="false">IF(ABS(t-ROUND(t,0))&lt;0.001,pos_x,NA())</f>
        <v>#N/A</v>
      </c>
      <c r="AE241" s="405" t="n">
        <f aca="false">IF(t&lt;T_para, pos_z, NA())</f>
        <v>750.470994323609</v>
      </c>
      <c r="AG241" s="396" t="n">
        <f aca="false">IF(AND(L240&lt;L_rampe,Poussee&lt;Poids*SIN(M240)),0,(-W240+Poussee)/m-Poids*SIN(M240)/m)</f>
        <v>-15.6603154921939</v>
      </c>
      <c r="AH241" s="397" t="n">
        <f aca="false">IF(AND(L240&lt;L_rampe,Poussee&lt;Poids*SIN(M240)), g*SIN(M240), (-W240+Poussee)/m)</f>
        <v>-6.18391959758395</v>
      </c>
    </row>
    <row r="242" customFormat="false" ht="12.75" hidden="false" customHeight="false" outlineLevel="0" collapsed="false">
      <c r="A242" s="396" t="n">
        <f aca="false">IF(B241+0.01&lt;=T_ini+ROUNDUP(Temps_fin_propu,0), 0.01, IF(K241&gt;0, 0.1, 0.0001))</f>
        <v>0.1</v>
      </c>
      <c r="B242" s="397" t="n">
        <f aca="false">B241+pas</f>
        <v>5.8</v>
      </c>
      <c r="D242" s="396" t="n">
        <f aca="false">IF(AND(L241&lt;L_rampe,Poussee&lt;Poids*SIN(M241)),0,(-W241+Poussee)/m*COS(M241)-U241/m*SIN(M241))</f>
        <v>-1.5658100739621</v>
      </c>
      <c r="E242" s="398" t="n">
        <f aca="false">IF(AND(L241&lt;L_rampe,Poussee&lt;Poids*SIN(M241)),0,(-W241+Poussee)/m*SIN(M241)+U241/m*COS(M241)-Poids/m)</f>
        <v>-15.6057285079023</v>
      </c>
      <c r="F242" s="397" t="n">
        <f aca="false">SQRT(acc_x^2+acc_z^2)</f>
        <v>15.684085037071</v>
      </c>
      <c r="G242" s="396" t="n">
        <f aca="false">G241+acc_x*pas</f>
        <v>28.2511555143027</v>
      </c>
      <c r="H242" s="398" t="n">
        <f aca="false">H241+acc_z*pas</f>
        <v>103.588532485577</v>
      </c>
      <c r="I242" s="397" t="n">
        <f aca="false">SQRT(vit_x^2+vit_z^2)</f>
        <v>107.371839187046</v>
      </c>
      <c r="J242" s="396" t="n">
        <f aca="false">J241+0.5*(vit_x+G241)*pas*(K241&gt;=0)</f>
        <v>168.727253665692</v>
      </c>
      <c r="K242" s="398" t="n">
        <f aca="false">K241+0.5*(vit_z+H241)*pas</f>
        <v>760.907876214706</v>
      </c>
      <c r="L242" s="397" t="n">
        <f aca="false">SQRT(pos_x^2+pos_z^2)</f>
        <v>779.390583863534</v>
      </c>
      <c r="M242" s="396" t="n">
        <f aca="false">IF(AND(L241&gt;L_rampe,G242&gt;0),ATAN2(G242,H242),$M$4)</f>
        <v>1.30454663570227</v>
      </c>
      <c r="N242" s="397" t="n">
        <f aca="false">DEGREES(Beta)</f>
        <v>74.7450164037307</v>
      </c>
      <c r="P242" s="399" t="n">
        <f aca="false">MATCH(t-pas/2-T_ini,CdP_t)</f>
        <v>23</v>
      </c>
      <c r="Q242" s="397" t="n">
        <f aca="false">(INDEX(CdP,2,i_P+1)-INDEX(CdP,2,i_P+0))/(INDEX(CdP,1,i_P+1)-INDEX(CdP,1,i_P+0))*(t-pas/2-T_ini-INDEX(CdP,1,i_P+0))+INDEX(CdP,2,i_P+0)</f>
        <v>0</v>
      </c>
      <c r="R242" s="396" t="n">
        <f aca="false">Poussee/(g*ISP)</f>
        <v>0</v>
      </c>
      <c r="S242" s="398" t="n">
        <f aca="false">S241-Débit*pas</f>
        <v>8.45</v>
      </c>
      <c r="T242" s="397" t="n">
        <f aca="false">m*g</f>
        <v>82.8945</v>
      </c>
      <c r="U242" s="400" t="n">
        <f aca="false">IF(pos_xz&lt;L_rampe,Poids*COS(Beta),0)</f>
        <v>0</v>
      </c>
      <c r="V242" s="396" t="n">
        <f aca="false">Rho_moyen*(20000-Alt_rampe-pos_z)/(20000+Alt_rampe+pos_z)</f>
        <v>1.13520506868768</v>
      </c>
      <c r="W242" s="397" t="n">
        <f aca="false">1/2*Rho*Sref*Cx*vit_xz^2</f>
        <v>49.2473258302436</v>
      </c>
      <c r="Y242" s="401" t="str">
        <f aca="false">IF(AND(pos_z&lt;=0,K241&gt;0),"Impact balistique","") &amp; IF(AND(H243&lt;0,vit_z&gt;=0),"Apogée","") &amp; IF(AND(Poussee=0,Q241&gt;0),"Fin de propulsion","") &amp; IF(AND(L243&gt;L_rampe,pos_xz&lt;=L_rampe),"Sortie de rampe","")</f>
        <v/>
      </c>
      <c r="Z242" s="406" t="str">
        <f aca="false">IF(ABS(t-T_para)&lt;pas/2,"Para","")</f>
        <v/>
      </c>
      <c r="AA242" s="403" t="str">
        <f aca="false">IF(ABS(t-T_satellite)&lt;pas/2,"Satellite","")</f>
        <v/>
      </c>
      <c r="AC242" s="399" t="e">
        <f aca="false">IF(ABS(t-ROUND(t,0))&lt;0.001,t,NA())</f>
        <v>#N/A</v>
      </c>
      <c r="AD242" s="404" t="e">
        <f aca="false">IF(ABS(t-ROUND(t,0))&lt;0.001,pos_x,NA())</f>
        <v>#N/A</v>
      </c>
      <c r="AE242" s="405" t="n">
        <f aca="false">IF(t&lt;T_para, pos_z, NA())</f>
        <v>760.907876214706</v>
      </c>
      <c r="AG242" s="396" t="n">
        <f aca="false">IF(AND(L241&lt;L_rampe,Poussee&lt;Poids*SIN(M241)),0,(-W241+Poussee)/m-Poids*SIN(M241)/m)</f>
        <v>-15.4739811780223</v>
      </c>
      <c r="AH242" s="397" t="n">
        <f aca="false">IF(AND(L241&lt;L_rampe,Poussee&lt;Poids*SIN(M241)), g*SIN(M241), (-W241+Poussee)/m)</f>
        <v>-6.00351814564028</v>
      </c>
    </row>
    <row r="243" customFormat="false" ht="12.75" hidden="false" customHeight="false" outlineLevel="0" collapsed="false">
      <c r="A243" s="396" t="n">
        <f aca="false">IF(B242+0.01&lt;=T_ini+ROUNDUP(Temps_fin_propu,0), 0.01, IF(K242&gt;0, 0.1, 0.0001))</f>
        <v>0.1</v>
      </c>
      <c r="B243" s="397" t="n">
        <f aca="false">B242+pas</f>
        <v>5.9</v>
      </c>
      <c r="D243" s="396" t="n">
        <f aca="false">IF(AND(L242&lt;L_rampe,Poussee&lt;Poids*SIN(M242)),0,(-W242+Poussee)/m*COS(M242)-U242/m*SIN(M242))</f>
        <v>-1.53345758324973</v>
      </c>
      <c r="E243" s="398" t="n">
        <f aca="false">IF(AND(L242&lt;L_rampe,Poussee&lt;Poids*SIN(M242)),0,(-W242+Poussee)/m*SIN(M242)+U242/m*COS(M242)-Poids/m)</f>
        <v>-15.4327300365572</v>
      </c>
      <c r="F243" s="397" t="n">
        <f aca="false">SQRT(acc_x^2+acc_z^2)</f>
        <v>15.5087281406594</v>
      </c>
      <c r="G243" s="396" t="n">
        <f aca="false">G242+acc_x*pas</f>
        <v>28.0978097559777</v>
      </c>
      <c r="H243" s="398" t="n">
        <f aca="false">H242+acc_z*pas</f>
        <v>102.045259481922</v>
      </c>
      <c r="I243" s="397" t="n">
        <f aca="false">SQRT(vit_x^2+vit_z^2)</f>
        <v>105.842911410334</v>
      </c>
      <c r="J243" s="396" t="n">
        <f aca="false">J242+0.5*(vit_x+G242)*pas*(K242&gt;=0)</f>
        <v>171.544701929206</v>
      </c>
      <c r="K243" s="398" t="n">
        <f aca="false">K242+0.5*(vit_z+H242)*pas</f>
        <v>771.189565813081</v>
      </c>
      <c r="L243" s="397" t="n">
        <f aca="false">SQRT(pos_x^2+pos_z^2)</f>
        <v>790.038563096099</v>
      </c>
      <c r="M243" s="396" t="n">
        <f aca="false">IF(AND(L242&gt;L_rampe,G243&gt;0),ATAN2(G243,H243),$M$4)</f>
        <v>1.30210796318525</v>
      </c>
      <c r="N243" s="397" t="n">
        <f aca="false">DEGREES(Beta)</f>
        <v>74.6052907608909</v>
      </c>
      <c r="P243" s="399" t="n">
        <f aca="false">MATCH(t-pas/2-T_ini,CdP_t)</f>
        <v>23</v>
      </c>
      <c r="Q243" s="397" t="n">
        <f aca="false">(INDEX(CdP,2,i_P+1)-INDEX(CdP,2,i_P+0))/(INDEX(CdP,1,i_P+1)-INDEX(CdP,1,i_P+0))*(t-pas/2-T_ini-INDEX(CdP,1,i_P+0))+INDEX(CdP,2,i_P+0)</f>
        <v>0</v>
      </c>
      <c r="R243" s="396" t="n">
        <f aca="false">Poussee/(g*ISP)</f>
        <v>0</v>
      </c>
      <c r="S243" s="398" t="n">
        <f aca="false">S242-Débit*pas</f>
        <v>8.45</v>
      </c>
      <c r="T243" s="397" t="n">
        <f aca="false">m*g</f>
        <v>82.8945</v>
      </c>
      <c r="U243" s="400" t="n">
        <f aca="false">IF(pos_xz&lt;L_rampe,Poids*COS(Beta),0)</f>
        <v>0</v>
      </c>
      <c r="V243" s="396" t="n">
        <f aca="false">Rho_moyen*(20000-Alt_rampe-pos_z)/(20000+Alt_rampe+pos_z)</f>
        <v>1.13403677277339</v>
      </c>
      <c r="W243" s="397" t="n">
        <f aca="false">1/2*Rho*Sref*Cx*vit_xz^2</f>
        <v>47.8055411962833</v>
      </c>
      <c r="Y243" s="401" t="str">
        <f aca="false">IF(AND(pos_z&lt;=0,K242&gt;0),"Impact balistique","") &amp; IF(AND(H244&lt;0,vit_z&gt;=0),"Apogée","") &amp; IF(AND(Poussee=0,Q242&gt;0),"Fin de propulsion","") &amp; IF(AND(L244&gt;L_rampe,pos_xz&lt;=L_rampe),"Sortie de rampe","")</f>
        <v/>
      </c>
      <c r="Z243" s="406" t="str">
        <f aca="false">IF(ABS(t-T_para)&lt;pas/2,"Para","")</f>
        <v/>
      </c>
      <c r="AA243" s="403" t="str">
        <f aca="false">IF(ABS(t-T_satellite)&lt;pas/2,"Satellite","")</f>
        <v/>
      </c>
      <c r="AC243" s="399" t="e">
        <f aca="false">IF(ABS(t-ROUND(t,0))&lt;0.001,t,NA())</f>
        <v>#N/A</v>
      </c>
      <c r="AD243" s="404" t="e">
        <f aca="false">IF(ABS(t-ROUND(t,0))&lt;0.001,pos_x,NA())</f>
        <v>#N/A</v>
      </c>
      <c r="AE243" s="405" t="n">
        <f aca="false">IF(t&lt;T_para, pos_z, NA())</f>
        <v>771.189565813081</v>
      </c>
      <c r="AG243" s="396" t="n">
        <f aca="false">IF(AND(L242&lt;L_rampe,Poussee&lt;Poids*SIN(M242)),0,(-W242+Poussee)/m-Poids*SIN(M242)/m)</f>
        <v>-15.2924250699631</v>
      </c>
      <c r="AH243" s="397" t="n">
        <f aca="false">IF(AND(L242&lt;L_rampe,Poussee&lt;Poids*SIN(M242)), g*SIN(M242), (-W242+Poussee)/m)</f>
        <v>-5.82808589707025</v>
      </c>
    </row>
    <row r="244" customFormat="false" ht="12.75" hidden="false" customHeight="false" outlineLevel="0" collapsed="false">
      <c r="A244" s="396" t="n">
        <f aca="false">IF(B243+0.01&lt;=T_ini+ROUNDUP(Temps_fin_propu,0), 0.01, IF(K243&gt;0, 0.1, 0.0001))</f>
        <v>0.1</v>
      </c>
      <c r="B244" s="397" t="n">
        <f aca="false">B243+pas</f>
        <v>6</v>
      </c>
      <c r="D244" s="396" t="n">
        <f aca="false">IF(AND(L243&lt;L_rampe,Poussee&lt;Poids*SIN(M243)),0,(-W243+Poussee)/m*COS(M243)-U243/m*SIN(M243))</f>
        <v>-1.50186957839058</v>
      </c>
      <c r="E244" s="398" t="n">
        <f aca="false">IF(AND(L243&lt;L_rampe,Poussee&lt;Poids*SIN(M243)),0,(-W243+Poussee)/m*SIN(M243)+U243/m*COS(M243)-Poids/m)</f>
        <v>-15.2644703720996</v>
      </c>
      <c r="F244" s="397" t="n">
        <f aca="false">SQRT(acc_x^2+acc_z^2)</f>
        <v>15.3381768137938</v>
      </c>
      <c r="G244" s="396" t="n">
        <f aca="false">G243+acc_x*pas</f>
        <v>27.9476227981387</v>
      </c>
      <c r="H244" s="398" t="n">
        <f aca="false">H243+acc_z*pas</f>
        <v>100.518812444712</v>
      </c>
      <c r="I244" s="397" t="n">
        <f aca="false">SQRT(vit_x^2+vit_z^2)</f>
        <v>104.331688740105</v>
      </c>
      <c r="J244" s="396" t="n">
        <f aca="false">J243+0.5*(vit_x+G243)*pas*(K243&gt;=0)</f>
        <v>174.346973556911</v>
      </c>
      <c r="K244" s="398" t="n">
        <f aca="false">K243+0.5*(vit_z+H243)*pas</f>
        <v>781.317769409413</v>
      </c>
      <c r="L244" s="397" t="n">
        <f aca="false">SQRT(pos_x^2+pos_z^2)</f>
        <v>800.533774417641</v>
      </c>
      <c r="M244" s="396" t="n">
        <f aca="false">IF(AND(L243&gt;L_rampe,G244&gt;0),ATAN2(G244,H244),$M$4)</f>
        <v>1.29961185208531</v>
      </c>
      <c r="N244" s="397" t="n">
        <f aca="false">DEGREES(Beta)</f>
        <v>74.4622741296685</v>
      </c>
      <c r="P244" s="399" t="n">
        <f aca="false">MATCH(t-pas/2-T_ini,CdP_t)</f>
        <v>23</v>
      </c>
      <c r="Q244" s="397" t="n">
        <f aca="false">(INDEX(CdP,2,i_P+1)-INDEX(CdP,2,i_P+0))/(INDEX(CdP,1,i_P+1)-INDEX(CdP,1,i_P+0))*(t-pas/2-T_ini-INDEX(CdP,1,i_P+0))+INDEX(CdP,2,i_P+0)</f>
        <v>0</v>
      </c>
      <c r="R244" s="396" t="n">
        <f aca="false">Poussee/(g*ISP)</f>
        <v>0</v>
      </c>
      <c r="S244" s="398" t="n">
        <f aca="false">S243-Débit*pas</f>
        <v>8.45</v>
      </c>
      <c r="T244" s="397" t="n">
        <f aca="false">m*g</f>
        <v>82.8945</v>
      </c>
      <c r="U244" s="400" t="n">
        <f aca="false">IF(pos_xz&lt;L_rampe,Poids*COS(Beta),0)</f>
        <v>0</v>
      </c>
      <c r="V244" s="396" t="n">
        <f aca="false">Rho_moyen*(20000-Alt_rampe-pos_z)/(20000+Alt_rampe+pos_z)</f>
        <v>1.13288704757353</v>
      </c>
      <c r="W244" s="397" t="n">
        <f aca="false">1/2*Rho*Sref*Cx*vit_xz^2</f>
        <v>46.4030612626522</v>
      </c>
      <c r="Y244" s="401" t="str">
        <f aca="false">IF(AND(pos_z&lt;=0,K243&gt;0),"Impact balistique","") &amp; IF(AND(H245&lt;0,vit_z&gt;=0),"Apogée","") &amp; IF(AND(Poussee=0,Q243&gt;0),"Fin de propulsion","") &amp; IF(AND(L245&gt;L_rampe,pos_xz&lt;=L_rampe),"Sortie de rampe","")</f>
        <v/>
      </c>
      <c r="Z244" s="406" t="str">
        <f aca="false">IF(ABS(t-T_para)&lt;pas/2,"Para","")</f>
        <v/>
      </c>
      <c r="AA244" s="403" t="str">
        <f aca="false">IF(ABS(t-T_satellite)&lt;pas/2,"Satellite","")</f>
        <v/>
      </c>
      <c r="AC244" s="399" t="n">
        <f aca="false">IF(ABS(t-ROUND(t,0))&lt;0.001,t,NA())</f>
        <v>6</v>
      </c>
      <c r="AD244" s="404" t="n">
        <f aca="false">IF(ABS(t-ROUND(t,0))&lt;0.001,pos_x,NA())</f>
        <v>174.346973556911</v>
      </c>
      <c r="AE244" s="405" t="n">
        <f aca="false">IF(t&lt;T_para, pos_z, NA())</f>
        <v>781.317769409413</v>
      </c>
      <c r="AG244" s="396" t="n">
        <f aca="false">IF(AND(L243&lt;L_rampe,Poussee&lt;Poids*SIN(M243)),0,(-W243+Poussee)/m-Poids*SIN(M243)/m)</f>
        <v>-15.1154769303777</v>
      </c>
      <c r="AH244" s="397" t="n">
        <f aca="false">IF(AND(L243&lt;L_rampe,Poussee&lt;Poids*SIN(M243)), g*SIN(M243), (-W243+Poussee)/m)</f>
        <v>-5.65746049660157</v>
      </c>
    </row>
    <row r="245" customFormat="false" ht="12.75" hidden="false" customHeight="false" outlineLevel="0" collapsed="false">
      <c r="A245" s="396" t="n">
        <f aca="false">IF(B244+0.01&lt;=T_ini+ROUNDUP(Temps_fin_propu,0), 0.01, IF(K244&gt;0, 0.1, 0.0001))</f>
        <v>0.1</v>
      </c>
      <c r="B245" s="397" t="n">
        <f aca="false">B244+pas</f>
        <v>6.1</v>
      </c>
      <c r="D245" s="396" t="n">
        <f aca="false">IF(AND(L244&lt;L_rampe,Poussee&lt;Poids*SIN(M244)),0,(-W244+Poussee)/m*COS(M244)-U244/m*SIN(M244))</f>
        <v>-1.47101993913025</v>
      </c>
      <c r="E245" s="398" t="n">
        <f aca="false">IF(AND(L244&lt;L_rampe,Poussee&lt;Poids*SIN(M244)),0,(-W244+Poussee)/m*SIN(M244)+U244/m*COS(M244)-Poids/m)</f>
        <v>-15.1007962309307</v>
      </c>
      <c r="F245" s="397" t="n">
        <f aca="false">SQRT(acc_x^2+acc_z^2)</f>
        <v>15.1722755863914</v>
      </c>
      <c r="G245" s="396" t="n">
        <f aca="false">G244+acc_x*pas</f>
        <v>27.8005208042256</v>
      </c>
      <c r="H245" s="398" t="n">
        <f aca="false">H244+acc_z*pas</f>
        <v>99.0087328216187</v>
      </c>
      <c r="I245" s="397" t="n">
        <f aca="false">SQRT(vit_x^2+vit_z^2)</f>
        <v>102.837727181851</v>
      </c>
      <c r="J245" s="396" t="n">
        <f aca="false">J244+0.5*(vit_x+G244)*pas*(K244&gt;=0)</f>
        <v>177.13438073703</v>
      </c>
      <c r="K245" s="398" t="n">
        <f aca="false">K244+0.5*(vit_z+H244)*pas</f>
        <v>791.294146672729</v>
      </c>
      <c r="L245" s="397" t="n">
        <f aca="false">SQRT(pos_x^2+pos_z^2)</f>
        <v>810.877928789293</v>
      </c>
      <c r="M245" s="396" t="n">
        <f aca="false">IF(AND(L244&gt;L_rampe,G245&gt;0),ATAN2(G245,H245),$M$4)</f>
        <v>1.29705653001307</v>
      </c>
      <c r="N245" s="397" t="n">
        <f aca="false">DEGREES(Beta)</f>
        <v>74.3158649596325</v>
      </c>
      <c r="P245" s="399" t="n">
        <f aca="false">MATCH(t-pas/2-T_ini,CdP_t)</f>
        <v>23</v>
      </c>
      <c r="Q245" s="397" t="n">
        <f aca="false">(INDEX(CdP,2,i_P+1)-INDEX(CdP,2,i_P+0))/(INDEX(CdP,1,i_P+1)-INDEX(CdP,1,i_P+0))*(t-pas/2-T_ini-INDEX(CdP,1,i_P+0))+INDEX(CdP,2,i_P+0)</f>
        <v>0</v>
      </c>
      <c r="R245" s="396" t="n">
        <f aca="false">Poussee/(g*ISP)</f>
        <v>0</v>
      </c>
      <c r="S245" s="398" t="n">
        <f aca="false">S244-Débit*pas</f>
        <v>8.45</v>
      </c>
      <c r="T245" s="397" t="n">
        <f aca="false">m*g</f>
        <v>82.8945</v>
      </c>
      <c r="U245" s="400" t="n">
        <f aca="false">IF(pos_xz&lt;L_rampe,Poids*COS(Beta),0)</f>
        <v>0</v>
      </c>
      <c r="V245" s="396" t="n">
        <f aca="false">Rho_moyen*(20000-Alt_rampe-pos_z)/(20000+Alt_rampe+pos_z)</f>
        <v>1.13175565235758</v>
      </c>
      <c r="W245" s="397" t="n">
        <f aca="false">1/2*Rho*Sref*Cx*vit_xz^2</f>
        <v>45.0386286449391</v>
      </c>
      <c r="Y245" s="401" t="str">
        <f aca="false">IF(AND(pos_z&lt;=0,K244&gt;0),"Impact balistique","") &amp; IF(AND(H246&lt;0,vit_z&gt;=0),"Apogée","") &amp; IF(AND(Poussee=0,Q244&gt;0),"Fin de propulsion","") &amp; IF(AND(L246&gt;L_rampe,pos_xz&lt;=L_rampe),"Sortie de rampe","")</f>
        <v/>
      </c>
      <c r="Z245" s="406" t="str">
        <f aca="false">IF(ABS(t-T_para)&lt;pas/2,"Para","")</f>
        <v/>
      </c>
      <c r="AA245" s="403" t="str">
        <f aca="false">IF(ABS(t-T_satellite)&lt;pas/2,"Satellite","")</f>
        <v/>
      </c>
      <c r="AC245" s="399" t="e">
        <f aca="false">IF(ABS(t-ROUND(t,0))&lt;0.001,t,NA())</f>
        <v>#N/A</v>
      </c>
      <c r="AD245" s="404" t="e">
        <f aca="false">IF(ABS(t-ROUND(t,0))&lt;0.001,pos_x,NA())</f>
        <v>#N/A</v>
      </c>
      <c r="AE245" s="405" t="n">
        <f aca="false">IF(t&lt;T_para, pos_z, NA())</f>
        <v>791.294146672729</v>
      </c>
      <c r="AG245" s="396" t="n">
        <f aca="false">IF(AND(L244&lt;L_rampe,Poussee&lt;Poids*SIN(M244)),0,(-W244+Poussee)/m-Poids*SIN(M244)/m)</f>
        <v>-14.9429730632817</v>
      </c>
      <c r="AH245" s="397" t="n">
        <f aca="false">IF(AND(L244&lt;L_rampe,Poussee&lt;Poids*SIN(M244)), g*SIN(M244), (-W244+Poussee)/m)</f>
        <v>-5.49148653995884</v>
      </c>
    </row>
    <row r="246" customFormat="false" ht="12.75" hidden="false" customHeight="false" outlineLevel="0" collapsed="false">
      <c r="A246" s="396" t="n">
        <f aca="false">IF(B245+0.01&lt;=T_ini+ROUNDUP(Temps_fin_propu,0), 0.01, IF(K245&gt;0, 0.1, 0.0001))</f>
        <v>0.1</v>
      </c>
      <c r="B246" s="397" t="n">
        <f aca="false">B245+pas</f>
        <v>6.2</v>
      </c>
      <c r="D246" s="396" t="n">
        <f aca="false">IF(AND(L245&lt;L_rampe,Poussee&lt;Poids*SIN(M245)),0,(-W245+Poussee)/m*COS(M245)-U245/m*SIN(M245))</f>
        <v>-1.4408836444495</v>
      </c>
      <c r="E246" s="398" t="n">
        <f aca="false">IF(AND(L245&lt;L_rampe,Poussee&lt;Poids*SIN(M245)),0,(-W245+Poussee)/m*SIN(M245)+U245/m*COS(M245)-Poids/m)</f>
        <v>-14.941560836035</v>
      </c>
      <c r="F246" s="397" t="n">
        <f aca="false">SQRT(acc_x^2+acc_z^2)</f>
        <v>15.0108755871794</v>
      </c>
      <c r="G246" s="396" t="n">
        <f aca="false">G245+acc_x*pas</f>
        <v>27.6564324397807</v>
      </c>
      <c r="H246" s="398" t="n">
        <f aca="false">H245+acc_z*pas</f>
        <v>97.5145767380152</v>
      </c>
      <c r="I246" s="397" t="n">
        <f aca="false">SQRT(vit_x^2+vit_z^2)</f>
        <v>101.360598516832</v>
      </c>
      <c r="J246" s="396" t="n">
        <f aca="false">J245+0.5*(vit_x+G245)*pas*(K245&gt;=0)</f>
        <v>179.90722839923</v>
      </c>
      <c r="K246" s="398" t="n">
        <f aca="false">K245+0.5*(vit_z+H245)*pas</f>
        <v>801.120312150711</v>
      </c>
      <c r="L246" s="397" t="n">
        <f aca="false">SQRT(pos_x^2+pos_z^2)</f>
        <v>821.072691891982</v>
      </c>
      <c r="M246" s="396" t="n">
        <f aca="false">IF(AND(L245&gt;L_rampe,G246&gt;0),ATAN2(G246,H246),$M$4)</f>
        <v>1.29444015014522</v>
      </c>
      <c r="N246" s="397" t="n">
        <f aca="false">DEGREES(Beta)</f>
        <v>74.1659574356019</v>
      </c>
      <c r="P246" s="399" t="n">
        <f aca="false">MATCH(t-pas/2-T_ini,CdP_t)</f>
        <v>23</v>
      </c>
      <c r="Q246" s="397" t="n">
        <f aca="false">(INDEX(CdP,2,i_P+1)-INDEX(CdP,2,i_P+0))/(INDEX(CdP,1,i_P+1)-INDEX(CdP,1,i_P+0))*(t-pas/2-T_ini-INDEX(CdP,1,i_P+0))+INDEX(CdP,2,i_P+0)</f>
        <v>0</v>
      </c>
      <c r="R246" s="396" t="n">
        <f aca="false">Poussee/(g*ISP)</f>
        <v>0</v>
      </c>
      <c r="S246" s="398" t="n">
        <f aca="false">S245-Débit*pas</f>
        <v>8.45</v>
      </c>
      <c r="T246" s="397" t="n">
        <f aca="false">m*g</f>
        <v>82.8945</v>
      </c>
      <c r="U246" s="400" t="n">
        <f aca="false">IF(pos_xz&lt;L_rampe,Poids*COS(Beta),0)</f>
        <v>0</v>
      </c>
      <c r="V246" s="396" t="n">
        <f aca="false">Rho_moyen*(20000-Alt_rampe-pos_z)/(20000+Alt_rampe+pos_z)</f>
        <v>1.13064235313697</v>
      </c>
      <c r="W246" s="397" t="n">
        <f aca="false">1/2*Rho*Sref*Cx*vit_xz^2</f>
        <v>43.7110389600305</v>
      </c>
      <c r="Y246" s="401" t="str">
        <f aca="false">IF(AND(pos_z&lt;=0,K245&gt;0),"Impact balistique","") &amp; IF(AND(H247&lt;0,vit_z&gt;=0),"Apogée","") &amp; IF(AND(Poussee=0,Q245&gt;0),"Fin de propulsion","") &amp; IF(AND(L247&gt;L_rampe,pos_xz&lt;=L_rampe),"Sortie de rampe","")</f>
        <v/>
      </c>
      <c r="Z246" s="406" t="str">
        <f aca="false">IF(ABS(t-T_para)&lt;pas/2,"Para","")</f>
        <v/>
      </c>
      <c r="AA246" s="403" t="str">
        <f aca="false">IF(ABS(t-T_satellite)&lt;pas/2,"Satellite","")</f>
        <v/>
      </c>
      <c r="AC246" s="399" t="e">
        <f aca="false">IF(ABS(t-ROUND(t,0))&lt;0.001,t,NA())</f>
        <v>#N/A</v>
      </c>
      <c r="AD246" s="404" t="e">
        <f aca="false">IF(ABS(t-ROUND(t,0))&lt;0.001,pos_x,NA())</f>
        <v>#N/A</v>
      </c>
      <c r="AE246" s="405" t="n">
        <f aca="false">IF(t&lt;T_para, pos_z, NA())</f>
        <v>801.120312150711</v>
      </c>
      <c r="AG246" s="396" t="n">
        <f aca="false">IF(AND(L245&lt;L_rampe,Poussee&lt;Poids*SIN(M245)),0,(-W245+Poussee)/m-Poids*SIN(M245)/m)</f>
        <v>-14.7747559395214</v>
      </c>
      <c r="AH246" s="397" t="n">
        <f aca="false">IF(AND(L245&lt;L_rampe,Poussee&lt;Poids*SIN(M245)), g*SIN(M245), (-W245+Poussee)/m)</f>
        <v>-5.33001522425315</v>
      </c>
    </row>
    <row r="247" customFormat="false" ht="12.75" hidden="false" customHeight="false" outlineLevel="0" collapsed="false">
      <c r="A247" s="396" t="n">
        <f aca="false">IF(B246+0.01&lt;=T_ini+ROUNDUP(Temps_fin_propu,0), 0.01, IF(K246&gt;0, 0.1, 0.0001))</f>
        <v>0.1</v>
      </c>
      <c r="B247" s="397" t="n">
        <f aca="false">B246+pas</f>
        <v>6.29999999999999</v>
      </c>
      <c r="D247" s="396" t="n">
        <f aca="false">IF(AND(L246&lt;L_rampe,Poussee&lt;Poids*SIN(M246)),0,(-W246+Poussee)/m*COS(M246)-U246/m*SIN(M246))</f>
        <v>-1.41143671811967</v>
      </c>
      <c r="E247" s="398" t="n">
        <f aca="false">IF(AND(L246&lt;L_rampe,Poussee&lt;Poids*SIN(M246)),0,(-W246+Poussee)/m*SIN(M246)+U246/m*COS(M246)-Poids/m)</f>
        <v>-14.7866235923459</v>
      </c>
      <c r="F247" s="397" t="n">
        <f aca="false">SQRT(acc_x^2+acc_z^2)</f>
        <v>14.8538342144706</v>
      </c>
      <c r="G247" s="396" t="n">
        <f aca="false">G246+acc_x*pas</f>
        <v>27.5152887679687</v>
      </c>
      <c r="H247" s="398" t="n">
        <f aca="false">H246+acc_z*pas</f>
        <v>96.0359143787806</v>
      </c>
      <c r="I247" s="397" t="n">
        <f aca="false">SQRT(vit_x^2+vit_z^2)</f>
        <v>99.8998897224276</v>
      </c>
      <c r="J247" s="396" t="n">
        <f aca="false">J246+0.5*(vit_x+G246)*pas*(K246&gt;=0)</f>
        <v>182.665814459617</v>
      </c>
      <c r="K247" s="398" t="n">
        <f aca="false">K246+0.5*(vit_z+H246)*pas</f>
        <v>810.797836706551</v>
      </c>
      <c r="L247" s="397" t="n">
        <f aca="false">SQRT(pos_x^2+pos_z^2)</f>
        <v>831.119685593006</v>
      </c>
      <c r="M247" s="396" t="n">
        <f aca="false">IF(AND(L246&gt;L_rampe,G247&gt;0),ATAN2(G247,H247),$M$4)</f>
        <v>1.29176078743297</v>
      </c>
      <c r="N247" s="397" t="n">
        <f aca="false">DEGREES(Beta)</f>
        <v>74.0124412604051</v>
      </c>
      <c r="P247" s="399" t="n">
        <f aca="false">MATCH(t-pas/2-T_ini,CdP_t)</f>
        <v>23</v>
      </c>
      <c r="Q247" s="397" t="n">
        <f aca="false">(INDEX(CdP,2,i_P+1)-INDEX(CdP,2,i_P+0))/(INDEX(CdP,1,i_P+1)-INDEX(CdP,1,i_P+0))*(t-pas/2-T_ini-INDEX(CdP,1,i_P+0))+INDEX(CdP,2,i_P+0)</f>
        <v>0</v>
      </c>
      <c r="R247" s="396" t="n">
        <f aca="false">Poussee/(g*ISP)</f>
        <v>0</v>
      </c>
      <c r="S247" s="398" t="n">
        <f aca="false">S246-Débit*pas</f>
        <v>8.45</v>
      </c>
      <c r="T247" s="397" t="n">
        <f aca="false">m*g</f>
        <v>82.8945</v>
      </c>
      <c r="U247" s="400" t="n">
        <f aca="false">IF(pos_xz&lt;L_rampe,Poids*COS(Beta),0)</f>
        <v>0</v>
      </c>
      <c r="V247" s="396" t="n">
        <f aca="false">Rho_moyen*(20000-Alt_rampe-pos_z)/(20000+Alt_rampe+pos_z)</f>
        <v>1.12954692244296</v>
      </c>
      <c r="W247" s="397" t="n">
        <f aca="false">1/2*Rho*Sref*Cx*vit_xz^2</f>
        <v>42.4191382078935</v>
      </c>
      <c r="Y247" s="401" t="str">
        <f aca="false">IF(AND(pos_z&lt;=0,K246&gt;0),"Impact balistique","") &amp; IF(AND(H248&lt;0,vit_z&gt;=0),"Apogée","") &amp; IF(AND(Poussee=0,Q246&gt;0),"Fin de propulsion","") &amp; IF(AND(L248&gt;L_rampe,pos_xz&lt;=L_rampe),"Sortie de rampe","")</f>
        <v/>
      </c>
      <c r="Z247" s="406" t="str">
        <f aca="false">IF(ABS(t-T_para)&lt;pas/2,"Para","")</f>
        <v/>
      </c>
      <c r="AA247" s="403" t="str">
        <f aca="false">IF(ABS(t-T_satellite)&lt;pas/2,"Satellite","")</f>
        <v/>
      </c>
      <c r="AC247" s="399" t="e">
        <f aca="false">IF(ABS(t-ROUND(t,0))&lt;0.001,t,NA())</f>
        <v>#N/A</v>
      </c>
      <c r="AD247" s="404" t="e">
        <f aca="false">IF(ABS(t-ROUND(t,0))&lt;0.001,pos_x,NA())</f>
        <v>#N/A</v>
      </c>
      <c r="AE247" s="405" t="n">
        <f aca="false">IF(t&lt;T_para, pos_z, NA())</f>
        <v>810.797836706551</v>
      </c>
      <c r="AG247" s="396" t="n">
        <f aca="false">IF(AND(L246&lt;L_rampe,Poussee&lt;Poids*SIN(M246)),0,(-W246+Poussee)/m-Poids*SIN(M246)/m)</f>
        <v>-14.6106738407206</v>
      </c>
      <c r="AH247" s="397" t="n">
        <f aca="false">IF(AND(L246&lt;L_rampe,Poussee&lt;Poids*SIN(M246)), g*SIN(M246), (-W246+Poussee)/m)</f>
        <v>-5.17290401893852</v>
      </c>
    </row>
    <row r="248" customFormat="false" ht="12.75" hidden="false" customHeight="false" outlineLevel="0" collapsed="false">
      <c r="A248" s="396" t="n">
        <f aca="false">IF(B247+0.01&lt;=T_ini+ROUNDUP(Temps_fin_propu,0), 0.01, IF(K247&gt;0, 0.1, 0.0001))</f>
        <v>0.1</v>
      </c>
      <c r="B248" s="397" t="n">
        <f aca="false">B247+pas</f>
        <v>6.39999999999999</v>
      </c>
      <c r="D248" s="396" t="n">
        <f aca="false">IF(AND(L247&lt;L_rampe,Poussee&lt;Poids*SIN(M247)),0,(-W247+Poussee)/m*COS(M247)-U247/m*SIN(M247))</f>
        <v>-1.38265617747983</v>
      </c>
      <c r="E248" s="398" t="n">
        <f aca="false">IF(AND(L247&lt;L_rampe,Poussee&lt;Poids*SIN(M247)),0,(-W247+Poussee)/m*SIN(M247)+U247/m*COS(M247)-Poids/m)</f>
        <v>-14.6358497810251</v>
      </c>
      <c r="F248" s="397" t="n">
        <f aca="false">SQRT(acc_x^2+acc_z^2)</f>
        <v>14.7010148261219</v>
      </c>
      <c r="G248" s="396" t="n">
        <f aca="false">G247+acc_x*pas</f>
        <v>27.3770231502207</v>
      </c>
      <c r="H248" s="398" t="n">
        <f aca="false">H247+acc_z*pas</f>
        <v>94.5723294006781</v>
      </c>
      <c r="I248" s="397" t="n">
        <f aca="false">SQRT(vit_x^2+vit_z^2)</f>
        <v>98.4552024264746</v>
      </c>
      <c r="J248" s="396" t="n">
        <f aca="false">J247+0.5*(vit_x+G247)*pas*(K247&gt;=0)</f>
        <v>185.410430055527</v>
      </c>
      <c r="K248" s="398" t="n">
        <f aca="false">K247+0.5*(vit_z+H247)*pas</f>
        <v>820.328248895524</v>
      </c>
      <c r="L248" s="397" t="n">
        <f aca="false">SQRT(pos_x^2+pos_z^2)</f>
        <v>841.020489351699</v>
      </c>
      <c r="M248" s="396" t="n">
        <f aca="false">IF(AND(L247&gt;L_rampe,G248&gt;0),ATAN2(G248,H248),$M$4)</f>
        <v>1.28901643458256</v>
      </c>
      <c r="N248" s="397" t="n">
        <f aca="false">DEGREES(Beta)</f>
        <v>73.8552014245818</v>
      </c>
      <c r="P248" s="399" t="n">
        <f aca="false">MATCH(t-pas/2-T_ini,CdP_t)</f>
        <v>23</v>
      </c>
      <c r="Q248" s="397" t="n">
        <f aca="false">(INDEX(CdP,2,i_P+1)-INDEX(CdP,2,i_P+0))/(INDEX(CdP,1,i_P+1)-INDEX(CdP,1,i_P+0))*(t-pas/2-T_ini-INDEX(CdP,1,i_P+0))+INDEX(CdP,2,i_P+0)</f>
        <v>0</v>
      </c>
      <c r="R248" s="396" t="n">
        <f aca="false">Poussee/(g*ISP)</f>
        <v>0</v>
      </c>
      <c r="S248" s="398" t="n">
        <f aca="false">S247-Débit*pas</f>
        <v>8.45</v>
      </c>
      <c r="T248" s="397" t="n">
        <f aca="false">m*g</f>
        <v>82.8945</v>
      </c>
      <c r="U248" s="400" t="n">
        <f aca="false">IF(pos_xz&lt;L_rampe,Poids*COS(Beta),0)</f>
        <v>0</v>
      </c>
      <c r="V248" s="396" t="n">
        <f aca="false">Rho_moyen*(20000-Alt_rampe-pos_z)/(20000+Alt_rampe+pos_z)</f>
        <v>1.12846913911405</v>
      </c>
      <c r="W248" s="397" t="n">
        <f aca="false">1/2*Rho*Sref*Cx*vit_xz^2</f>
        <v>41.1618203048352</v>
      </c>
      <c r="Y248" s="401" t="str">
        <f aca="false">IF(AND(pos_z&lt;=0,K247&gt;0),"Impact balistique","") &amp; IF(AND(H249&lt;0,vit_z&gt;=0),"Apogée","") &amp; IF(AND(Poussee=0,Q247&gt;0),"Fin de propulsion","") &amp; IF(AND(L249&gt;L_rampe,pos_xz&lt;=L_rampe),"Sortie de rampe","")</f>
        <v/>
      </c>
      <c r="Z248" s="406" t="str">
        <f aca="false">IF(ABS(t-T_para)&lt;pas/2,"Para","")</f>
        <v/>
      </c>
      <c r="AA248" s="403" t="str">
        <f aca="false">IF(ABS(t-T_satellite)&lt;pas/2,"Satellite","")</f>
        <v/>
      </c>
      <c r="AC248" s="399" t="e">
        <f aca="false">IF(ABS(t-ROUND(t,0))&lt;0.001,t,NA())</f>
        <v>#N/A</v>
      </c>
      <c r="AD248" s="404" t="e">
        <f aca="false">IF(ABS(t-ROUND(t,0))&lt;0.001,pos_x,NA())</f>
        <v>#N/A</v>
      </c>
      <c r="AE248" s="405" t="n">
        <f aca="false">IF(t&lt;T_para, pos_z, NA())</f>
        <v>820.328248895524</v>
      </c>
      <c r="AG248" s="396" t="n">
        <f aca="false">IF(AND(L247&lt;L_rampe,Poussee&lt;Poids*SIN(M247)),0,(-W247+Poussee)/m-Poids*SIN(M247)/m)</f>
        <v>-14.4505805204839</v>
      </c>
      <c r="AH248" s="397" t="n">
        <f aca="false">IF(AND(L247&lt;L_rampe,Poussee&lt;Poids*SIN(M247)), g*SIN(M247), (-W247+Poussee)/m)</f>
        <v>-5.02001635596373</v>
      </c>
    </row>
    <row r="249" customFormat="false" ht="12.75" hidden="false" customHeight="false" outlineLevel="0" collapsed="false">
      <c r="A249" s="396" t="n">
        <f aca="false">IF(B248+0.01&lt;=T_ini+ROUNDUP(Temps_fin_propu,0), 0.01, IF(K248&gt;0, 0.1, 0.0001))</f>
        <v>0.1</v>
      </c>
      <c r="B249" s="397" t="n">
        <f aca="false">B248+pas</f>
        <v>6.49999999999999</v>
      </c>
      <c r="D249" s="396" t="n">
        <f aca="false">IF(AND(L248&lt;L_rampe,Poussee&lt;Poids*SIN(M248)),0,(-W248+Poussee)/m*COS(M248)-U248/m*SIN(M248))</f>
        <v>-1.35451998522647</v>
      </c>
      <c r="E249" s="398" t="n">
        <f aca="false">IF(AND(L248&lt;L_rampe,Poussee&lt;Poids*SIN(M248)),0,(-W248+Poussee)/m*SIN(M248)+U248/m*COS(M248)-Poids/m)</f>
        <v>-14.4891102714031</v>
      </c>
      <c r="F249" s="397" t="n">
        <f aca="false">SQRT(acc_x^2+acc_z^2)</f>
        <v>14.5522864474026</v>
      </c>
      <c r="G249" s="396" t="n">
        <f aca="false">G248+acc_x*pas</f>
        <v>27.2415711516981</v>
      </c>
      <c r="H249" s="398" t="n">
        <f aca="false">H248+acc_z*pas</f>
        <v>93.1234183735378</v>
      </c>
      <c r="I249" s="397" t="n">
        <f aca="false">SQRT(vit_x^2+vit_z^2)</f>
        <v>97.0261523940117</v>
      </c>
      <c r="J249" s="396" t="n">
        <f aca="false">J248+0.5*(vit_x+G248)*pas*(K248&gt;=0)</f>
        <v>188.141359770623</v>
      </c>
      <c r="K249" s="398" t="n">
        <f aca="false">K248+0.5*(vit_z+H248)*pas</f>
        <v>829.713036284235</v>
      </c>
      <c r="L249" s="397" t="n">
        <f aca="false">SQRT(pos_x^2+pos_z^2)</f>
        <v>850.776641567187</v>
      </c>
      <c r="M249" s="396" t="n">
        <f aca="false">IF(AND(L248&gt;L_rampe,G249&gt;0),ATAN2(G249,H249),$M$4)</f>
        <v>1.28620499779248</v>
      </c>
      <c r="N249" s="397" t="n">
        <f aca="false">DEGREES(Beta)</f>
        <v>73.6941179621423</v>
      </c>
      <c r="P249" s="399" t="n">
        <f aca="false">MATCH(t-pas/2-T_ini,CdP_t)</f>
        <v>23</v>
      </c>
      <c r="Q249" s="397" t="n">
        <f aca="false">(INDEX(CdP,2,i_P+1)-INDEX(CdP,2,i_P+0))/(INDEX(CdP,1,i_P+1)-INDEX(CdP,1,i_P+0))*(t-pas/2-T_ini-INDEX(CdP,1,i_P+0))+INDEX(CdP,2,i_P+0)</f>
        <v>0</v>
      </c>
      <c r="R249" s="396" t="n">
        <f aca="false">Poussee/(g*ISP)</f>
        <v>0</v>
      </c>
      <c r="S249" s="398" t="n">
        <f aca="false">S248-Débit*pas</f>
        <v>8.45</v>
      </c>
      <c r="T249" s="397" t="n">
        <f aca="false">m*g</f>
        <v>82.8945</v>
      </c>
      <c r="U249" s="400" t="n">
        <f aca="false">IF(pos_xz&lt;L_rampe,Poids*COS(Beta),0)</f>
        <v>0</v>
      </c>
      <c r="V249" s="396" t="n">
        <f aca="false">Rho_moyen*(20000-Alt_rampe-pos_z)/(20000+Alt_rampe+pos_z)</f>
        <v>1.1274087880925</v>
      </c>
      <c r="W249" s="397" t="n">
        <f aca="false">1/2*Rho*Sref*Cx*vit_xz^2</f>
        <v>39.9380247583079</v>
      </c>
      <c r="Y249" s="401" t="str">
        <f aca="false">IF(AND(pos_z&lt;=0,K248&gt;0),"Impact balistique","") &amp; IF(AND(H250&lt;0,vit_z&gt;=0),"Apogée","") &amp; IF(AND(Poussee=0,Q248&gt;0),"Fin de propulsion","") &amp; IF(AND(L250&gt;L_rampe,pos_xz&lt;=L_rampe),"Sortie de rampe","")</f>
        <v/>
      </c>
      <c r="Z249" s="406" t="str">
        <f aca="false">IF(ABS(t-T_para)&lt;pas/2,"Para","")</f>
        <v/>
      </c>
      <c r="AA249" s="403" t="str">
        <f aca="false">IF(ABS(t-T_satellite)&lt;pas/2,"Satellite","")</f>
        <v/>
      </c>
      <c r="AC249" s="399" t="e">
        <f aca="false">IF(ABS(t-ROUND(t,0))&lt;0.001,t,NA())</f>
        <v>#N/A</v>
      </c>
      <c r="AD249" s="404" t="e">
        <f aca="false">IF(ABS(t-ROUND(t,0))&lt;0.001,pos_x,NA())</f>
        <v>#N/A</v>
      </c>
      <c r="AE249" s="405" t="n">
        <f aca="false">IF(t&lt;T_para, pos_z, NA())</f>
        <v>829.713036284235</v>
      </c>
      <c r="AG249" s="396" t="n">
        <f aca="false">IF(AND(L248&lt;L_rampe,Poussee&lt;Poids*SIN(M248)),0,(-W248+Poussee)/m-Poids*SIN(M248)/m)</f>
        <v>-14.2943348814286</v>
      </c>
      <c r="AH249" s="397" t="n">
        <f aca="false">IF(AND(L248&lt;L_rampe,Poussee&lt;Poids*SIN(M248)), g*SIN(M248), (-W248+Poussee)/m)</f>
        <v>-4.87122133785033</v>
      </c>
    </row>
    <row r="250" customFormat="false" ht="12.75" hidden="false" customHeight="false" outlineLevel="0" collapsed="false">
      <c r="A250" s="396" t="n">
        <f aca="false">IF(B249+0.01&lt;=T_ini+ROUNDUP(Temps_fin_propu,0), 0.01, IF(K249&gt;0, 0.1, 0.0001))</f>
        <v>0.1</v>
      </c>
      <c r="B250" s="397" t="n">
        <f aca="false">B249+pas</f>
        <v>6.59999999999999</v>
      </c>
      <c r="D250" s="396" t="n">
        <f aca="false">IF(AND(L249&lt;L_rampe,Poussee&lt;Poids*SIN(M249)),0,(-W249+Poussee)/m*COS(M249)-U249/m*SIN(M249))</f>
        <v>-1.32700700402246</v>
      </c>
      <c r="E250" s="398" t="n">
        <f aca="false">IF(AND(L249&lt;L_rampe,Poussee&lt;Poids*SIN(M249)),0,(-W249+Poussee)/m*SIN(M249)+U249/m*COS(M249)-Poids/m)</f>
        <v>-14.3462812494204</v>
      </c>
      <c r="F250" s="397" t="n">
        <f aca="false">SQRT(acc_x^2+acc_z^2)</f>
        <v>14.4075234955975</v>
      </c>
      <c r="G250" s="396" t="n">
        <f aca="false">G249+acc_x*pas</f>
        <v>27.1088704512958</v>
      </c>
      <c r="H250" s="398" t="n">
        <f aca="false">H249+acc_z*pas</f>
        <v>91.6887902485957</v>
      </c>
      <c r="I250" s="397" t="n">
        <f aca="false">SQRT(vit_x^2+vit_z^2)</f>
        <v>95.612369044994</v>
      </c>
      <c r="J250" s="396" t="n">
        <f aca="false">J249+0.5*(vit_x+G249)*pas*(K249&gt;=0)</f>
        <v>190.858881850772</v>
      </c>
      <c r="K250" s="398" t="n">
        <f aca="false">K249+0.5*(vit_z+H249)*pas</f>
        <v>838.953646715341</v>
      </c>
      <c r="L250" s="397" t="n">
        <f aca="false">SQRT(pos_x^2+pos_z^2)</f>
        <v>860.389640871098</v>
      </c>
      <c r="M250" s="396" t="n">
        <f aca="false">IF(AND(L249&gt;L_rampe,G250&gt;0),ATAN2(G250,H250),$M$4)</f>
        <v>1.28332429223064</v>
      </c>
      <c r="N250" s="397" t="n">
        <f aca="false">DEGREES(Beta)</f>
        <v>73.5290656914291</v>
      </c>
      <c r="P250" s="399" t="n">
        <f aca="false">MATCH(t-pas/2-T_ini,CdP_t)</f>
        <v>23</v>
      </c>
      <c r="Q250" s="397" t="n">
        <f aca="false">(INDEX(CdP,2,i_P+1)-INDEX(CdP,2,i_P+0))/(INDEX(CdP,1,i_P+1)-INDEX(CdP,1,i_P+0))*(t-pas/2-T_ini-INDEX(CdP,1,i_P+0))+INDEX(CdP,2,i_P+0)</f>
        <v>0</v>
      </c>
      <c r="R250" s="396" t="n">
        <f aca="false">Poussee/(g*ISP)</f>
        <v>0</v>
      </c>
      <c r="S250" s="398" t="n">
        <f aca="false">S249-Débit*pas</f>
        <v>8.45</v>
      </c>
      <c r="T250" s="397" t="n">
        <f aca="false">m*g</f>
        <v>82.8945</v>
      </c>
      <c r="U250" s="400" t="n">
        <f aca="false">IF(pos_xz&lt;L_rampe,Poids*COS(Beta),0)</f>
        <v>0</v>
      </c>
      <c r="V250" s="396" t="n">
        <f aca="false">Rho_moyen*(20000-Alt_rampe-pos_z)/(20000+Alt_rampe+pos_z)</f>
        <v>1.12636566022946</v>
      </c>
      <c r="W250" s="397" t="n">
        <f aca="false">1/2*Rho*Sref*Cx*vit_xz^2</f>
        <v>38.7467344740587</v>
      </c>
      <c r="Y250" s="401" t="str">
        <f aca="false">IF(AND(pos_z&lt;=0,K249&gt;0),"Impact balistique","") &amp; IF(AND(H251&lt;0,vit_z&gt;=0),"Apogée","") &amp; IF(AND(Poussee=0,Q249&gt;0),"Fin de propulsion","") &amp; IF(AND(L251&gt;L_rampe,pos_xz&lt;=L_rampe),"Sortie de rampe","")</f>
        <v/>
      </c>
      <c r="Z250" s="406" t="str">
        <f aca="false">IF(ABS(t-T_para)&lt;pas/2,"Para","")</f>
        <v/>
      </c>
      <c r="AA250" s="403" t="str">
        <f aca="false">IF(ABS(t-T_satellite)&lt;pas/2,"Satellite","")</f>
        <v/>
      </c>
      <c r="AC250" s="399" t="e">
        <f aca="false">IF(ABS(t-ROUND(t,0))&lt;0.001,t,NA())</f>
        <v>#N/A</v>
      </c>
      <c r="AD250" s="404" t="e">
        <f aca="false">IF(ABS(t-ROUND(t,0))&lt;0.001,pos_x,NA())</f>
        <v>#N/A</v>
      </c>
      <c r="AE250" s="405" t="n">
        <f aca="false">IF(t&lt;T_para, pos_z, NA())</f>
        <v>838.953646715341</v>
      </c>
      <c r="AG250" s="396" t="n">
        <f aca="false">IF(AND(L249&lt;L_rampe,Poussee&lt;Poids*SIN(M249)),0,(-W249+Poussee)/m-Poids*SIN(M249)/m)</f>
        <v>-14.1418006667012</v>
      </c>
      <c r="AH250" s="397" t="n">
        <f aca="false">IF(AND(L249&lt;L_rampe,Poussee&lt;Poids*SIN(M249)), g*SIN(M249), (-W249+Poussee)/m)</f>
        <v>-4.72639346252165</v>
      </c>
    </row>
    <row r="251" customFormat="false" ht="12.75" hidden="false" customHeight="false" outlineLevel="0" collapsed="false">
      <c r="A251" s="396" t="n">
        <f aca="false">IF(B250+0.01&lt;=T_ini+ROUNDUP(Temps_fin_propu,0), 0.01, IF(K250&gt;0, 0.1, 0.0001))</f>
        <v>0.1</v>
      </c>
      <c r="B251" s="397" t="n">
        <f aca="false">B250+pas</f>
        <v>6.69999999999999</v>
      </c>
      <c r="D251" s="396" t="n">
        <f aca="false">IF(AND(L250&lt;L_rampe,Poussee&lt;Poids*SIN(M250)),0,(-W250+Poussee)/m*COS(M250)-U250/m*SIN(M250))</f>
        <v>-1.30009695374626</v>
      </c>
      <c r="E251" s="398" t="n">
        <f aca="false">IF(AND(L250&lt;L_rampe,Poussee&lt;Poids*SIN(M250)),0,(-W250+Poussee)/m*SIN(M250)+U250/m*COS(M250)-Poids/m)</f>
        <v>-14.2072439614938</v>
      </c>
      <c r="F251" s="397" t="n">
        <f aca="false">SQRT(acc_x^2+acc_z^2)</f>
        <v>14.266605520254</v>
      </c>
      <c r="G251" s="396" t="n">
        <f aca="false">G250+acc_x*pas</f>
        <v>26.9788607559212</v>
      </c>
      <c r="H251" s="398" t="n">
        <f aca="false">H250+acc_z*pas</f>
        <v>90.2680658524464</v>
      </c>
      <c r="I251" s="397" t="n">
        <f aca="false">SQRT(vit_x^2+vit_z^2)</f>
        <v>94.2134950016662</v>
      </c>
      <c r="J251" s="396" t="n">
        <f aca="false">J250+0.5*(vit_x+G250)*pas*(K250&gt;=0)</f>
        <v>193.563268411133</v>
      </c>
      <c r="K251" s="398" t="n">
        <f aca="false">K250+0.5*(vit_z+H250)*pas</f>
        <v>848.051489520393</v>
      </c>
      <c r="L251" s="397" t="n">
        <f aca="false">SQRT(pos_x^2+pos_z^2)</f>
        <v>869.860947367887</v>
      </c>
      <c r="M251" s="396" t="n">
        <f aca="false">IF(AND(L250&gt;L_rampe,G251&gt;0),ATAN2(G251,H251),$M$4)</f>
        <v>1.28037203723369</v>
      </c>
      <c r="N251" s="397" t="n">
        <f aca="false">DEGREES(Beta)</f>
        <v>73.3599139400576</v>
      </c>
      <c r="P251" s="399" t="n">
        <f aca="false">MATCH(t-pas/2-T_ini,CdP_t)</f>
        <v>23</v>
      </c>
      <c r="Q251" s="397" t="n">
        <f aca="false">(INDEX(CdP,2,i_P+1)-INDEX(CdP,2,i_P+0))/(INDEX(CdP,1,i_P+1)-INDEX(CdP,1,i_P+0))*(t-pas/2-T_ini-INDEX(CdP,1,i_P+0))+INDEX(CdP,2,i_P+0)</f>
        <v>0</v>
      </c>
      <c r="R251" s="396" t="n">
        <f aca="false">Poussee/(g*ISP)</f>
        <v>0</v>
      </c>
      <c r="S251" s="398" t="n">
        <f aca="false">S250-Débit*pas</f>
        <v>8.45</v>
      </c>
      <c r="T251" s="397" t="n">
        <f aca="false">m*g</f>
        <v>82.8945</v>
      </c>
      <c r="U251" s="400" t="n">
        <f aca="false">IF(pos_xz&lt;L_rampe,Poids*COS(Beta),0)</f>
        <v>0</v>
      </c>
      <c r="V251" s="396" t="n">
        <f aca="false">Rho_moyen*(20000-Alt_rampe-pos_z)/(20000+Alt_rampe+pos_z)</f>
        <v>1.12533955209822</v>
      </c>
      <c r="W251" s="397" t="n">
        <f aca="false">1/2*Rho*Sref*Cx*vit_xz^2</f>
        <v>37.5869736870919</v>
      </c>
      <c r="Y251" s="401" t="str">
        <f aca="false">IF(AND(pos_z&lt;=0,K250&gt;0),"Impact balistique","") &amp; IF(AND(H252&lt;0,vit_z&gt;=0),"Apogée","") &amp; IF(AND(Poussee=0,Q250&gt;0),"Fin de propulsion","") &amp; IF(AND(L252&gt;L_rampe,pos_xz&lt;=L_rampe),"Sortie de rampe","")</f>
        <v/>
      </c>
      <c r="Z251" s="406" t="str">
        <f aca="false">IF(ABS(t-T_para)&lt;pas/2,"Para","")</f>
        <v/>
      </c>
      <c r="AA251" s="403" t="str">
        <f aca="false">IF(ABS(t-T_satellite)&lt;pas/2,"Satellite","")</f>
        <v/>
      </c>
      <c r="AC251" s="399" t="e">
        <f aca="false">IF(ABS(t-ROUND(t,0))&lt;0.001,t,NA())</f>
        <v>#N/A</v>
      </c>
      <c r="AD251" s="404" t="e">
        <f aca="false">IF(ABS(t-ROUND(t,0))&lt;0.001,pos_x,NA())</f>
        <v>#N/A</v>
      </c>
      <c r="AE251" s="405" t="n">
        <f aca="false">IF(t&lt;T_para, pos_z, NA())</f>
        <v>848.051489520393</v>
      </c>
      <c r="AG251" s="396" t="n">
        <f aca="false">IF(AND(L250&lt;L_rampe,Poussee&lt;Poids*SIN(M250)),0,(-W250+Poussee)/m-Poids*SIN(M250)/m)</f>
        <v>-13.9928461647015</v>
      </c>
      <c r="AH251" s="397" t="n">
        <f aca="false">IF(AND(L250&lt;L_rampe,Poussee&lt;Poids*SIN(M250)), g*SIN(M250), (-W250+Poussee)/m)</f>
        <v>-4.58541236379393</v>
      </c>
    </row>
    <row r="252" customFormat="false" ht="12.75" hidden="false" customHeight="false" outlineLevel="0" collapsed="false">
      <c r="A252" s="396" t="n">
        <f aca="false">IF(B251+0.01&lt;=T_ini+ROUNDUP(Temps_fin_propu,0), 0.01, IF(K251&gt;0, 0.1, 0.0001))</f>
        <v>0.1</v>
      </c>
      <c r="B252" s="397" t="n">
        <f aca="false">B251+pas</f>
        <v>6.79999999999999</v>
      </c>
      <c r="D252" s="396" t="n">
        <f aca="false">IF(AND(L251&lt;L_rampe,Poussee&lt;Poids*SIN(M251)),0,(-W251+Poussee)/m*COS(M251)-U251/m*SIN(M251))</f>
        <v>-1.27377037121609</v>
      </c>
      <c r="E252" s="398" t="n">
        <f aca="false">IF(AND(L251&lt;L_rampe,Poussee&lt;Poids*SIN(M251)),0,(-W251+Poussee)/m*SIN(M251)+U251/m*COS(M251)-Poids/m)</f>
        <v>-14.0718844728124</v>
      </c>
      <c r="F252" s="397" t="n">
        <f aca="false">SQRT(acc_x^2+acc_z^2)</f>
        <v>14.1294169580619</v>
      </c>
      <c r="G252" s="396" t="n">
        <f aca="false">G251+acc_x*pas</f>
        <v>26.8514837187996</v>
      </c>
      <c r="H252" s="398" t="n">
        <f aca="false">H251+acc_z*pas</f>
        <v>88.8608774051651</v>
      </c>
      <c r="I252" s="397" t="n">
        <f aca="false">SQRT(vit_x^2+vit_z^2)</f>
        <v>92.8291856644059</v>
      </c>
      <c r="J252" s="396" t="n">
        <f aca="false">J251+0.5*(vit_x+G251)*pas*(K251&gt;=0)</f>
        <v>196.254785634869</v>
      </c>
      <c r="K252" s="398" t="n">
        <f aca="false">K251+0.5*(vit_z+H251)*pas</f>
        <v>857.007936683274</v>
      </c>
      <c r="L252" s="397" t="n">
        <f aca="false">SQRT(pos_x^2+pos_z^2)</f>
        <v>879.191983825325</v>
      </c>
      <c r="M252" s="396" t="n">
        <f aca="false">IF(AND(L251&gt;L_rampe,G252&gt;0),ATAN2(G252,H252),$M$4)</f>
        <v>1.27734585120922</v>
      </c>
      <c r="N252" s="397" t="n">
        <f aca="false">DEGREES(Beta)</f>
        <v>73.186526252834</v>
      </c>
      <c r="P252" s="399" t="n">
        <f aca="false">MATCH(t-pas/2-T_ini,CdP_t)</f>
        <v>23</v>
      </c>
      <c r="Q252" s="397" t="n">
        <f aca="false">(INDEX(CdP,2,i_P+1)-INDEX(CdP,2,i_P+0))/(INDEX(CdP,1,i_P+1)-INDEX(CdP,1,i_P+0))*(t-pas/2-T_ini-INDEX(CdP,1,i_P+0))+INDEX(CdP,2,i_P+0)</f>
        <v>0</v>
      </c>
      <c r="R252" s="396" t="n">
        <f aca="false">Poussee/(g*ISP)</f>
        <v>0</v>
      </c>
      <c r="S252" s="398" t="n">
        <f aca="false">S251-Débit*pas</f>
        <v>8.45</v>
      </c>
      <c r="T252" s="397" t="n">
        <f aca="false">m*g</f>
        <v>82.8945</v>
      </c>
      <c r="U252" s="400" t="n">
        <f aca="false">IF(pos_xz&lt;L_rampe,Poids*COS(Beta),0)</f>
        <v>0</v>
      </c>
      <c r="V252" s="396" t="n">
        <f aca="false">Rho_moyen*(20000-Alt_rampe-pos_z)/(20000+Alt_rampe+pos_z)</f>
        <v>1.1243302658153</v>
      </c>
      <c r="W252" s="397" t="n">
        <f aca="false">1/2*Rho*Sref*Cx*vit_xz^2</f>
        <v>36.4578060085288</v>
      </c>
      <c r="Y252" s="401" t="str">
        <f aca="false">IF(AND(pos_z&lt;=0,K251&gt;0),"Impact balistique","") &amp; IF(AND(H253&lt;0,vit_z&gt;=0),"Apogée","") &amp; IF(AND(Poussee=0,Q251&gt;0),"Fin de propulsion","") &amp; IF(AND(L253&gt;L_rampe,pos_xz&lt;=L_rampe),"Sortie de rampe","")</f>
        <v/>
      </c>
      <c r="Z252" s="406" t="str">
        <f aca="false">IF(ABS(t-T_para)&lt;pas/2,"Para","")</f>
        <v/>
      </c>
      <c r="AA252" s="403" t="str">
        <f aca="false">IF(ABS(t-T_satellite)&lt;pas/2,"Satellite","")</f>
        <v/>
      </c>
      <c r="AC252" s="399" t="e">
        <f aca="false">IF(ABS(t-ROUND(t,0))&lt;0.001,t,NA())</f>
        <v>#N/A</v>
      </c>
      <c r="AD252" s="404" t="e">
        <f aca="false">IF(ABS(t-ROUND(t,0))&lt;0.001,pos_x,NA())</f>
        <v>#N/A</v>
      </c>
      <c r="AE252" s="405" t="n">
        <f aca="false">IF(t&lt;T_para, pos_z, NA())</f>
        <v>857.007936683274</v>
      </c>
      <c r="AG252" s="396" t="n">
        <f aca="false">IF(AND(L251&lt;L_rampe,Poussee&lt;Poids*SIN(M251)),0,(-W251+Poussee)/m-Poids*SIN(M251)/m)</f>
        <v>-13.8473439258021</v>
      </c>
      <c r="AH252" s="397" t="n">
        <f aca="false">IF(AND(L251&lt;L_rampe,Poussee&lt;Poids*SIN(M251)), g*SIN(M251), (-W251+Poussee)/m)</f>
        <v>-4.44816256651976</v>
      </c>
    </row>
    <row r="253" customFormat="false" ht="12.75" hidden="false" customHeight="false" outlineLevel="0" collapsed="false">
      <c r="A253" s="396" t="n">
        <f aca="false">IF(B252+0.01&lt;=T_ini+ROUNDUP(Temps_fin_propu,0), 0.01, IF(K252&gt;0, 0.1, 0.0001))</f>
        <v>0.1</v>
      </c>
      <c r="B253" s="397" t="n">
        <f aca="false">B252+pas</f>
        <v>6.89999999999999</v>
      </c>
      <c r="D253" s="396" t="n">
        <f aca="false">IF(AND(L252&lt;L_rampe,Poussee&lt;Poids*SIN(M252)),0,(-W252+Poussee)/m*COS(M252)-U252/m*SIN(M252))</f>
        <v>-1.24800857223593</v>
      </c>
      <c r="E253" s="398" t="n">
        <f aca="false">IF(AND(L252&lt;L_rampe,Poussee&lt;Poids*SIN(M252)),0,(-W252+Poussee)/m*SIN(M252)+U252/m*COS(M252)-Poids/m)</f>
        <v>-13.9400934391349</v>
      </c>
      <c r="F253" s="397" t="n">
        <f aca="false">SQRT(acc_x^2+acc_z^2)</f>
        <v>13.9958469014271</v>
      </c>
      <c r="G253" s="396" t="n">
        <f aca="false">G252+acc_x*pas</f>
        <v>26.726682861576</v>
      </c>
      <c r="H253" s="398" t="n">
        <f aca="false">H252+acc_z*pas</f>
        <v>87.4668680612516</v>
      </c>
      <c r="I253" s="397" t="n">
        <f aca="false">SQRT(vit_x^2+vit_z^2)</f>
        <v>91.4591088149653</v>
      </c>
      <c r="J253" s="396" t="n">
        <f aca="false">J252+0.5*(vit_x+G252)*pas*(K252&gt;=0)</f>
        <v>198.933693963888</v>
      </c>
      <c r="K253" s="398" t="n">
        <f aca="false">K252+0.5*(vit_z+H252)*pas</f>
        <v>865.824323956595</v>
      </c>
      <c r="L253" s="397" t="n">
        <f aca="false">SQRT(pos_x^2+pos_z^2)</f>
        <v>888.384136817521</v>
      </c>
      <c r="M253" s="396" t="n">
        <f aca="false">IF(AND(L252&gt;L_rampe,G253&gt;0),ATAN2(G253,H253),$M$4)</f>
        <v>1.27424324622019</v>
      </c>
      <c r="N253" s="397" t="n">
        <f aca="false">DEGREES(Beta)</f>
        <v>73.0087600814664</v>
      </c>
      <c r="P253" s="399" t="n">
        <f aca="false">MATCH(t-pas/2-T_ini,CdP_t)</f>
        <v>23</v>
      </c>
      <c r="Q253" s="397" t="n">
        <f aca="false">(INDEX(CdP,2,i_P+1)-INDEX(CdP,2,i_P+0))/(INDEX(CdP,1,i_P+1)-INDEX(CdP,1,i_P+0))*(t-pas/2-T_ini-INDEX(CdP,1,i_P+0))+INDEX(CdP,2,i_P+0)</f>
        <v>0</v>
      </c>
      <c r="R253" s="396" t="n">
        <f aca="false">Poussee/(g*ISP)</f>
        <v>0</v>
      </c>
      <c r="S253" s="398" t="n">
        <f aca="false">S252-Débit*pas</f>
        <v>8.45</v>
      </c>
      <c r="T253" s="397" t="n">
        <f aca="false">m*g</f>
        <v>82.8945</v>
      </c>
      <c r="U253" s="400" t="n">
        <f aca="false">IF(pos_xz&lt;L_rampe,Poids*COS(Beta),0)</f>
        <v>0</v>
      </c>
      <c r="V253" s="396" t="n">
        <f aca="false">Rho_moyen*(20000-Alt_rampe-pos_z)/(20000+Alt_rampe+pos_z)</f>
        <v>1.12333760886896</v>
      </c>
      <c r="W253" s="397" t="n">
        <f aca="false">1/2*Rho*Sref*Cx*vit_xz^2</f>
        <v>35.3583325810153</v>
      </c>
      <c r="Y253" s="401" t="str">
        <f aca="false">IF(AND(pos_z&lt;=0,K252&gt;0),"Impact balistique","") &amp; IF(AND(H254&lt;0,vit_z&gt;=0),"Apogée","") &amp; IF(AND(Poussee=0,Q252&gt;0),"Fin de propulsion","") &amp; IF(AND(L254&gt;L_rampe,pos_xz&lt;=L_rampe),"Sortie de rampe","")</f>
        <v/>
      </c>
      <c r="Z253" s="406" t="str">
        <f aca="false">IF(ABS(t-T_para)&lt;pas/2,"Para","")</f>
        <v/>
      </c>
      <c r="AA253" s="403" t="str">
        <f aca="false">IF(ABS(t-T_satellite)&lt;pas/2,"Satellite","")</f>
        <v/>
      </c>
      <c r="AC253" s="399" t="e">
        <f aca="false">IF(ABS(t-ROUND(t,0))&lt;0.001,t,NA())</f>
        <v>#N/A</v>
      </c>
      <c r="AD253" s="404" t="e">
        <f aca="false">IF(ABS(t-ROUND(t,0))&lt;0.001,pos_x,NA())</f>
        <v>#N/A</v>
      </c>
      <c r="AE253" s="405" t="n">
        <f aca="false">IF(t&lt;T_para, pos_z, NA())</f>
        <v>865.824323956595</v>
      </c>
      <c r="AG253" s="396" t="n">
        <f aca="false">IF(AND(L252&lt;L_rampe,Poussee&lt;Poids*SIN(M252)),0,(-W252+Poussee)/m-Poids*SIN(M252)/m)</f>
        <v>-13.7051704899061</v>
      </c>
      <c r="AH253" s="397" t="n">
        <f aca="false">IF(AND(L252&lt;L_rampe,Poussee&lt;Poids*SIN(M252)), g*SIN(M252), (-W252+Poussee)/m)</f>
        <v>-4.31453325544719</v>
      </c>
    </row>
    <row r="254" customFormat="false" ht="12.75" hidden="false" customHeight="false" outlineLevel="0" collapsed="false">
      <c r="A254" s="396" t="n">
        <f aca="false">IF(B253+0.01&lt;=T_ini+ROUNDUP(Temps_fin_propu,0), 0.01, IF(K253&gt;0, 0.1, 0.0001))</f>
        <v>0.1</v>
      </c>
      <c r="B254" s="397" t="n">
        <f aca="false">B253+pas</f>
        <v>6.99999999999999</v>
      </c>
      <c r="D254" s="396" t="n">
        <f aca="false">IF(AND(L253&lt;L_rampe,Poussee&lt;Poids*SIN(M253)),0,(-W253+Poussee)/m*COS(M253)-U253/m*SIN(M253))</f>
        <v>-1.22279361582172</v>
      </c>
      <c r="E254" s="398" t="n">
        <f aca="false">IF(AND(L253&lt;L_rampe,Poussee&lt;Poids*SIN(M253)),0,(-W253+Poussee)/m*SIN(M253)+U253/m*COS(M253)-Poids/m)</f>
        <v>-13.8117658912316</v>
      </c>
      <c r="F254" s="397" t="n">
        <f aca="false">SQRT(acc_x^2+acc_z^2)</f>
        <v>13.8657888798684</v>
      </c>
      <c r="G254" s="396" t="n">
        <f aca="false">G253+acc_x*pas</f>
        <v>26.6044034999938</v>
      </c>
      <c r="H254" s="398" t="n">
        <f aca="false">H253+acc_z*pas</f>
        <v>86.0856914721285</v>
      </c>
      <c r="I254" s="397" t="n">
        <f aca="false">SQRT(vit_x^2+vit_z^2)</f>
        <v>90.1029442461509</v>
      </c>
      <c r="J254" s="396" t="n">
        <f aca="false">J253+0.5*(vit_x+G253)*pas*(K253&gt;=0)</f>
        <v>201.600248281967</v>
      </c>
      <c r="K254" s="398" t="n">
        <f aca="false">K253+0.5*(vit_z+H253)*pas</f>
        <v>874.501951933264</v>
      </c>
      <c r="L254" s="397" t="n">
        <f aca="false">SQRT(pos_x^2+pos_z^2)</f>
        <v>897.438757822749</v>
      </c>
      <c r="M254" s="396" t="n">
        <f aca="false">IF(AND(L253&gt;L_rampe,G254&gt;0),ATAN2(G254,H254),$M$4)</f>
        <v>1.27106162222939</v>
      </c>
      <c r="N254" s="397" t="n">
        <f aca="false">DEGREES(Beta)</f>
        <v>72.826466454796</v>
      </c>
      <c r="P254" s="399" t="n">
        <f aca="false">MATCH(t-pas/2-T_ini,CdP_t)</f>
        <v>23</v>
      </c>
      <c r="Q254" s="397" t="n">
        <f aca="false">(INDEX(CdP,2,i_P+1)-INDEX(CdP,2,i_P+0))/(INDEX(CdP,1,i_P+1)-INDEX(CdP,1,i_P+0))*(t-pas/2-T_ini-INDEX(CdP,1,i_P+0))+INDEX(CdP,2,i_P+0)</f>
        <v>0</v>
      </c>
      <c r="R254" s="396" t="n">
        <f aca="false">Poussee/(g*ISP)</f>
        <v>0</v>
      </c>
      <c r="S254" s="398" t="n">
        <f aca="false">S253-Débit*pas</f>
        <v>8.45</v>
      </c>
      <c r="T254" s="397" t="n">
        <f aca="false">m*g</f>
        <v>82.8945</v>
      </c>
      <c r="U254" s="400" t="n">
        <f aca="false">IF(pos_xz&lt;L_rampe,Poids*COS(Beta),0)</f>
        <v>0</v>
      </c>
      <c r="V254" s="396" t="n">
        <f aca="false">Rho_moyen*(20000-Alt_rampe-pos_z)/(20000+Alt_rampe+pos_z)</f>
        <v>1.12236139395469</v>
      </c>
      <c r="W254" s="397" t="n">
        <f aca="false">1/2*Rho*Sref*Cx*vit_xz^2</f>
        <v>34.2876903358526</v>
      </c>
      <c r="Y254" s="401" t="str">
        <f aca="false">IF(AND(pos_z&lt;=0,K253&gt;0),"Impact balistique","") &amp; IF(AND(H255&lt;0,vit_z&gt;=0),"Apogée","") &amp; IF(AND(Poussee=0,Q253&gt;0),"Fin de propulsion","") &amp; IF(AND(L255&gt;L_rampe,pos_xz&lt;=L_rampe),"Sortie de rampe","")</f>
        <v/>
      </c>
      <c r="Z254" s="406" t="str">
        <f aca="false">IF(ABS(t-T_para)&lt;pas/2,"Para","")</f>
        <v/>
      </c>
      <c r="AA254" s="403" t="str">
        <f aca="false">IF(ABS(t-T_satellite)&lt;pas/2,"Satellite","")</f>
        <v/>
      </c>
      <c r="AC254" s="399" t="n">
        <f aca="false">IF(ABS(t-ROUND(t,0))&lt;0.001,t,NA())</f>
        <v>6.99999999999999</v>
      </c>
      <c r="AD254" s="404" t="n">
        <f aca="false">IF(ABS(t-ROUND(t,0))&lt;0.001,pos_x,NA())</f>
        <v>201.600248281967</v>
      </c>
      <c r="AE254" s="405" t="n">
        <f aca="false">IF(t&lt;T_para, pos_z, NA())</f>
        <v>874.501951933264</v>
      </c>
      <c r="AG254" s="396" t="n">
        <f aca="false">IF(AND(L253&lt;L_rampe,Poussee&lt;Poids*SIN(M253)),0,(-W253+Poussee)/m-Poids*SIN(M253)/m)</f>
        <v>-13.5662061237301</v>
      </c>
      <c r="AH254" s="397" t="n">
        <f aca="false">IF(AND(L253&lt;L_rampe,Poussee&lt;Poids*SIN(M253)), g*SIN(M253), (-W253+Poussee)/m)</f>
        <v>-4.18441805692488</v>
      </c>
    </row>
    <row r="255" customFormat="false" ht="12.75" hidden="false" customHeight="false" outlineLevel="0" collapsed="false">
      <c r="A255" s="396" t="n">
        <f aca="false">IF(B254+0.01&lt;=T_ini+ROUNDUP(Temps_fin_propu,0), 0.01, IF(K254&gt;0, 0.1, 0.0001))</f>
        <v>0.1</v>
      </c>
      <c r="B255" s="397" t="n">
        <f aca="false">B254+pas</f>
        <v>7.09999999999999</v>
      </c>
      <c r="D255" s="396" t="n">
        <f aca="false">IF(AND(L254&lt;L_rampe,Poussee&lt;Poids*SIN(M254)),0,(-W254+Poussee)/m*COS(M254)-U254/m*SIN(M254))</f>
        <v>-1.19810827047659</v>
      </c>
      <c r="E255" s="398" t="n">
        <f aca="false">IF(AND(L254&lt;L_rampe,Poussee&lt;Poids*SIN(M254)),0,(-W254+Poussee)/m*SIN(M254)+U254/m*COS(M254)-Poids/m)</f>
        <v>-13.6868010311706</v>
      </c>
      <c r="F255" s="397" t="n">
        <f aca="false">SQRT(acc_x^2+acc_z^2)</f>
        <v>13.7391406534265</v>
      </c>
      <c r="G255" s="396" t="n">
        <f aca="false">G254+acc_x*pas</f>
        <v>26.4845926729462</v>
      </c>
      <c r="H255" s="398" t="n">
        <f aca="false">H254+acc_z*pas</f>
        <v>84.7170113690114</v>
      </c>
      <c r="I255" s="397" t="n">
        <f aca="false">SQRT(vit_x^2+vit_z^2)</f>
        <v>88.7603834170915</v>
      </c>
      <c r="J255" s="396" t="n">
        <f aca="false">J254+0.5*(vit_x+G254)*pas*(K254&gt;=0)</f>
        <v>204.254698090614</v>
      </c>
      <c r="K255" s="398" t="n">
        <f aca="false">K254+0.5*(vit_z+H254)*pas</f>
        <v>883.042087075321</v>
      </c>
      <c r="L255" s="397" t="n">
        <f aca="false">SQRT(pos_x^2+pos_z^2)</f>
        <v>906.357164278203</v>
      </c>
      <c r="M255" s="396" t="n">
        <f aca="false">IF(AND(L254&gt;L_rampe,G255&gt;0),ATAN2(G255,H255),$M$4)</f>
        <v>1.26779826097997</v>
      </c>
      <c r="N255" s="397" t="n">
        <f aca="false">DEGREES(Beta)</f>
        <v>72.6394896281777</v>
      </c>
      <c r="P255" s="399" t="n">
        <f aca="false">MATCH(t-pas/2-T_ini,CdP_t)</f>
        <v>23</v>
      </c>
      <c r="Q255" s="397" t="n">
        <f aca="false">(INDEX(CdP,2,i_P+1)-INDEX(CdP,2,i_P+0))/(INDEX(CdP,1,i_P+1)-INDEX(CdP,1,i_P+0))*(t-pas/2-T_ini-INDEX(CdP,1,i_P+0))+INDEX(CdP,2,i_P+0)</f>
        <v>0</v>
      </c>
      <c r="R255" s="396" t="n">
        <f aca="false">Poussee/(g*ISP)</f>
        <v>0</v>
      </c>
      <c r="S255" s="398" t="n">
        <f aca="false">S254-Débit*pas</f>
        <v>8.45</v>
      </c>
      <c r="T255" s="397" t="n">
        <f aca="false">m*g</f>
        <v>82.8945</v>
      </c>
      <c r="U255" s="400" t="n">
        <f aca="false">IF(pos_xz&lt;L_rampe,Poids*COS(Beta),0)</f>
        <v>0</v>
      </c>
      <c r="V255" s="396" t="n">
        <f aca="false">Rho_moyen*(20000-Alt_rampe-pos_z)/(20000+Alt_rampe+pos_z)</f>
        <v>1.1214014388175</v>
      </c>
      <c r="W255" s="397" t="n">
        <f aca="false">1/2*Rho*Sref*Cx*vit_xz^2</f>
        <v>33.2450503455034</v>
      </c>
      <c r="Y255" s="401" t="str">
        <f aca="false">IF(AND(pos_z&lt;=0,K254&gt;0),"Impact balistique","") &amp; IF(AND(H256&lt;0,vit_z&gt;=0),"Apogée","") &amp; IF(AND(Poussee=0,Q254&gt;0),"Fin de propulsion","") &amp; IF(AND(L256&gt;L_rampe,pos_xz&lt;=L_rampe),"Sortie de rampe","")</f>
        <v/>
      </c>
      <c r="Z255" s="406" t="str">
        <f aca="false">IF(ABS(t-T_para)&lt;pas/2,"Para","")</f>
        <v/>
      </c>
      <c r="AA255" s="403" t="str">
        <f aca="false">IF(ABS(t-T_satellite)&lt;pas/2,"Satellite","")</f>
        <v/>
      </c>
      <c r="AC255" s="399" t="e">
        <f aca="false">IF(ABS(t-ROUND(t,0))&lt;0.001,t,NA())</f>
        <v>#N/A</v>
      </c>
      <c r="AD255" s="404" t="e">
        <f aca="false">IF(ABS(t-ROUND(t,0))&lt;0.001,pos_x,NA())</f>
        <v>#N/A</v>
      </c>
      <c r="AE255" s="405" t="n">
        <f aca="false">IF(t&lt;T_para, pos_z, NA())</f>
        <v>883.042087075321</v>
      </c>
      <c r="AG255" s="396" t="n">
        <f aca="false">IF(AND(L254&lt;L_rampe,Poussee&lt;Poids*SIN(M254)),0,(-W254+Poussee)/m-Poids*SIN(M254)/m)</f>
        <v>-13.4303345667408</v>
      </c>
      <c r="AH255" s="397" t="n">
        <f aca="false">IF(AND(L254&lt;L_rampe,Poussee&lt;Poids*SIN(M254)), g*SIN(M254), (-W254+Poussee)/m)</f>
        <v>-4.05771483264528</v>
      </c>
    </row>
    <row r="256" customFormat="false" ht="12.75" hidden="false" customHeight="false" outlineLevel="0" collapsed="false">
      <c r="A256" s="396" t="n">
        <f aca="false">IF(B255+0.01&lt;=T_ini+ROUNDUP(Temps_fin_propu,0), 0.01, IF(K255&gt;0, 0.1, 0.0001))</f>
        <v>0.1</v>
      </c>
      <c r="B256" s="397" t="n">
        <f aca="false">B255+pas</f>
        <v>7.19999999999999</v>
      </c>
      <c r="D256" s="396" t="n">
        <f aca="false">IF(AND(L255&lt;L_rampe,Poussee&lt;Poids*SIN(M255)),0,(-W255+Poussee)/m*COS(M255)-U255/m*SIN(M255))</f>
        <v>-1.17393598239396</v>
      </c>
      <c r="E256" s="398" t="n">
        <f aca="false">IF(AND(L255&lt;L_rampe,Poussee&lt;Poids*SIN(M255)),0,(-W255+Poussee)/m*SIN(M255)+U255/m*COS(M255)-Poids/m)</f>
        <v>-13.5651020397059</v>
      </c>
      <c r="F256" s="397" t="n">
        <f aca="false">SQRT(acc_x^2+acc_z^2)</f>
        <v>13.615804017332</v>
      </c>
      <c r="G256" s="396" t="n">
        <f aca="false">G255+acc_x*pas</f>
        <v>26.3671990747068</v>
      </c>
      <c r="H256" s="398" t="n">
        <f aca="false">H255+acc_z*pas</f>
        <v>83.3605011650408</v>
      </c>
      <c r="I256" s="397" t="n">
        <f aca="false">SQRT(vit_x^2+vit_z^2)</f>
        <v>87.4311291333469</v>
      </c>
      <c r="J256" s="396" t="n">
        <f aca="false">J255+0.5*(vit_x+G255)*pas*(K255&gt;=0)</f>
        <v>206.897287677996</v>
      </c>
      <c r="K256" s="398" t="n">
        <f aca="false">K255+0.5*(vit_z+H255)*pas</f>
        <v>891.445962702023</v>
      </c>
      <c r="L256" s="397" t="n">
        <f aca="false">SQRT(pos_x^2+pos_z^2)</f>
        <v>915.140640593701</v>
      </c>
      <c r="M256" s="396" t="n">
        <f aca="false">IF(AND(L255&gt;L_rampe,G256&gt;0),ATAN2(G256,H256),$M$4)</f>
        <v>1.26445031948638</v>
      </c>
      <c r="N256" s="397" t="n">
        <f aca="false">DEGREES(Beta)</f>
        <v>72.4476667105382</v>
      </c>
      <c r="P256" s="399" t="n">
        <f aca="false">MATCH(t-pas/2-T_ini,CdP_t)</f>
        <v>23</v>
      </c>
      <c r="Q256" s="397" t="n">
        <f aca="false">(INDEX(CdP,2,i_P+1)-INDEX(CdP,2,i_P+0))/(INDEX(CdP,1,i_P+1)-INDEX(CdP,1,i_P+0))*(t-pas/2-T_ini-INDEX(CdP,1,i_P+0))+INDEX(CdP,2,i_P+0)</f>
        <v>0</v>
      </c>
      <c r="R256" s="396" t="n">
        <f aca="false">Poussee/(g*ISP)</f>
        <v>0</v>
      </c>
      <c r="S256" s="398" t="n">
        <f aca="false">S255-Débit*pas</f>
        <v>8.45</v>
      </c>
      <c r="T256" s="397" t="n">
        <f aca="false">m*g</f>
        <v>82.8945</v>
      </c>
      <c r="U256" s="400" t="n">
        <f aca="false">IF(pos_xz&lt;L_rampe,Poids*COS(Beta),0)</f>
        <v>0</v>
      </c>
      <c r="V256" s="396" t="n">
        <f aca="false">Rho_moyen*(20000-Alt_rampe-pos_z)/(20000+Alt_rampe+pos_z)</f>
        <v>1.12045756610054</v>
      </c>
      <c r="W256" s="397" t="n">
        <f aca="false">1/2*Rho*Sref*Cx*vit_xz^2</f>
        <v>32.2296162655734</v>
      </c>
      <c r="Y256" s="401" t="str">
        <f aca="false">IF(AND(pos_z&lt;=0,K255&gt;0),"Impact balistique","") &amp; IF(AND(H257&lt;0,vit_z&gt;=0),"Apogée","") &amp; IF(AND(Poussee=0,Q255&gt;0),"Fin de propulsion","") &amp; IF(AND(L257&gt;L_rampe,pos_xz&lt;=L_rampe),"Sortie de rampe","")</f>
        <v/>
      </c>
      <c r="Z256" s="406" t="str">
        <f aca="false">IF(ABS(t-T_para)&lt;pas/2,"Para","")</f>
        <v/>
      </c>
      <c r="AA256" s="403" t="str">
        <f aca="false">IF(ABS(t-T_satellite)&lt;pas/2,"Satellite","")</f>
        <v/>
      </c>
      <c r="AC256" s="399" t="e">
        <f aca="false">IF(ABS(t-ROUND(t,0))&lt;0.001,t,NA())</f>
        <v>#N/A</v>
      </c>
      <c r="AD256" s="404" t="e">
        <f aca="false">IF(ABS(t-ROUND(t,0))&lt;0.001,pos_x,NA())</f>
        <v>#N/A</v>
      </c>
      <c r="AE256" s="405" t="n">
        <f aca="false">IF(t&lt;T_para, pos_z, NA())</f>
        <v>891.445962702023</v>
      </c>
      <c r="AG256" s="396" t="n">
        <f aca="false">IF(AND(L255&lt;L_rampe,Poussee&lt;Poids*SIN(M255)),0,(-W255+Poussee)/m-Poids*SIN(M255)/m)</f>
        <v>-13.2974427847065</v>
      </c>
      <c r="AH256" s="397" t="n">
        <f aca="false">IF(AND(L255&lt;L_rampe,Poussee&lt;Poids*SIN(M255)), g*SIN(M255), (-W255+Poussee)/m)</f>
        <v>-3.93432548467495</v>
      </c>
    </row>
    <row r="257" customFormat="false" ht="12.75" hidden="false" customHeight="false" outlineLevel="0" collapsed="false">
      <c r="A257" s="396" t="n">
        <f aca="false">IF(B256+0.01&lt;=T_ini+ROUNDUP(Temps_fin_propu,0), 0.01, IF(K256&gt;0, 0.1, 0.0001))</f>
        <v>0.1</v>
      </c>
      <c r="B257" s="397" t="n">
        <f aca="false">B256+pas</f>
        <v>7.29999999999999</v>
      </c>
      <c r="D257" s="396" t="n">
        <f aca="false">IF(AND(L256&lt;L_rampe,Poussee&lt;Poids*SIN(M256)),0,(-W256+Poussee)/m*COS(M256)-U256/m*SIN(M256))</f>
        <v>-1.15026084547599</v>
      </c>
      <c r="E257" s="398" t="n">
        <f aca="false">IF(AND(L256&lt;L_rampe,Poussee&lt;Poids*SIN(M256)),0,(-W256+Poussee)/m*SIN(M256)+U256/m*COS(M256)-Poids/m)</f>
        <v>-13.4465758940768</v>
      </c>
      <c r="F257" s="397" t="n">
        <f aca="false">SQRT(acc_x^2+acc_z^2)</f>
        <v>13.4956846172323</v>
      </c>
      <c r="G257" s="396" t="n">
        <f aca="false">G256+acc_x*pas</f>
        <v>26.2521729901592</v>
      </c>
      <c r="H257" s="398" t="n">
        <f aca="false">H256+acc_z*pas</f>
        <v>82.0158435756331</v>
      </c>
      <c r="I257" s="397" t="n">
        <f aca="false">SQRT(vit_x^2+vit_z^2)</f>
        <v>86.1148952512164</v>
      </c>
      <c r="J257" s="396" t="n">
        <f aca="false">J256+0.5*(vit_x+G256)*pas*(K256&gt;=0)</f>
        <v>209.52825628124</v>
      </c>
      <c r="K257" s="398" t="n">
        <f aca="false">K256+0.5*(vit_z+H256)*pas</f>
        <v>899.714779939057</v>
      </c>
      <c r="L257" s="397" t="n">
        <f aca="false">SQRT(pos_x^2+pos_z^2)</f>
        <v>923.790439126235</v>
      </c>
      <c r="M257" s="396" t="n">
        <f aca="false">IF(AND(L256&gt;L_rampe,G257&gt;0),ATAN2(G257,H257),$M$4)</f>
        <v>1.261014823108</v>
      </c>
      <c r="N257" s="397" t="n">
        <f aca="false">DEGREES(Beta)</f>
        <v>72.2508272675244</v>
      </c>
      <c r="P257" s="399" t="n">
        <f aca="false">MATCH(t-pas/2-T_ini,CdP_t)</f>
        <v>23</v>
      </c>
      <c r="Q257" s="397" t="n">
        <f aca="false">(INDEX(CdP,2,i_P+1)-INDEX(CdP,2,i_P+0))/(INDEX(CdP,1,i_P+1)-INDEX(CdP,1,i_P+0))*(t-pas/2-T_ini-INDEX(CdP,1,i_P+0))+INDEX(CdP,2,i_P+0)</f>
        <v>0</v>
      </c>
      <c r="R257" s="396" t="n">
        <f aca="false">Poussee/(g*ISP)</f>
        <v>0</v>
      </c>
      <c r="S257" s="398" t="n">
        <f aca="false">S256-Débit*pas</f>
        <v>8.45</v>
      </c>
      <c r="T257" s="397" t="n">
        <f aca="false">m*g</f>
        <v>82.8945</v>
      </c>
      <c r="U257" s="400" t="n">
        <f aca="false">IF(pos_xz&lt;L_rampe,Poids*COS(Beta),0)</f>
        <v>0</v>
      </c>
      <c r="V257" s="396" t="n">
        <f aca="false">Rho_moyen*(20000-Alt_rampe-pos_z)/(20000+Alt_rampe+pos_z)</f>
        <v>1.11952960319982</v>
      </c>
      <c r="W257" s="397" t="n">
        <f aca="false">1/2*Rho*Sref*Cx*vit_xz^2</f>
        <v>31.2406228607756</v>
      </c>
      <c r="Y257" s="401" t="str">
        <f aca="false">IF(AND(pos_z&lt;=0,K256&gt;0),"Impact balistique","") &amp; IF(AND(H258&lt;0,vit_z&gt;=0),"Apogée","") &amp; IF(AND(Poussee=0,Q256&gt;0),"Fin de propulsion","") &amp; IF(AND(L258&gt;L_rampe,pos_xz&lt;=L_rampe),"Sortie de rampe","")</f>
        <v/>
      </c>
      <c r="Z257" s="406" t="str">
        <f aca="false">IF(ABS(t-T_para)&lt;pas/2,"Para","")</f>
        <v/>
      </c>
      <c r="AA257" s="403" t="str">
        <f aca="false">IF(ABS(t-T_satellite)&lt;pas/2,"Satellite","")</f>
        <v/>
      </c>
      <c r="AC257" s="399" t="e">
        <f aca="false">IF(ABS(t-ROUND(t,0))&lt;0.001,t,NA())</f>
        <v>#N/A</v>
      </c>
      <c r="AD257" s="404" t="e">
        <f aca="false">IF(ABS(t-ROUND(t,0))&lt;0.001,pos_x,NA())</f>
        <v>#N/A</v>
      </c>
      <c r="AE257" s="405" t="n">
        <f aca="false">IF(t&lt;T_para, pos_z, NA())</f>
        <v>899.714779939057</v>
      </c>
      <c r="AG257" s="396" t="n">
        <f aca="false">IF(AND(L256&lt;L_rampe,Poussee&lt;Poids*SIN(M256)),0,(-W256+Poussee)/m-Poids*SIN(M256)/m)</f>
        <v>-13.1674207298486</v>
      </c>
      <c r="AH257" s="397" t="n">
        <f aca="false">IF(AND(L256&lt;L_rampe,Poussee&lt;Poids*SIN(M256)), g*SIN(M256), (-W256+Poussee)/m)</f>
        <v>-3.81415577107377</v>
      </c>
    </row>
    <row r="258" customFormat="false" ht="12.75" hidden="false" customHeight="false" outlineLevel="0" collapsed="false">
      <c r="A258" s="396" t="n">
        <f aca="false">IF(B257+0.01&lt;=T_ini+ROUNDUP(Temps_fin_propu,0), 0.01, IF(K257&gt;0, 0.1, 0.0001))</f>
        <v>0.1</v>
      </c>
      <c r="B258" s="397" t="n">
        <f aca="false">B257+pas</f>
        <v>7.39999999999999</v>
      </c>
      <c r="D258" s="396" t="n">
        <f aca="false">IF(AND(L257&lt;L_rampe,Poussee&lt;Poids*SIN(M257)),0,(-W257+Poussee)/m*COS(M257)-U257/m*SIN(M257))</f>
        <v>-1.12706757306381</v>
      </c>
      <c r="E258" s="398" t="n">
        <f aca="false">IF(AND(L257&lt;L_rampe,Poussee&lt;Poids*SIN(M257)),0,(-W257+Poussee)/m*SIN(M257)+U257/m*COS(M257)-Poids/m)</f>
        <v>-13.3311331955728</v>
      </c>
      <c r="F258" s="397" t="n">
        <f aca="false">SQRT(acc_x^2+acc_z^2)</f>
        <v>13.3786917743237</v>
      </c>
      <c r="G258" s="396" t="n">
        <f aca="false">G257+acc_x*pas</f>
        <v>26.1394662328528</v>
      </c>
      <c r="H258" s="398" t="n">
        <f aca="false">H257+acc_z*pas</f>
        <v>80.6827302560759</v>
      </c>
      <c r="I258" s="397" t="n">
        <f aca="false">SQRT(vit_x^2+vit_z^2)</f>
        <v>84.811406405702</v>
      </c>
      <c r="J258" s="396" t="n">
        <f aca="false">J257+0.5*(vit_x+G257)*pas*(K257&gt;=0)</f>
        <v>212.14783824239</v>
      </c>
      <c r="K258" s="398" t="n">
        <f aca="false">K257+0.5*(vit_z+H257)*pas</f>
        <v>907.849708630642</v>
      </c>
      <c r="L258" s="397" t="n">
        <f aca="false">SQRT(pos_x^2+pos_z^2)</f>
        <v>932.307781117192</v>
      </c>
      <c r="M258" s="396" t="n">
        <f aca="false">IF(AND(L257&gt;L_rampe,G258&gt;0),ATAN2(G258,H258),$M$4)</f>
        <v>1.25748865817574</v>
      </c>
      <c r="N258" s="397" t="n">
        <f aca="false">DEGREES(Beta)</f>
        <v>72.0487928990392</v>
      </c>
      <c r="P258" s="399" t="n">
        <f aca="false">MATCH(t-pas/2-T_ini,CdP_t)</f>
        <v>23</v>
      </c>
      <c r="Q258" s="397" t="n">
        <f aca="false">(INDEX(CdP,2,i_P+1)-INDEX(CdP,2,i_P+0))/(INDEX(CdP,1,i_P+1)-INDEX(CdP,1,i_P+0))*(t-pas/2-T_ini-INDEX(CdP,1,i_P+0))+INDEX(CdP,2,i_P+0)</f>
        <v>0</v>
      </c>
      <c r="R258" s="396" t="n">
        <f aca="false">Poussee/(g*ISP)</f>
        <v>0</v>
      </c>
      <c r="S258" s="398" t="n">
        <f aca="false">S257-Débit*pas</f>
        <v>8.45</v>
      </c>
      <c r="T258" s="397" t="n">
        <f aca="false">m*g</f>
        <v>82.8945</v>
      </c>
      <c r="U258" s="400" t="n">
        <f aca="false">IF(pos_xz&lt;L_rampe,Poids*COS(Beta),0)</f>
        <v>0</v>
      </c>
      <c r="V258" s="396" t="n">
        <f aca="false">Rho_moyen*(20000-Alt_rampe-pos_z)/(20000+Alt_rampe+pos_z)</f>
        <v>1.11861738212481</v>
      </c>
      <c r="W258" s="397" t="n">
        <f aca="false">1/2*Rho*Sref*Cx*vit_xz^2</f>
        <v>30.2773346097631</v>
      </c>
      <c r="Y258" s="401" t="str">
        <f aca="false">IF(AND(pos_z&lt;=0,K257&gt;0),"Impact balistique","") &amp; IF(AND(H259&lt;0,vit_z&gt;=0),"Apogée","") &amp; IF(AND(Poussee=0,Q257&gt;0),"Fin de propulsion","") &amp; IF(AND(L259&gt;L_rampe,pos_xz&lt;=L_rampe),"Sortie de rampe","")</f>
        <v/>
      </c>
      <c r="Z258" s="406" t="str">
        <f aca="false">IF(ABS(t-T_para)&lt;pas/2,"Para","")</f>
        <v/>
      </c>
      <c r="AA258" s="403" t="str">
        <f aca="false">IF(ABS(t-T_satellite)&lt;pas/2,"Satellite","")</f>
        <v/>
      </c>
      <c r="AC258" s="399" t="e">
        <f aca="false">IF(ABS(t-ROUND(t,0))&lt;0.001,t,NA())</f>
        <v>#N/A</v>
      </c>
      <c r="AD258" s="404" t="e">
        <f aca="false">IF(ABS(t-ROUND(t,0))&lt;0.001,pos_x,NA())</f>
        <v>#N/A</v>
      </c>
      <c r="AE258" s="405" t="n">
        <f aca="false">IF(t&lt;T_para, pos_z, NA())</f>
        <v>907.849708630642</v>
      </c>
      <c r="AG258" s="396" t="n">
        <f aca="false">IF(AND(L257&lt;L_rampe,Poussee&lt;Poids*SIN(M257)),0,(-W257+Poussee)/m-Poids*SIN(M257)/m)</f>
        <v>-13.0401611065983</v>
      </c>
      <c r="AH258" s="397" t="n">
        <f aca="false">IF(AND(L257&lt;L_rampe,Poussee&lt;Poids*SIN(M257)), g*SIN(M257), (-W257+Poussee)/m)</f>
        <v>-3.69711513145273</v>
      </c>
    </row>
    <row r="259" customFormat="false" ht="12.75" hidden="false" customHeight="false" outlineLevel="0" collapsed="false">
      <c r="A259" s="396" t="n">
        <f aca="false">IF(B258+0.01&lt;=T_ini+ROUNDUP(Temps_fin_propu,0), 0.01, IF(K258&gt;0, 0.1, 0.0001))</f>
        <v>0.1</v>
      </c>
      <c r="B259" s="397" t="n">
        <f aca="false">B258+pas</f>
        <v>7.49999999999999</v>
      </c>
      <c r="D259" s="396" t="n">
        <f aca="false">IF(AND(L258&lt;L_rampe,Poussee&lt;Poids*SIN(M258)),0,(-W258+Poussee)/m*COS(M258)-U258/m*SIN(M258))</f>
        <v>-1.1043414712833</v>
      </c>
      <c r="E259" s="398" t="n">
        <f aca="false">IF(AND(L258&lt;L_rampe,Poussee&lt;Poids*SIN(M258)),0,(-W258+Poussee)/m*SIN(M258)+U258/m*COS(M258)-Poids/m)</f>
        <v>-13.2186880062671</v>
      </c>
      <c r="F259" s="397" t="n">
        <f aca="false">SQRT(acc_x^2+acc_z^2)</f>
        <v>13.2647383197794</v>
      </c>
      <c r="G259" s="396" t="n">
        <f aca="false">G258+acc_x*pas</f>
        <v>26.0290320857245</v>
      </c>
      <c r="H259" s="398" t="n">
        <f aca="false">H258+acc_z*pas</f>
        <v>79.3608614554492</v>
      </c>
      <c r="I259" s="397" t="n">
        <f aca="false">SQRT(vit_x^2+vit_z^2)</f>
        <v>83.5203977616885</v>
      </c>
      <c r="J259" s="396" t="n">
        <f aca="false">J258+0.5*(vit_x+G258)*pas*(K258&gt;=0)</f>
        <v>214.756263158319</v>
      </c>
      <c r="K259" s="398" t="n">
        <f aca="false">K258+0.5*(vit_z+H258)*pas</f>
        <v>915.851888216219</v>
      </c>
      <c r="L259" s="397" t="n">
        <f aca="false">SQRT(pos_x^2+pos_z^2)</f>
        <v>940.693857593924</v>
      </c>
      <c r="M259" s="396" t="n">
        <f aca="false">IF(AND(L258&gt;L_rampe,G259&gt;0),ATAN2(G259,H259),$M$4)</f>
        <v>1.25386856413962</v>
      </c>
      <c r="N259" s="397" t="n">
        <f aca="false">DEGREES(Beta)</f>
        <v>71.8413767893286</v>
      </c>
      <c r="P259" s="399" t="n">
        <f aca="false">MATCH(t-pas/2-T_ini,CdP_t)</f>
        <v>23</v>
      </c>
      <c r="Q259" s="397" t="n">
        <f aca="false">(INDEX(CdP,2,i_P+1)-INDEX(CdP,2,i_P+0))/(INDEX(CdP,1,i_P+1)-INDEX(CdP,1,i_P+0))*(t-pas/2-T_ini-INDEX(CdP,1,i_P+0))+INDEX(CdP,2,i_P+0)</f>
        <v>0</v>
      </c>
      <c r="R259" s="396" t="n">
        <f aca="false">Poussee/(g*ISP)</f>
        <v>0</v>
      </c>
      <c r="S259" s="398" t="n">
        <f aca="false">S258-Débit*pas</f>
        <v>8.45</v>
      </c>
      <c r="T259" s="397" t="n">
        <f aca="false">m*g</f>
        <v>82.8945</v>
      </c>
      <c r="U259" s="400" t="n">
        <f aca="false">IF(pos_xz&lt;L_rampe,Poids*COS(Beta),0)</f>
        <v>0</v>
      </c>
      <c r="V259" s="396" t="n">
        <f aca="false">Rho_moyen*(20000-Alt_rampe-pos_z)/(20000+Alt_rampe+pos_z)</f>
        <v>1.11772073936449</v>
      </c>
      <c r="W259" s="397" t="n">
        <f aca="false">1/2*Rho*Sref*Cx*vit_xz^2</f>
        <v>29.3390443840653</v>
      </c>
      <c r="Y259" s="401" t="str">
        <f aca="false">IF(AND(pos_z&lt;=0,K258&gt;0),"Impact balistique","") &amp; IF(AND(H260&lt;0,vit_z&gt;=0),"Apogée","") &amp; IF(AND(Poussee=0,Q258&gt;0),"Fin de propulsion","") &amp; IF(AND(L260&gt;L_rampe,pos_xz&lt;=L_rampe),"Sortie de rampe","")</f>
        <v/>
      </c>
      <c r="Z259" s="406" t="str">
        <f aca="false">IF(ABS(t-T_para)&lt;pas/2,"Para","")</f>
        <v/>
      </c>
      <c r="AA259" s="403" t="str">
        <f aca="false">IF(ABS(t-T_satellite)&lt;pas/2,"Satellite","")</f>
        <v/>
      </c>
      <c r="AC259" s="399" t="e">
        <f aca="false">IF(ABS(t-ROUND(t,0))&lt;0.001,t,NA())</f>
        <v>#N/A</v>
      </c>
      <c r="AD259" s="404" t="e">
        <f aca="false">IF(ABS(t-ROUND(t,0))&lt;0.001,pos_x,NA())</f>
        <v>#N/A</v>
      </c>
      <c r="AE259" s="405" t="n">
        <f aca="false">IF(t&lt;T_para, pos_z, NA())</f>
        <v>915.851888216219</v>
      </c>
      <c r="AG259" s="396" t="n">
        <f aca="false">IF(AND(L258&lt;L_rampe,Poussee&lt;Poids*SIN(M258)),0,(-W258+Poussee)/m-Poids*SIN(M258)/m)</f>
        <v>-12.9155591419762</v>
      </c>
      <c r="AH259" s="397" t="n">
        <f aca="false">IF(AND(L258&lt;L_rampe,Poussee&lt;Poids*SIN(M258)), g*SIN(M258), (-W258+Poussee)/m)</f>
        <v>-3.58311652186546</v>
      </c>
    </row>
    <row r="260" customFormat="false" ht="12.75" hidden="false" customHeight="false" outlineLevel="0" collapsed="false">
      <c r="A260" s="396" t="n">
        <f aca="false">IF(B259+0.01&lt;=T_ini+ROUNDUP(Temps_fin_propu,0), 0.01, IF(K259&gt;0, 0.1, 0.0001))</f>
        <v>0.1</v>
      </c>
      <c r="B260" s="397" t="n">
        <f aca="false">B259+pas</f>
        <v>7.59999999999999</v>
      </c>
      <c r="D260" s="396" t="n">
        <f aca="false">IF(AND(L259&lt;L_rampe,Poussee&lt;Poids*SIN(M259)),0,(-W259+Poussee)/m*COS(M259)-U259/m*SIN(M259))</f>
        <v>-1.08206841391786</v>
      </c>
      <c r="E260" s="398" t="n">
        <f aca="false">IF(AND(L259&lt;L_rampe,Poussee&lt;Poids*SIN(M259)),0,(-W259+Poussee)/m*SIN(M259)+U259/m*COS(M259)-Poids/m)</f>
        <v>-13.1091576943558</v>
      </c>
      <c r="F260" s="397" t="n">
        <f aca="false">SQRT(acc_x^2+acc_z^2)</f>
        <v>13.1537404379092</v>
      </c>
      <c r="G260" s="396" t="n">
        <f aca="false">G259+acc_x*pas</f>
        <v>25.9208252443327</v>
      </c>
      <c r="H260" s="398" t="n">
        <f aca="false">H259+acc_z*pas</f>
        <v>78.0499456860136</v>
      </c>
      <c r="I260" s="397" t="n">
        <f aca="false">SQRT(vit_x^2+vit_z^2)</f>
        <v>82.2416147879947</v>
      </c>
      <c r="J260" s="396" t="n">
        <f aca="false">J259+0.5*(vit_x+G259)*pas*(K259&gt;=0)</f>
        <v>217.353756024822</v>
      </c>
      <c r="K260" s="398" t="n">
        <f aca="false">K259+0.5*(vit_z+H259)*pas</f>
        <v>923.722428573292</v>
      </c>
      <c r="L260" s="397" t="n">
        <f aca="false">SQRT(pos_x^2+pos_z^2)</f>
        <v>948.94983023732</v>
      </c>
      <c r="M260" s="396" t="n">
        <f aca="false">IF(AND(L259&gt;L_rampe,G260&gt;0),ATAN2(G260,H260),$M$4)</f>
        <v>1.25015112520273</v>
      </c>
      <c r="N260" s="397" t="n">
        <f aca="false">DEGREES(Beta)</f>
        <v>71.6283832276475</v>
      </c>
      <c r="P260" s="399" t="n">
        <f aca="false">MATCH(t-pas/2-T_ini,CdP_t)</f>
        <v>23</v>
      </c>
      <c r="Q260" s="397" t="n">
        <f aca="false">(INDEX(CdP,2,i_P+1)-INDEX(CdP,2,i_P+0))/(INDEX(CdP,1,i_P+1)-INDEX(CdP,1,i_P+0))*(t-pas/2-T_ini-INDEX(CdP,1,i_P+0))+INDEX(CdP,2,i_P+0)</f>
        <v>0</v>
      </c>
      <c r="R260" s="396" t="n">
        <f aca="false">Poussee/(g*ISP)</f>
        <v>0</v>
      </c>
      <c r="S260" s="398" t="n">
        <f aca="false">S259-Débit*pas</f>
        <v>8.45</v>
      </c>
      <c r="T260" s="397" t="n">
        <f aca="false">m*g</f>
        <v>82.8945</v>
      </c>
      <c r="U260" s="400" t="n">
        <f aca="false">IF(pos_xz&lt;L_rampe,Poids*COS(Beta),0)</f>
        <v>0</v>
      </c>
      <c r="V260" s="396" t="n">
        <f aca="false">Rho_moyen*(20000-Alt_rampe-pos_z)/(20000+Alt_rampe+pos_z)</f>
        <v>1.11683951575872</v>
      </c>
      <c r="W260" s="397" t="n">
        <f aca="false">1/2*Rho*Sref*Cx*vit_xz^2</f>
        <v>28.4250721966863</v>
      </c>
      <c r="Y260" s="401" t="str">
        <f aca="false">IF(AND(pos_z&lt;=0,K259&gt;0),"Impact balistique","") &amp; IF(AND(H261&lt;0,vit_z&gt;=0),"Apogée","") &amp; IF(AND(Poussee=0,Q259&gt;0),"Fin de propulsion","") &amp; IF(AND(L261&gt;L_rampe,pos_xz&lt;=L_rampe),"Sortie de rampe","")</f>
        <v/>
      </c>
      <c r="Z260" s="406" t="str">
        <f aca="false">IF(ABS(t-T_para)&lt;pas/2,"Para","")</f>
        <v/>
      </c>
      <c r="AA260" s="403" t="str">
        <f aca="false">IF(ABS(t-T_satellite)&lt;pas/2,"Satellite","")</f>
        <v/>
      </c>
      <c r="AC260" s="399" t="e">
        <f aca="false">IF(ABS(t-ROUND(t,0))&lt;0.001,t,NA())</f>
        <v>#N/A</v>
      </c>
      <c r="AD260" s="404" t="e">
        <f aca="false">IF(ABS(t-ROUND(t,0))&lt;0.001,pos_x,NA())</f>
        <v>#N/A</v>
      </c>
      <c r="AE260" s="405" t="n">
        <f aca="false">IF(t&lt;T_para, pos_z, NA())</f>
        <v>923.722428573292</v>
      </c>
      <c r="AG260" s="396" t="n">
        <f aca="false">IF(AND(L259&lt;L_rampe,Poussee&lt;Poids*SIN(M259)),0,(-W259+Poussee)/m-Poids*SIN(M259)/m)</f>
        <v>-12.7935123596162</v>
      </c>
      <c r="AH260" s="397" t="n">
        <f aca="false">IF(AND(L259&lt;L_rampe,Poussee&lt;Poids*SIN(M259)), g*SIN(M259), (-W259+Poussee)/m)</f>
        <v>-3.47207625846927</v>
      </c>
    </row>
    <row r="261" customFormat="false" ht="12.75" hidden="false" customHeight="false" outlineLevel="0" collapsed="false">
      <c r="A261" s="396" t="n">
        <f aca="false">IF(B260+0.01&lt;=T_ini+ROUNDUP(Temps_fin_propu,0), 0.01, IF(K260&gt;0, 0.1, 0.0001))</f>
        <v>0.1</v>
      </c>
      <c r="B261" s="397" t="n">
        <f aca="false">B260+pas</f>
        <v>7.69999999999999</v>
      </c>
      <c r="D261" s="396" t="n">
        <f aca="false">IF(AND(L260&lt;L_rampe,Poussee&lt;Poids*SIN(M260)),0,(-W260+Poussee)/m*COS(M260)-U260/m*SIN(M260))</f>
        <v>-1.06023481872609</v>
      </c>
      <c r="E261" s="398" t="n">
        <f aca="false">IF(AND(L260&lt;L_rampe,Poussee&lt;Poids*SIN(M260)),0,(-W260+Poussee)/m*SIN(M260)+U260/m*COS(M260)-Poids/m)</f>
        <v>-13.0024627875837</v>
      </c>
      <c r="F261" s="397" t="n">
        <f aca="false">SQRT(acc_x^2+acc_z^2)</f>
        <v>13.0456175175167</v>
      </c>
      <c r="G261" s="396" t="n">
        <f aca="false">G260+acc_x*pas</f>
        <v>25.8148017624601</v>
      </c>
      <c r="H261" s="398" t="n">
        <f aca="false">H260+acc_z*pas</f>
        <v>76.7496994072552</v>
      </c>
      <c r="I261" s="397" t="n">
        <f aca="false">SQRT(vit_x^2+vit_z^2)</f>
        <v>80.9748130540549</v>
      </c>
      <c r="J261" s="396" t="n">
        <f aca="false">J260+0.5*(vit_x+G260)*pas*(K260&gt;=0)</f>
        <v>219.940537375162</v>
      </c>
      <c r="K261" s="398" t="n">
        <f aca="false">K260+0.5*(vit_z+H260)*pas</f>
        <v>931.462410827955</v>
      </c>
      <c r="L261" s="397" t="n">
        <f aca="false">SQRT(pos_x^2+pos_z^2)</f>
        <v>957.076832216882</v>
      </c>
      <c r="M261" s="396" t="n">
        <f aca="false">IF(AND(L260&gt;L_rampe,G261&gt;0),ATAN2(G261,H261),$M$4)</f>
        <v>1.24633276140482</v>
      </c>
      <c r="N261" s="397" t="n">
        <f aca="false">DEGREES(Beta)</f>
        <v>71.4096070973814</v>
      </c>
      <c r="P261" s="399" t="n">
        <f aca="false">MATCH(t-pas/2-T_ini,CdP_t)</f>
        <v>23</v>
      </c>
      <c r="Q261" s="397" t="n">
        <f aca="false">(INDEX(CdP,2,i_P+1)-INDEX(CdP,2,i_P+0))/(INDEX(CdP,1,i_P+1)-INDEX(CdP,1,i_P+0))*(t-pas/2-T_ini-INDEX(CdP,1,i_P+0))+INDEX(CdP,2,i_P+0)</f>
        <v>0</v>
      </c>
      <c r="R261" s="396" t="n">
        <f aca="false">Poussee/(g*ISP)</f>
        <v>0</v>
      </c>
      <c r="S261" s="398" t="n">
        <f aca="false">S260-Débit*pas</f>
        <v>8.45</v>
      </c>
      <c r="T261" s="397" t="n">
        <f aca="false">m*g</f>
        <v>82.8945</v>
      </c>
      <c r="U261" s="400" t="n">
        <f aca="false">IF(pos_xz&lt;L_rampe,Poids*COS(Beta),0)</f>
        <v>0</v>
      </c>
      <c r="V261" s="396" t="n">
        <f aca="false">Rho_moyen*(20000-Alt_rampe-pos_z)/(20000+Alt_rampe+pos_z)</f>
        <v>1.11597355637473</v>
      </c>
      <c r="W261" s="397" t="n">
        <f aca="false">1/2*Rho*Sref*Cx*vit_xz^2</f>
        <v>27.5347640162221</v>
      </c>
      <c r="Y261" s="401" t="str">
        <f aca="false">IF(AND(pos_z&lt;=0,K260&gt;0),"Impact balistique","") &amp; IF(AND(H262&lt;0,vit_z&gt;=0),"Apogée","") &amp; IF(AND(Poussee=0,Q260&gt;0),"Fin de propulsion","") &amp; IF(AND(L262&gt;L_rampe,pos_xz&lt;=L_rampe),"Sortie de rampe","")</f>
        <v/>
      </c>
      <c r="Z261" s="406" t="str">
        <f aca="false">IF(ABS(t-T_para)&lt;pas/2,"Para","")</f>
        <v/>
      </c>
      <c r="AA261" s="403" t="str">
        <f aca="false">IF(ABS(t-T_satellite)&lt;pas/2,"Satellite","")</f>
        <v/>
      </c>
      <c r="AC261" s="399" t="e">
        <f aca="false">IF(ABS(t-ROUND(t,0))&lt;0.001,t,NA())</f>
        <v>#N/A</v>
      </c>
      <c r="AD261" s="404" t="e">
        <f aca="false">IF(ABS(t-ROUND(t,0))&lt;0.001,pos_x,NA())</f>
        <v>#N/A</v>
      </c>
      <c r="AE261" s="405" t="n">
        <f aca="false">IF(t&lt;T_para, pos_z, NA())</f>
        <v>931.462410827955</v>
      </c>
      <c r="AG261" s="396" t="n">
        <f aca="false">IF(AND(L260&lt;L_rampe,Poussee&lt;Poids*SIN(M260)),0,(-W260+Poussee)/m-Poids*SIN(M260)/m)</f>
        <v>-12.6739203564572</v>
      </c>
      <c r="AH261" s="397" t="n">
        <f aca="false">IF(AND(L260&lt;L_rampe,Poussee&lt;Poids*SIN(M260)), g*SIN(M260), (-W260+Poussee)/m)</f>
        <v>-3.36391386943033</v>
      </c>
    </row>
    <row r="262" customFormat="false" ht="12.75" hidden="false" customHeight="false" outlineLevel="0" collapsed="false">
      <c r="A262" s="396" t="n">
        <f aca="false">IF(B261+0.01&lt;=T_ini+ROUNDUP(Temps_fin_propu,0), 0.01, IF(K261&gt;0, 0.1, 0.0001))</f>
        <v>0.1</v>
      </c>
      <c r="B262" s="397" t="n">
        <f aca="false">B261+pas</f>
        <v>7.79999999999999</v>
      </c>
      <c r="D262" s="396" t="n">
        <f aca="false">IF(AND(L261&lt;L_rampe,Poussee&lt;Poids*SIN(M261)),0,(-W261+Poussee)/m*COS(M261)-U261/m*SIN(M261))</f>
        <v>-1.03882762512919</v>
      </c>
      <c r="E262" s="398" t="n">
        <f aca="false">IF(AND(L261&lt;L_rampe,Poussee&lt;Poids*SIN(M261)),0,(-W261+Poussee)/m*SIN(M261)+U261/m*COS(M261)-Poids/m)</f>
        <v>-12.8985268342661</v>
      </c>
      <c r="F262" s="397" t="n">
        <f aca="false">SQRT(acc_x^2+acc_z^2)</f>
        <v>12.9402920109638</v>
      </c>
      <c r="G262" s="396" t="n">
        <f aca="false">G261+acc_x*pas</f>
        <v>25.7109189999472</v>
      </c>
      <c r="H262" s="398" t="n">
        <f aca="false">H261+acc_z*pas</f>
        <v>75.4598467238286</v>
      </c>
      <c r="I262" s="397" t="n">
        <f aca="false">SQRT(vit_x^2+vit_z^2)</f>
        <v>79.7197580490906</v>
      </c>
      <c r="J262" s="396" t="n">
        <f aca="false">J261+0.5*(vit_x+G261)*pas*(K261&gt;=0)</f>
        <v>222.516823413282</v>
      </c>
      <c r="K262" s="398" t="n">
        <f aca="false">K261+0.5*(vit_z+H261)*pas</f>
        <v>939.072888134509</v>
      </c>
      <c r="L262" s="397" t="n">
        <f aca="false">SQRT(pos_x^2+pos_z^2)</f>
        <v>965.075968994787</v>
      </c>
      <c r="M262" s="396" t="n">
        <f aca="false">IF(AND(L261&gt;L_rampe,G262&gt;0),ATAN2(G262,H262),$M$4)</f>
        <v>1.24240971911533</v>
      </c>
      <c r="N262" s="397" t="n">
        <f aca="false">DEGREES(Beta)</f>
        <v>71.1848333313427</v>
      </c>
      <c r="P262" s="399" t="n">
        <f aca="false">MATCH(t-pas/2-T_ini,CdP_t)</f>
        <v>23</v>
      </c>
      <c r="Q262" s="397" t="n">
        <f aca="false">(INDEX(CdP,2,i_P+1)-INDEX(CdP,2,i_P+0))/(INDEX(CdP,1,i_P+1)-INDEX(CdP,1,i_P+0))*(t-pas/2-T_ini-INDEX(CdP,1,i_P+0))+INDEX(CdP,2,i_P+0)</f>
        <v>0</v>
      </c>
      <c r="R262" s="396" t="n">
        <f aca="false">Poussee/(g*ISP)</f>
        <v>0</v>
      </c>
      <c r="S262" s="398" t="n">
        <f aca="false">S261-Débit*pas</f>
        <v>8.45</v>
      </c>
      <c r="T262" s="397" t="n">
        <f aca="false">m*g</f>
        <v>82.8945</v>
      </c>
      <c r="U262" s="400" t="n">
        <f aca="false">IF(pos_xz&lt;L_rampe,Poids*COS(Beta),0)</f>
        <v>0</v>
      </c>
      <c r="V262" s="396" t="n">
        <f aca="false">Rho_moyen*(20000-Alt_rampe-pos_z)/(20000+Alt_rampe+pos_z)</f>
        <v>1.11512271038832</v>
      </c>
      <c r="W262" s="397" t="n">
        <f aca="false">1/2*Rho*Sref*Cx*vit_xz^2</f>
        <v>26.6674906426304</v>
      </c>
      <c r="Y262" s="401" t="str">
        <f aca="false">IF(AND(pos_z&lt;=0,K261&gt;0),"Impact balistique","") &amp; IF(AND(H263&lt;0,vit_z&gt;=0),"Apogée","") &amp; IF(AND(Poussee=0,Q261&gt;0),"Fin de propulsion","") &amp; IF(AND(L263&gt;L_rampe,pos_xz&lt;=L_rampe),"Sortie de rampe","")</f>
        <v/>
      </c>
      <c r="Z262" s="406" t="str">
        <f aca="false">IF(ABS(t-T_para)&lt;pas/2,"Para","")</f>
        <v/>
      </c>
      <c r="AA262" s="403" t="str">
        <f aca="false">IF(ABS(t-T_satellite)&lt;pas/2,"Satellite","")</f>
        <v/>
      </c>
      <c r="AC262" s="399" t="e">
        <f aca="false">IF(ABS(t-ROUND(t,0))&lt;0.001,t,NA())</f>
        <v>#N/A</v>
      </c>
      <c r="AD262" s="404" t="e">
        <f aca="false">IF(ABS(t-ROUND(t,0))&lt;0.001,pos_x,NA())</f>
        <v>#N/A</v>
      </c>
      <c r="AE262" s="405" t="n">
        <f aca="false">IF(t&lt;T_para, pos_z, NA())</f>
        <v>939.072888134509</v>
      </c>
      <c r="AG262" s="396" t="n">
        <f aca="false">IF(AND(L261&lt;L_rampe,Poussee&lt;Poids*SIN(M261)),0,(-W261+Poussee)/m-Poids*SIN(M261)/m)</f>
        <v>-12.5566845811137</v>
      </c>
      <c r="AH262" s="397" t="n">
        <f aca="false">IF(AND(L261&lt;L_rampe,Poussee&lt;Poids*SIN(M261)), g*SIN(M261), (-W261+Poussee)/m)</f>
        <v>-3.2585519545825</v>
      </c>
    </row>
    <row r="263" customFormat="false" ht="12.75" hidden="false" customHeight="false" outlineLevel="0" collapsed="false">
      <c r="A263" s="396" t="n">
        <f aca="false">IF(B262+0.01&lt;=T_ini+ROUNDUP(Temps_fin_propu,0), 0.01, IF(K262&gt;0, 0.1, 0.0001))</f>
        <v>0.1</v>
      </c>
      <c r="B263" s="397" t="n">
        <f aca="false">B262+pas</f>
        <v>7.89999999999999</v>
      </c>
      <c r="D263" s="396" t="n">
        <f aca="false">IF(AND(L262&lt;L_rampe,Poussee&lt;Poids*SIN(M262)),0,(-W262+Poussee)/m*COS(M262)-U262/m*SIN(M262))</f>
        <v>-1.01783427319822</v>
      </c>
      <c r="E263" s="398" t="n">
        <f aca="false">IF(AND(L262&lt;L_rampe,Poussee&lt;Poids*SIN(M262)),0,(-W262+Poussee)/m*SIN(M262)+U262/m*COS(M262)-Poids/m)</f>
        <v>-12.7972762714532</v>
      </c>
      <c r="F263" s="397" t="n">
        <f aca="false">SQRT(acc_x^2+acc_z^2)</f>
        <v>12.8376893004776</v>
      </c>
      <c r="G263" s="396" t="n">
        <f aca="false">G262+acc_x*pas</f>
        <v>25.6091355726273</v>
      </c>
      <c r="H263" s="398" t="n">
        <f aca="false">H262+acc_z*pas</f>
        <v>74.1801190966833</v>
      </c>
      <c r="I263" s="397" t="n">
        <f aca="false">SQRT(vit_x^2+vit_z^2)</f>
        <v>78.4762250237314</v>
      </c>
      <c r="J263" s="396" t="n">
        <f aca="false">J262+0.5*(vit_x+G262)*pas*(K262&gt;=0)</f>
        <v>225.082826141911</v>
      </c>
      <c r="K263" s="398" t="n">
        <f aca="false">K262+0.5*(vit_z+H262)*pas</f>
        <v>946.554886425535</v>
      </c>
      <c r="L263" s="397" t="n">
        <f aca="false">SQRT(pos_x^2+pos_z^2)</f>
        <v>972.948319100294</v>
      </c>
      <c r="M263" s="396" t="n">
        <f aca="false">IF(AND(L262&gt;L_rampe,G263&gt;0),ATAN2(G263,H263),$M$4)</f>
        <v>1.23837806089341</v>
      </c>
      <c r="N263" s="397" t="n">
        <f aca="false">DEGREES(Beta)</f>
        <v>70.9538363307873</v>
      </c>
      <c r="P263" s="399" t="n">
        <f aca="false">MATCH(t-pas/2-T_ini,CdP_t)</f>
        <v>23</v>
      </c>
      <c r="Q263" s="397" t="n">
        <f aca="false">(INDEX(CdP,2,i_P+1)-INDEX(CdP,2,i_P+0))/(INDEX(CdP,1,i_P+1)-INDEX(CdP,1,i_P+0))*(t-pas/2-T_ini-INDEX(CdP,1,i_P+0))+INDEX(CdP,2,i_P+0)</f>
        <v>0</v>
      </c>
      <c r="R263" s="396" t="n">
        <f aca="false">Poussee/(g*ISP)</f>
        <v>0</v>
      </c>
      <c r="S263" s="398" t="n">
        <f aca="false">S262-Débit*pas</f>
        <v>8.45</v>
      </c>
      <c r="T263" s="397" t="n">
        <f aca="false">m*g</f>
        <v>82.8945</v>
      </c>
      <c r="U263" s="400" t="n">
        <f aca="false">IF(pos_xz&lt;L_rampe,Poids*COS(Beta),0)</f>
        <v>0</v>
      </c>
      <c r="V263" s="396" t="n">
        <f aca="false">Rho_moyen*(20000-Alt_rampe-pos_z)/(20000+Alt_rampe+pos_z)</f>
        <v>1.11428683096973</v>
      </c>
      <c r="W263" s="397" t="n">
        <f aca="false">1/2*Rho*Sref*Cx*vit_xz^2</f>
        <v>25.8226466410418</v>
      </c>
      <c r="Y263" s="401" t="str">
        <f aca="false">IF(AND(pos_z&lt;=0,K262&gt;0),"Impact balistique","") &amp; IF(AND(H264&lt;0,vit_z&gt;=0),"Apogée","") &amp; IF(AND(Poussee=0,Q262&gt;0),"Fin de propulsion","") &amp; IF(AND(L264&gt;L_rampe,pos_xz&lt;=L_rampe),"Sortie de rampe","")</f>
        <v/>
      </c>
      <c r="Z263" s="406" t="str">
        <f aca="false">IF(ABS(t-T_para)&lt;pas/2,"Para","")</f>
        <v/>
      </c>
      <c r="AA263" s="403" t="str">
        <f aca="false">IF(ABS(t-T_satellite)&lt;pas/2,"Satellite","")</f>
        <v/>
      </c>
      <c r="AC263" s="399" t="e">
        <f aca="false">IF(ABS(t-ROUND(t,0))&lt;0.001,t,NA())</f>
        <v>#N/A</v>
      </c>
      <c r="AD263" s="404" t="e">
        <f aca="false">IF(ABS(t-ROUND(t,0))&lt;0.001,pos_x,NA())</f>
        <v>#N/A</v>
      </c>
      <c r="AE263" s="405" t="n">
        <f aca="false">IF(t&lt;T_para, pos_z, NA())</f>
        <v>946.554886425535</v>
      </c>
      <c r="AG263" s="396" t="n">
        <f aca="false">IF(AND(L262&lt;L_rampe,Poussee&lt;Poids*SIN(M262)),0,(-W262+Poussee)/m-Poids*SIN(M262)/m)</f>
        <v>-12.4417081129266</v>
      </c>
      <c r="AH263" s="397" t="n">
        <f aca="false">IF(AND(L262&lt;L_rampe,Poussee&lt;Poids*SIN(M262)), g*SIN(M262), (-W262+Poussee)/m)</f>
        <v>-3.1559160523823</v>
      </c>
    </row>
    <row r="264" customFormat="false" ht="12.75" hidden="false" customHeight="false" outlineLevel="0" collapsed="false">
      <c r="A264" s="396" t="n">
        <f aca="false">IF(B263+0.01&lt;=T_ini+ROUNDUP(Temps_fin_propu,0), 0.01, IF(K263&gt;0, 0.1, 0.0001))</f>
        <v>0.1</v>
      </c>
      <c r="B264" s="397" t="n">
        <f aca="false">B263+pas</f>
        <v>7.99999999999999</v>
      </c>
      <c r="D264" s="396" t="n">
        <f aca="false">IF(AND(L263&lt;L_rampe,Poussee&lt;Poids*SIN(M263)),0,(-W263+Poussee)/m*COS(M263)-U263/m*SIN(M263))</f>
        <v>-0.997242683877663</v>
      </c>
      <c r="E264" s="398" t="n">
        <f aca="false">IF(AND(L263&lt;L_rampe,Poussee&lt;Poids*SIN(M263)),0,(-W263+Poussee)/m*SIN(M263)+U263/m*COS(M263)-Poids/m)</f>
        <v>-12.6986402998081</v>
      </c>
      <c r="F264" s="397" t="n">
        <f aca="false">SQRT(acc_x^2+acc_z^2)</f>
        <v>12.7377375712667</v>
      </c>
      <c r="G264" s="396" t="n">
        <f aca="false">G263+acc_x*pas</f>
        <v>25.5094113042396</v>
      </c>
      <c r="H264" s="398" t="n">
        <f aca="false">H263+acc_z*pas</f>
        <v>72.9102550667025</v>
      </c>
      <c r="I264" s="397" t="n">
        <f aca="false">SQRT(vit_x^2+vit_z^2)</f>
        <v>77.2439988541536</v>
      </c>
      <c r="J264" s="396" t="n">
        <f aca="false">J263+0.5*(vit_x+G263)*pas*(K263&gt;=0)</f>
        <v>227.638753485754</v>
      </c>
      <c r="K264" s="398" t="n">
        <f aca="false">K263+0.5*(vit_z+H263)*pas</f>
        <v>953.909405133704</v>
      </c>
      <c r="L264" s="397" t="n">
        <f aca="false">SQRT(pos_x^2+pos_z^2)</f>
        <v>980.694934875818</v>
      </c>
      <c r="M264" s="396" t="n">
        <f aca="false">IF(AND(L263&gt;L_rampe,G264&gt;0),ATAN2(G264,H264),$M$4)</f>
        <v>1.23423365466857</v>
      </c>
      <c r="N264" s="397" t="n">
        <f aca="false">DEGREES(Beta)</f>
        <v>70.716379345516</v>
      </c>
      <c r="P264" s="399" t="n">
        <f aca="false">MATCH(t-pas/2-T_ini,CdP_t)</f>
        <v>23</v>
      </c>
      <c r="Q264" s="397" t="n">
        <f aca="false">(INDEX(CdP,2,i_P+1)-INDEX(CdP,2,i_P+0))/(INDEX(CdP,1,i_P+1)-INDEX(CdP,1,i_P+0))*(t-pas/2-T_ini-INDEX(CdP,1,i_P+0))+INDEX(CdP,2,i_P+0)</f>
        <v>0</v>
      </c>
      <c r="R264" s="396" t="n">
        <f aca="false">Poussee/(g*ISP)</f>
        <v>0</v>
      </c>
      <c r="S264" s="398" t="n">
        <f aca="false">S263-Débit*pas</f>
        <v>8.45</v>
      </c>
      <c r="T264" s="397" t="n">
        <f aca="false">m*g</f>
        <v>82.8945</v>
      </c>
      <c r="U264" s="400" t="n">
        <f aca="false">IF(pos_xz&lt;L_rampe,Poids*COS(Beta),0)</f>
        <v>0</v>
      </c>
      <c r="V264" s="396" t="n">
        <f aca="false">Rho_moyen*(20000-Alt_rampe-pos_z)/(20000+Alt_rampe+pos_z)</f>
        <v>1.11346577517392</v>
      </c>
      <c r="W264" s="397" t="n">
        <f aca="false">1/2*Rho*Sref*Cx*vit_xz^2</f>
        <v>24.9996493302417</v>
      </c>
      <c r="Y264" s="401" t="str">
        <f aca="false">IF(AND(pos_z&lt;=0,K263&gt;0),"Impact balistique","") &amp; IF(AND(H265&lt;0,vit_z&gt;=0),"Apogée","") &amp; IF(AND(Poussee=0,Q263&gt;0),"Fin de propulsion","") &amp; IF(AND(L265&gt;L_rampe,pos_xz&lt;=L_rampe),"Sortie de rampe","")</f>
        <v/>
      </c>
      <c r="Z264" s="406" t="str">
        <f aca="false">IF(ABS(t-T_para)&lt;pas/2,"Para","")</f>
        <v/>
      </c>
      <c r="AA264" s="403" t="str">
        <f aca="false">IF(ABS(t-T_satellite)&lt;pas/2,"Satellite","")</f>
        <v/>
      </c>
      <c r="AC264" s="399" t="n">
        <f aca="false">IF(ABS(t-ROUND(t,0))&lt;0.001,t,NA())</f>
        <v>7.99999999999999</v>
      </c>
      <c r="AD264" s="404" t="n">
        <f aca="false">IF(ABS(t-ROUND(t,0))&lt;0.001,pos_x,NA())</f>
        <v>227.638753485754</v>
      </c>
      <c r="AE264" s="405" t="n">
        <f aca="false">IF(t&lt;T_para, pos_z, NA())</f>
        <v>953.909405133704</v>
      </c>
      <c r="AG264" s="396" t="n">
        <f aca="false">IF(AND(L263&lt;L_rampe,Poussee&lt;Poids*SIN(M263)),0,(-W263+Poussee)/m-Poids*SIN(M263)/m)</f>
        <v>-12.3288954406683</v>
      </c>
      <c r="AH264" s="397" t="n">
        <f aca="false">IF(AND(L263&lt;L_rampe,Poussee&lt;Poids*SIN(M263)), g*SIN(M263), (-W263+Poussee)/m)</f>
        <v>-3.05593451373276</v>
      </c>
    </row>
    <row r="265" customFormat="false" ht="12.75" hidden="false" customHeight="false" outlineLevel="0" collapsed="false">
      <c r="A265" s="396" t="n">
        <f aca="false">IF(B264+0.01&lt;=T_ini+ROUNDUP(Temps_fin_propu,0), 0.01, IF(K264&gt;0, 0.1, 0.0001))</f>
        <v>0.1</v>
      </c>
      <c r="B265" s="397" t="n">
        <f aca="false">B264+pas</f>
        <v>8.09999999999999</v>
      </c>
      <c r="D265" s="396" t="n">
        <f aca="false">IF(AND(L264&lt;L_rampe,Poussee&lt;Poids*SIN(M264)),0,(-W264+Poussee)/m*COS(M264)-U264/m*SIN(M264))</f>
        <v>-0.977041240386645</v>
      </c>
      <c r="E265" s="398" t="n">
        <f aca="false">IF(AND(L264&lt;L_rampe,Poussee&lt;Poids*SIN(M264)),0,(-W264+Poussee)/m*SIN(M264)+U264/m*COS(M264)-Poids/m)</f>
        <v>-12.602550764801</v>
      </c>
      <c r="F265" s="397" t="n">
        <f aca="false">SQRT(acc_x^2+acc_z^2)</f>
        <v>12.6403676910445</v>
      </c>
      <c r="G265" s="396" t="n">
        <f aca="false">G264+acc_x*pas</f>
        <v>25.4117071802009</v>
      </c>
      <c r="H265" s="398" t="n">
        <f aca="false">H264+acc_z*pas</f>
        <v>71.6499999902224</v>
      </c>
      <c r="I265" s="397" t="n">
        <f aca="false">SQRT(vit_x^2+vit_z^2)</f>
        <v>76.0228739289113</v>
      </c>
      <c r="J265" s="396" t="n">
        <f aca="false">J264+0.5*(vit_x+G264)*pas*(K264&gt;=0)</f>
        <v>230.184809409976</v>
      </c>
      <c r="K265" s="398" t="n">
        <f aca="false">K264+0.5*(vit_z+H264)*pas</f>
        <v>961.137417886551</v>
      </c>
      <c r="L265" s="397" t="n">
        <f aca="false">SQRT(pos_x^2+pos_z^2)</f>
        <v>988.316843195912</v>
      </c>
      <c r="M265" s="396" t="n">
        <f aca="false">IF(AND(L264&gt;L_rampe,G265&gt;0),ATAN2(G265,H265),$M$4)</f>
        <v>1.22997216219284</v>
      </c>
      <c r="N265" s="397" t="n">
        <f aca="false">DEGREES(Beta)</f>
        <v>70.47221381223</v>
      </c>
      <c r="P265" s="399" t="n">
        <f aca="false">MATCH(t-pas/2-T_ini,CdP_t)</f>
        <v>23</v>
      </c>
      <c r="Q265" s="397" t="n">
        <f aca="false">(INDEX(CdP,2,i_P+1)-INDEX(CdP,2,i_P+0))/(INDEX(CdP,1,i_P+1)-INDEX(CdP,1,i_P+0))*(t-pas/2-T_ini-INDEX(CdP,1,i_P+0))+INDEX(CdP,2,i_P+0)</f>
        <v>0</v>
      </c>
      <c r="R265" s="396" t="n">
        <f aca="false">Poussee/(g*ISP)</f>
        <v>0</v>
      </c>
      <c r="S265" s="398" t="n">
        <f aca="false">S264-Débit*pas</f>
        <v>8.45</v>
      </c>
      <c r="T265" s="397" t="n">
        <f aca="false">m*g</f>
        <v>82.8945</v>
      </c>
      <c r="U265" s="400" t="n">
        <f aca="false">IF(pos_xz&lt;L_rampe,Poids*COS(Beta),0)</f>
        <v>0</v>
      </c>
      <c r="V265" s="396" t="n">
        <f aca="false">Rho_moyen*(20000-Alt_rampe-pos_z)/(20000+Alt_rampe+pos_z)</f>
        <v>1.11265940383499</v>
      </c>
      <c r="W265" s="397" t="n">
        <f aca="false">1/2*Rho*Sref*Cx*vit_xz^2</f>
        <v>24.1979378226675</v>
      </c>
      <c r="Y265" s="401" t="str">
        <f aca="false">IF(AND(pos_z&lt;=0,K264&gt;0),"Impact balistique","") &amp; IF(AND(H266&lt;0,vit_z&gt;=0),"Apogée","") &amp; IF(AND(Poussee=0,Q264&gt;0),"Fin de propulsion","") &amp; IF(AND(L266&gt;L_rampe,pos_xz&lt;=L_rampe),"Sortie de rampe","")</f>
        <v/>
      </c>
      <c r="Z265" s="402" t="str">
        <f aca="false">IF(ABS(t-T_para)&lt;pas/2,"Para","")</f>
        <v/>
      </c>
      <c r="AA265" s="403" t="str">
        <f aca="false">IF(ABS(t-T_satellite)&lt;pas/2,"Satellite","")</f>
        <v/>
      </c>
      <c r="AC265" s="399" t="e">
        <f aca="false">IF(ABS(t-ROUND(t,0))&lt;0.001,t,NA())</f>
        <v>#N/A</v>
      </c>
      <c r="AD265" s="404" t="e">
        <f aca="false">IF(ABS(t-ROUND(t,0))&lt;0.001,pos_x,NA())</f>
        <v>#N/A</v>
      </c>
      <c r="AE265" s="405" t="n">
        <f aca="false">IF(t&lt;T_para, pos_z, NA())</f>
        <v>961.137417886551</v>
      </c>
      <c r="AG265" s="396" t="n">
        <f aca="false">IF(AND(L264&lt;L_rampe,Poussee&lt;Poids*SIN(M264)),0,(-W264+Poussee)/m-Poids*SIN(M264)/m)</f>
        <v>-12.2181522398511</v>
      </c>
      <c r="AH265" s="397" t="n">
        <f aca="false">IF(AND(L264&lt;L_rampe,Poussee&lt;Poids*SIN(M264)), g*SIN(M264), (-W264+Poussee)/m)</f>
        <v>-2.95853838227713</v>
      </c>
    </row>
    <row r="266" customFormat="false" ht="12.75" hidden="false" customHeight="false" outlineLevel="0" collapsed="false">
      <c r="A266" s="396" t="n">
        <f aca="false">IF(B265+0.01&lt;=T_ini+ROUNDUP(Temps_fin_propu,0), 0.01, IF(K265&gt;0, 0.1, 0.0001))</f>
        <v>0.1</v>
      </c>
      <c r="B266" s="397" t="n">
        <f aca="false">B265+pas</f>
        <v>8.19999999999999</v>
      </c>
      <c r="D266" s="396" t="n">
        <f aca="false">IF(AND(L265&lt;L_rampe,Poussee&lt;Poids*SIN(M265)),0,(-W265+Poussee)/m*COS(M265)-U265/m*SIN(M265))</f>
        <v>-0.957218770744418</v>
      </c>
      <c r="E266" s="398" t="n">
        <f aca="false">IF(AND(L265&lt;L_rampe,Poussee&lt;Poids*SIN(M265)),0,(-W265+Poussee)/m*SIN(M265)+U265/m*COS(M265)-Poids/m)</f>
        <v>-12.5089420438433</v>
      </c>
      <c r="F266" s="397" t="n">
        <f aca="false">SQRT(acc_x^2+acc_z^2)</f>
        <v>12.5455130955771</v>
      </c>
      <c r="G266" s="396" t="n">
        <f aca="false">G265+acc_x*pas</f>
        <v>25.3159853031265</v>
      </c>
      <c r="H266" s="398" t="n">
        <f aca="false">H265+acc_z*pas</f>
        <v>70.399105785838</v>
      </c>
      <c r="I266" s="397" t="n">
        <f aca="false">SQRT(vit_x^2+vit_z^2)</f>
        <v>74.8126540587468</v>
      </c>
      <c r="J266" s="396" t="n">
        <f aca="false">J265+0.5*(vit_x+G265)*pas*(K265&gt;=0)</f>
        <v>232.721194034142</v>
      </c>
      <c r="K266" s="398" t="n">
        <f aca="false">K265+0.5*(vit_z+H265)*pas</f>
        <v>968.239873175354</v>
      </c>
      <c r="L266" s="397" t="n">
        <f aca="false">SQRT(pos_x^2+pos_z^2)</f>
        <v>995.815046160331</v>
      </c>
      <c r="M266" s="396" t="n">
        <f aca="false">IF(AND(L265&gt;L_rampe,G266&gt;0),ATAN2(G266,H266),$M$4)</f>
        <v>1.22558902671125</v>
      </c>
      <c r="N266" s="397" t="n">
        <f aca="false">DEGREES(Beta)</f>
        <v>70.2210786481007</v>
      </c>
      <c r="P266" s="399" t="n">
        <f aca="false">MATCH(t-pas/2-T_ini,CdP_t)</f>
        <v>23</v>
      </c>
      <c r="Q266" s="397" t="n">
        <f aca="false">(INDEX(CdP,2,i_P+1)-INDEX(CdP,2,i_P+0))/(INDEX(CdP,1,i_P+1)-INDEX(CdP,1,i_P+0))*(t-pas/2-T_ini-INDEX(CdP,1,i_P+0))+INDEX(CdP,2,i_P+0)</f>
        <v>0</v>
      </c>
      <c r="R266" s="396" t="n">
        <f aca="false">Poussee/(g*ISP)</f>
        <v>0</v>
      </c>
      <c r="S266" s="398" t="n">
        <f aca="false">S265-Débit*pas</f>
        <v>8.45</v>
      </c>
      <c r="T266" s="397" t="n">
        <f aca="false">m*g</f>
        <v>82.8945</v>
      </c>
      <c r="U266" s="400" t="n">
        <f aca="false">IF(pos_xz&lt;L_rampe,Poids*COS(Beta),0)</f>
        <v>0</v>
      </c>
      <c r="V266" s="396" t="n">
        <f aca="false">Rho_moyen*(20000-Alt_rampe-pos_z)/(20000+Alt_rampe+pos_z)</f>
        <v>1.11186758146475</v>
      </c>
      <c r="W266" s="397" t="n">
        <f aca="false">1/2*Rho*Sref*Cx*vit_xz^2</f>
        <v>23.4169721129747</v>
      </c>
      <c r="Y266" s="401" t="str">
        <f aca="false">IF(AND(pos_z&lt;=0,K265&gt;0),"Impact balistique","") &amp; IF(AND(H267&lt;0,vit_z&gt;=0),"Apogée","") &amp; IF(AND(Poussee=0,Q265&gt;0),"Fin de propulsion","") &amp; IF(AND(L267&gt;L_rampe,pos_xz&lt;=L_rampe),"Sortie de rampe","")</f>
        <v/>
      </c>
      <c r="Z266" s="402" t="str">
        <f aca="false">IF(ABS(t-T_para)&lt;pas/2,"Para","")</f>
        <v/>
      </c>
      <c r="AA266" s="403" t="str">
        <f aca="false">IF(ABS(t-T_satellite)&lt;pas/2,"Satellite","")</f>
        <v/>
      </c>
      <c r="AC266" s="399" t="e">
        <f aca="false">IF(ABS(t-ROUND(t,0))&lt;0.001,t,NA())</f>
        <v>#N/A</v>
      </c>
      <c r="AD266" s="404" t="e">
        <f aca="false">IF(ABS(t-ROUND(t,0))&lt;0.001,pos_x,NA())</f>
        <v>#N/A</v>
      </c>
      <c r="AE266" s="405" t="n">
        <f aca="false">IF(t&lt;T_para, pos_z, NA())</f>
        <v>968.239873175354</v>
      </c>
      <c r="AG266" s="396" t="n">
        <f aca="false">IF(AND(L265&lt;L_rampe,Poussee&lt;Poids*SIN(M265)),0,(-W265+Poussee)/m-Poids*SIN(M265)/m)</f>
        <v>-12.1093851475472</v>
      </c>
      <c r="AH266" s="397" t="n">
        <f aca="false">IF(AND(L265&lt;L_rampe,Poussee&lt;Poids*SIN(M265)), g*SIN(M265), (-W265+Poussee)/m)</f>
        <v>-2.86366128078905</v>
      </c>
    </row>
    <row r="267" customFormat="false" ht="12.75" hidden="false" customHeight="false" outlineLevel="0" collapsed="false">
      <c r="A267" s="396" t="n">
        <f aca="false">IF(B266+0.01&lt;=T_ini+ROUNDUP(Temps_fin_propu,0), 0.01, IF(K266&gt;0, 0.1, 0.0001))</f>
        <v>0.1</v>
      </c>
      <c r="B267" s="397" t="n">
        <f aca="false">B266+pas</f>
        <v>8.29999999999999</v>
      </c>
      <c r="D267" s="396" t="n">
        <f aca="false">IF(AND(L266&lt;L_rampe,Poussee&lt;Poids*SIN(M266)),0,(-W266+Poussee)/m*COS(M266)-U266/m*SIN(M266))</f>
        <v>-0.937764531371489</v>
      </c>
      <c r="E267" s="398" t="n">
        <f aca="false">IF(AND(L266&lt;L_rampe,Poussee&lt;Poids*SIN(M266)),0,(-W266+Poussee)/m*SIN(M266)+U266/m*COS(M266)-Poids/m)</f>
        <v>-12.4177509390115</v>
      </c>
      <c r="F267" s="397" t="n">
        <f aca="false">SQRT(acc_x^2+acc_z^2)</f>
        <v>12.4531096799</v>
      </c>
      <c r="G267" s="396" t="n">
        <f aca="false">G266+acc_x*pas</f>
        <v>25.2222088499893</v>
      </c>
      <c r="H267" s="398" t="n">
        <f aca="false">H266+acc_z*pas</f>
        <v>69.1573306919369</v>
      </c>
      <c r="I267" s="397" t="n">
        <f aca="false">SQRT(vit_x^2+vit_z^2)</f>
        <v>73.6131524097861</v>
      </c>
      <c r="J267" s="396" t="n">
        <f aca="false">J266+0.5*(vit_x+G266)*pas*(K266&gt;=0)</f>
        <v>235.248103741798</v>
      </c>
      <c r="K267" s="398" t="n">
        <f aca="false">K266+0.5*(vit_z+H266)*pas</f>
        <v>975.217694999242</v>
      </c>
      <c r="L267" s="397" t="n">
        <f aca="false">SQRT(pos_x^2+pos_z^2)</f>
        <v>1003.19052176232</v>
      </c>
      <c r="M267" s="396" t="n">
        <f aca="false">IF(AND(L266&gt;L_rampe,G267&gt;0),ATAN2(G267,H267),$M$4)</f>
        <v>1.22107945979376</v>
      </c>
      <c r="N267" s="397" t="n">
        <f aca="false">DEGREES(Beta)</f>
        <v>69.962699496297</v>
      </c>
      <c r="P267" s="399" t="n">
        <f aca="false">MATCH(t-pas/2-T_ini,CdP_t)</f>
        <v>23</v>
      </c>
      <c r="Q267" s="397" t="n">
        <f aca="false">(INDEX(CdP,2,i_P+1)-INDEX(CdP,2,i_P+0))/(INDEX(CdP,1,i_P+1)-INDEX(CdP,1,i_P+0))*(t-pas/2-T_ini-INDEX(CdP,1,i_P+0))+INDEX(CdP,2,i_P+0)</f>
        <v>0</v>
      </c>
      <c r="R267" s="396" t="n">
        <f aca="false">Poussee/(g*ISP)</f>
        <v>0</v>
      </c>
      <c r="S267" s="398" t="n">
        <f aca="false">S266-Débit*pas</f>
        <v>8.45</v>
      </c>
      <c r="T267" s="397" t="n">
        <f aca="false">m*g</f>
        <v>82.8945</v>
      </c>
      <c r="U267" s="400" t="n">
        <f aca="false">IF(pos_xz&lt;L_rampe,Poids*COS(Beta),0)</f>
        <v>0</v>
      </c>
      <c r="V267" s="396" t="n">
        <f aca="false">Rho_moyen*(20000-Alt_rampe-pos_z)/(20000+Alt_rampe+pos_z)</f>
        <v>1.11109017615499</v>
      </c>
      <c r="W267" s="397" t="n">
        <f aca="false">1/2*Rho*Sref*Cx*vit_xz^2</f>
        <v>22.6562322124131</v>
      </c>
      <c r="Y267" s="401" t="str">
        <f aca="false">IF(AND(pos_z&lt;=0,K266&gt;0),"Impact balistique","") &amp; IF(AND(H268&lt;0,vit_z&gt;=0),"Apogée","") &amp; IF(AND(Poussee=0,Q266&gt;0),"Fin de propulsion","") &amp; IF(AND(L268&gt;L_rampe,pos_xz&lt;=L_rampe),"Sortie de rampe","")</f>
        <v/>
      </c>
      <c r="Z267" s="402" t="str">
        <f aca="false">IF(ABS(t-T_para)&lt;pas/2,"Para","")</f>
        <v/>
      </c>
      <c r="AA267" s="403" t="str">
        <f aca="false">IF(ABS(t-T_satellite)&lt;pas/2,"Satellite","")</f>
        <v/>
      </c>
      <c r="AC267" s="399" t="e">
        <f aca="false">IF(ABS(t-ROUND(t,0))&lt;0.001,t,NA())</f>
        <v>#N/A</v>
      </c>
      <c r="AD267" s="404" t="e">
        <f aca="false">IF(ABS(t-ROUND(t,0))&lt;0.001,pos_x,NA())</f>
        <v>#N/A</v>
      </c>
      <c r="AE267" s="405" t="n">
        <f aca="false">IF(t&lt;T_para, pos_z, NA())</f>
        <v>975.217694999242</v>
      </c>
      <c r="AG267" s="396" t="n">
        <f aca="false">IF(AND(L266&lt;L_rampe,Poussee&lt;Poids*SIN(M266)),0,(-W266+Poussee)/m-Poids*SIN(M266)/m)</f>
        <v>-12.0025015335847</v>
      </c>
      <c r="AH267" s="397" t="n">
        <f aca="false">IF(AND(L266&lt;L_rampe,Poussee&lt;Poids*SIN(M266)), g*SIN(M266), (-W266+Poussee)/m)</f>
        <v>-2.77123930331062</v>
      </c>
    </row>
    <row r="268" customFormat="false" ht="12.75" hidden="false" customHeight="false" outlineLevel="0" collapsed="false">
      <c r="A268" s="396" t="n">
        <f aca="false">IF(B267+0.01&lt;=T_ini+ROUNDUP(Temps_fin_propu,0), 0.01, IF(K267&gt;0, 0.1, 0.0001))</f>
        <v>0.1</v>
      </c>
      <c r="B268" s="397" t="n">
        <f aca="false">B267+pas</f>
        <v>8.39999999999999</v>
      </c>
      <c r="D268" s="396" t="n">
        <f aca="false">IF(AND(L267&lt;L_rampe,Poussee&lt;Poids*SIN(M267)),0,(-W267+Poussee)/m*COS(M267)-U267/m*SIN(M267))</f>
        <v>-0.918668191722388</v>
      </c>
      <c r="E268" s="398" t="n">
        <f aca="false">IF(AND(L267&lt;L_rampe,Poussee&lt;Poids*SIN(M267)),0,(-W267+Poussee)/m*SIN(M267)+U267/m*COS(M267)-Poids/m)</f>
        <v>-12.3289165750301</v>
      </c>
      <c r="F268" s="397" t="n">
        <f aca="false">SQRT(acc_x^2+acc_z^2)</f>
        <v>12.3630956948709</v>
      </c>
      <c r="G268" s="396" t="n">
        <f aca="false">G267+acc_x*pas</f>
        <v>25.1303420308171</v>
      </c>
      <c r="H268" s="398" t="n">
        <f aca="false">H267+acc_z*pas</f>
        <v>67.9244390344339</v>
      </c>
      <c r="I268" s="397" t="n">
        <f aca="false">SQRT(vit_x^2+vit_z^2)</f>
        <v>72.4241914606465</v>
      </c>
      <c r="J268" s="396" t="n">
        <f aca="false">J267+0.5*(vit_x+G267)*pas*(K267&gt;=0)</f>
        <v>237.765731285838</v>
      </c>
      <c r="K268" s="398" t="n">
        <f aca="false">K267+0.5*(vit_z+H267)*pas</f>
        <v>982.071783485561</v>
      </c>
      <c r="L268" s="397" t="n">
        <f aca="false">SQRT(pos_x^2+pos_z^2)</f>
        <v>1010.44422453315</v>
      </c>
      <c r="M268" s="396" t="n">
        <f aca="false">IF(AND(L267&gt;L_rampe,G268&gt;0),ATAN2(G268,H268),$M$4)</f>
        <v>1.21643842726778</v>
      </c>
      <c r="N268" s="397" t="n">
        <f aca="false">DEGREES(Beta)</f>
        <v>69.6967879199755</v>
      </c>
      <c r="P268" s="399" t="n">
        <f aca="false">MATCH(t-pas/2-T_ini,CdP_t)</f>
        <v>23</v>
      </c>
      <c r="Q268" s="397" t="n">
        <f aca="false">(INDEX(CdP,2,i_P+1)-INDEX(CdP,2,i_P+0))/(INDEX(CdP,1,i_P+1)-INDEX(CdP,1,i_P+0))*(t-pas/2-T_ini-INDEX(CdP,1,i_P+0))+INDEX(CdP,2,i_P+0)</f>
        <v>0</v>
      </c>
      <c r="R268" s="396" t="n">
        <f aca="false">Poussee/(g*ISP)</f>
        <v>0</v>
      </c>
      <c r="S268" s="398" t="n">
        <f aca="false">S267-Débit*pas</f>
        <v>8.45</v>
      </c>
      <c r="T268" s="397" t="n">
        <f aca="false">m*g</f>
        <v>82.8945</v>
      </c>
      <c r="U268" s="400" t="n">
        <f aca="false">IF(pos_xz&lt;L_rampe,Poids*COS(Beta),0)</f>
        <v>0</v>
      </c>
      <c r="V268" s="396" t="n">
        <f aca="false">Rho_moyen*(20000-Alt_rampe-pos_z)/(20000+Alt_rampe+pos_z)</f>
        <v>1.11032705948355</v>
      </c>
      <c r="W268" s="397" t="n">
        <f aca="false">1/2*Rho*Sref*Cx*vit_xz^2</f>
        <v>21.9152173264284</v>
      </c>
      <c r="Y268" s="401" t="str">
        <f aca="false">IF(AND(pos_z&lt;=0,K267&gt;0),"Impact balistique","") &amp; IF(AND(H269&lt;0,vit_z&gt;=0),"Apogée","") &amp; IF(AND(Poussee=0,Q267&gt;0),"Fin de propulsion","") &amp; IF(AND(L269&gt;L_rampe,pos_xz&lt;=L_rampe),"Sortie de rampe","")</f>
        <v/>
      </c>
      <c r="Z268" s="402" t="str">
        <f aca="false">IF(ABS(t-T_para)&lt;pas/2,"Para","")</f>
        <v/>
      </c>
      <c r="AA268" s="403" t="str">
        <f aca="false">IF(ABS(t-T_satellite)&lt;pas/2,"Satellite","")</f>
        <v/>
      </c>
      <c r="AC268" s="399" t="e">
        <f aca="false">IF(ABS(t-ROUND(t,0))&lt;0.001,t,NA())</f>
        <v>#N/A</v>
      </c>
      <c r="AD268" s="404" t="e">
        <f aca="false">IF(ABS(t-ROUND(t,0))&lt;0.001,pos_x,NA())</f>
        <v>#N/A</v>
      </c>
      <c r="AE268" s="405" t="n">
        <f aca="false">IF(t&lt;T_para, pos_z, NA())</f>
        <v>982.071783485561</v>
      </c>
      <c r="AG268" s="396" t="n">
        <f aca="false">IF(AND(L267&lt;L_rampe,Poussee&lt;Poids*SIN(M267)),0,(-W267+Poussee)/m-Poids*SIN(M267)/m)</f>
        <v>-11.89740926693</v>
      </c>
      <c r="AH268" s="397" t="n">
        <f aca="false">IF(AND(L267&lt;L_rampe,Poussee&lt;Poids*SIN(M267)), g*SIN(M267), (-W267+Poussee)/m)</f>
        <v>-2.68121091271161</v>
      </c>
    </row>
    <row r="269" customFormat="false" ht="12.75" hidden="false" customHeight="false" outlineLevel="0" collapsed="false">
      <c r="A269" s="396" t="n">
        <f aca="false">IF(B268+0.01&lt;=T_ini+ROUNDUP(Temps_fin_propu,0), 0.01, IF(K268&gt;0, 0.1, 0.0001))</f>
        <v>0.1</v>
      </c>
      <c r="B269" s="397" t="n">
        <f aca="false">B268+pas</f>
        <v>8.49999999999999</v>
      </c>
      <c r="D269" s="396" t="n">
        <f aca="false">IF(AND(L268&lt;L_rampe,Poussee&lt;Poids*SIN(M268)),0,(-W268+Poussee)/m*COS(M268)-U268/m*SIN(M268))</f>
        <v>-0.899919819910523</v>
      </c>
      <c r="E269" s="398" t="n">
        <f aca="false">IF(AND(L268&lt;L_rampe,Poussee&lt;Poids*SIN(M268)),0,(-W268+Poussee)/m*SIN(M268)+U268/m*COS(M268)-Poids/m)</f>
        <v>-12.2423803022033</v>
      </c>
      <c r="F269" s="397" t="n">
        <f aca="false">SQRT(acc_x^2+acc_z^2)</f>
        <v>12.2754116487409</v>
      </c>
      <c r="G269" s="396" t="n">
        <f aca="false">G268+acc_x*pas</f>
        <v>25.040350048826</v>
      </c>
      <c r="H269" s="398" t="n">
        <f aca="false">H268+acc_z*pas</f>
        <v>66.7002010042136</v>
      </c>
      <c r="I269" s="397" t="n">
        <f aca="false">SQRT(vit_x^2+vit_z^2)</f>
        <v>71.2456029841157</v>
      </c>
      <c r="J269" s="396" t="n">
        <f aca="false">J268+0.5*(vit_x+G268)*pas*(K268&gt;=0)</f>
        <v>240.274265889821</v>
      </c>
      <c r="K269" s="398" t="n">
        <f aca="false">K268+0.5*(vit_z+H268)*pas</f>
        <v>988.803015487493</v>
      </c>
      <c r="L269" s="397" t="n">
        <f aca="false">SQRT(pos_x^2+pos_z^2)</f>
        <v>1017.57708616402</v>
      </c>
      <c r="M269" s="396" t="n">
        <f aca="false">IF(AND(L268&gt;L_rampe,G269&gt;0),ATAN2(G269,H269),$M$4)</f>
        <v>1.21166063418597</v>
      </c>
      <c r="N269" s="397" t="n">
        <f aca="false">DEGREES(Beta)</f>
        <v>69.4230405410008</v>
      </c>
      <c r="P269" s="399" t="n">
        <f aca="false">MATCH(t-pas/2-T_ini,CdP_t)</f>
        <v>23</v>
      </c>
      <c r="Q269" s="397" t="n">
        <f aca="false">(INDEX(CdP,2,i_P+1)-INDEX(CdP,2,i_P+0))/(INDEX(CdP,1,i_P+1)-INDEX(CdP,1,i_P+0))*(t-pas/2-T_ini-INDEX(CdP,1,i_P+0))+INDEX(CdP,2,i_P+0)</f>
        <v>0</v>
      </c>
      <c r="R269" s="396" t="n">
        <f aca="false">Poussee/(g*ISP)</f>
        <v>0</v>
      </c>
      <c r="S269" s="398" t="n">
        <f aca="false">S268-Débit*pas</f>
        <v>8.45</v>
      </c>
      <c r="T269" s="397" t="n">
        <f aca="false">m*g</f>
        <v>82.8945</v>
      </c>
      <c r="U269" s="400" t="n">
        <f aca="false">IF(pos_xz&lt;L_rampe,Poids*COS(Beta),0)</f>
        <v>0</v>
      </c>
      <c r="V269" s="396" t="n">
        <f aca="false">Rho_moyen*(20000-Alt_rampe-pos_z)/(20000+Alt_rampe+pos_z)</f>
        <v>1.10957810642385</v>
      </c>
      <c r="W269" s="397" t="n">
        <f aca="false">1/2*Rho*Sref*Cx*vit_xz^2</f>
        <v>21.1934450730731</v>
      </c>
      <c r="Y269" s="401" t="str">
        <f aca="false">IF(AND(pos_z&lt;=0,K268&gt;0),"Impact balistique","") &amp; IF(AND(H270&lt;0,vit_z&gt;=0),"Apogée","") &amp; IF(AND(Poussee=0,Q268&gt;0),"Fin de propulsion","") &amp; IF(AND(L270&gt;L_rampe,pos_xz&lt;=L_rampe),"Sortie de rampe","")</f>
        <v/>
      </c>
      <c r="Z269" s="402" t="str">
        <f aca="false">IF(ABS(t-T_para)&lt;pas/2,"Para","")</f>
        <v/>
      </c>
      <c r="AA269" s="403" t="str">
        <f aca="false">IF(ABS(t-T_satellite)&lt;pas/2,"Satellite","")</f>
        <v/>
      </c>
      <c r="AC269" s="399" t="e">
        <f aca="false">IF(ABS(t-ROUND(t,0))&lt;0.001,t,NA())</f>
        <v>#N/A</v>
      </c>
      <c r="AD269" s="404" t="e">
        <f aca="false">IF(ABS(t-ROUND(t,0))&lt;0.001,pos_x,NA())</f>
        <v>#N/A</v>
      </c>
      <c r="AE269" s="405" t="n">
        <f aca="false">IF(t&lt;T_para, pos_z, NA())</f>
        <v>988.803015487493</v>
      </c>
      <c r="AG269" s="396" t="n">
        <f aca="false">IF(AND(L268&lt;L_rampe,Poussee&lt;Poids*SIN(M268)),0,(-W268+Poussee)/m-Poids*SIN(M268)/m)</f>
        <v>-11.7940164760025</v>
      </c>
      <c r="AH269" s="397" t="n">
        <f aca="false">IF(AND(L268&lt;L_rampe,Poussee&lt;Poids*SIN(M268)), g*SIN(M268), (-W268+Poussee)/m)</f>
        <v>-2.59351684336431</v>
      </c>
    </row>
    <row r="270" customFormat="false" ht="12.75" hidden="false" customHeight="false" outlineLevel="0" collapsed="false">
      <c r="A270" s="396" t="n">
        <f aca="false">IF(B269+0.01&lt;=T_ini+ROUNDUP(Temps_fin_propu,0), 0.01, IF(K269&gt;0, 0.1, 0.0001))</f>
        <v>0.1</v>
      </c>
      <c r="B270" s="397" t="n">
        <f aca="false">B269+pas</f>
        <v>8.59999999999999</v>
      </c>
      <c r="D270" s="396" t="n">
        <f aca="false">IF(AND(L269&lt;L_rampe,Poussee&lt;Poids*SIN(M269)),0,(-W269+Poussee)/m*COS(M269)-U269/m*SIN(M269))</f>
        <v>-0.881509869289816</v>
      </c>
      <c r="E270" s="398" t="n">
        <f aca="false">IF(AND(L269&lt;L_rampe,Poussee&lt;Poids*SIN(M269)),0,(-W269+Poussee)/m*SIN(M269)+U269/m*COS(M269)-Poids/m)</f>
        <v>-12.1580856040024</v>
      </c>
      <c r="F270" s="397" t="n">
        <f aca="false">SQRT(acc_x^2+acc_z^2)</f>
        <v>12.1900002134498</v>
      </c>
      <c r="G270" s="396" t="n">
        <f aca="false">G269+acc_x*pas</f>
        <v>24.952199061897</v>
      </c>
      <c r="H270" s="398" t="n">
        <f aca="false">H269+acc_z*pas</f>
        <v>65.4843924438133</v>
      </c>
      <c r="I270" s="397" t="n">
        <f aca="false">SQRT(vit_x^2+vit_z^2)</f>
        <v>70.0772280541967</v>
      </c>
      <c r="J270" s="396" t="n">
        <f aca="false">J269+0.5*(vit_x+G269)*pas*(K269&gt;=0)</f>
        <v>242.773893345357</v>
      </c>
      <c r="K270" s="398" t="n">
        <f aca="false">K269+0.5*(vit_z+H269)*pas</f>
        <v>995.412245159895</v>
      </c>
      <c r="L270" s="397" t="n">
        <f aca="false">SQRT(pos_x^2+pos_z^2)</f>
        <v>1024.59001610611</v>
      </c>
      <c r="M270" s="396" t="n">
        <f aca="false">IF(AND(L269&gt;L_rampe,G270&gt;0),ATAN2(G270,H270),$M$4)</f>
        <v>1.20674050875967</v>
      </c>
      <c r="N270" s="397" t="n">
        <f aca="false">DEGREES(Beta)</f>
        <v>69.1411381193991</v>
      </c>
      <c r="P270" s="399" t="n">
        <f aca="false">MATCH(t-pas/2-T_ini,CdP_t)</f>
        <v>23</v>
      </c>
      <c r="Q270" s="397" t="n">
        <f aca="false">(INDEX(CdP,2,i_P+1)-INDEX(CdP,2,i_P+0))/(INDEX(CdP,1,i_P+1)-INDEX(CdP,1,i_P+0))*(t-pas/2-T_ini-INDEX(CdP,1,i_P+0))+INDEX(CdP,2,i_P+0)</f>
        <v>0</v>
      </c>
      <c r="R270" s="396" t="n">
        <f aca="false">Poussee/(g*ISP)</f>
        <v>0</v>
      </c>
      <c r="S270" s="398" t="n">
        <f aca="false">S269-Débit*pas</f>
        <v>8.45</v>
      </c>
      <c r="T270" s="397" t="n">
        <f aca="false">m*g</f>
        <v>82.8945</v>
      </c>
      <c r="U270" s="400" t="n">
        <f aca="false">IF(pos_xz&lt;L_rampe,Poids*COS(Beta),0)</f>
        <v>0</v>
      </c>
      <c r="V270" s="396" t="n">
        <f aca="false">Rho_moyen*(20000-Alt_rampe-pos_z)/(20000+Alt_rampe+pos_z)</f>
        <v>1.10884319525786</v>
      </c>
      <c r="W270" s="397" t="n">
        <f aca="false">1/2*Rho*Sref*Cx*vit_xz^2</f>
        <v>20.4904507399571</v>
      </c>
      <c r="Y270" s="401" t="str">
        <f aca="false">IF(AND(pos_z&lt;=0,K269&gt;0),"Impact balistique","") &amp; IF(AND(H271&lt;0,vit_z&gt;=0),"Apogée","") &amp; IF(AND(Poussee=0,Q269&gt;0),"Fin de propulsion","") &amp; IF(AND(L271&gt;L_rampe,pos_xz&lt;=L_rampe),"Sortie de rampe","")</f>
        <v/>
      </c>
      <c r="Z270" s="402" t="str">
        <f aca="false">IF(ABS(t-T_para)&lt;pas/2,"Para","")</f>
        <v/>
      </c>
      <c r="AA270" s="403" t="str">
        <f aca="false">IF(ABS(t-T_satellite)&lt;pas/2,"Satellite","")</f>
        <v/>
      </c>
      <c r="AC270" s="399" t="e">
        <f aca="false">IF(ABS(t-ROUND(t,0))&lt;0.001,t,NA())</f>
        <v>#N/A</v>
      </c>
      <c r="AD270" s="404" t="e">
        <f aca="false">IF(ABS(t-ROUND(t,0))&lt;0.001,pos_x,NA())</f>
        <v>#N/A</v>
      </c>
      <c r="AE270" s="405" t="n">
        <f aca="false">IF(t&lt;T_para, pos_z, NA())</f>
        <v>995.412245159895</v>
      </c>
      <c r="AG270" s="396" t="n">
        <f aca="false">IF(AND(L269&lt;L_rampe,Poussee&lt;Poids*SIN(M269)),0,(-W269+Poussee)/m-Poids*SIN(M269)/m)</f>
        <v>-11.6922313015953</v>
      </c>
      <c r="AH270" s="397" t="n">
        <f aca="false">IF(AND(L269&lt;L_rampe,Poussee&lt;Poids*SIN(M269)), g*SIN(M269), (-W269+Poussee)/m)</f>
        <v>-2.5081000086477</v>
      </c>
    </row>
    <row r="271" customFormat="false" ht="12.75" hidden="false" customHeight="false" outlineLevel="0" collapsed="false">
      <c r="A271" s="396" t="n">
        <f aca="false">IF(B270+0.01&lt;=T_ini+ROUNDUP(Temps_fin_propu,0), 0.01, IF(K270&gt;0, 0.1, 0.0001))</f>
        <v>0.1</v>
      </c>
      <c r="B271" s="397" t="n">
        <f aca="false">B270+pas</f>
        <v>8.69999999999999</v>
      </c>
      <c r="D271" s="396" t="n">
        <f aca="false">IF(AND(L270&lt;L_rampe,Poussee&lt;Poids*SIN(M270)),0,(-W270+Poussee)/m*COS(M270)-U270/m*SIN(M270))</f>
        <v>-0.863429165962001</v>
      </c>
      <c r="E271" s="398" t="n">
        <f aca="false">IF(AND(L270&lt;L_rampe,Poussee&lt;Poids*SIN(M270)),0,(-W270+Poussee)/m*SIN(M270)+U270/m*COS(M270)-Poids/m)</f>
        <v>-12.0759780090337</v>
      </c>
      <c r="F271" s="397" t="n">
        <f aca="false">SQRT(acc_x^2+acc_z^2)</f>
        <v>12.1068061353645</v>
      </c>
      <c r="G271" s="396" t="n">
        <f aca="false">G270+acc_x*pas</f>
        <v>24.8658561453008</v>
      </c>
      <c r="H271" s="398" t="n">
        <f aca="false">H270+acc_z*pas</f>
        <v>64.27679464291</v>
      </c>
      <c r="I271" s="397" t="n">
        <f aca="false">SQRT(vit_x^2+vit_z^2)</f>
        <v>68.9189170794609</v>
      </c>
      <c r="J271" s="396" t="n">
        <f aca="false">J270+0.5*(vit_x+G270)*pas*(K270&gt;=0)</f>
        <v>245.264796105717</v>
      </c>
      <c r="K271" s="398" t="n">
        <f aca="false">K270+0.5*(vit_z+H270)*pas</f>
        <v>1001.90030451423</v>
      </c>
      <c r="L271" s="397" t="n">
        <f aca="false">SQRT(pos_x^2+pos_z^2)</f>
        <v>1031.48390214995</v>
      </c>
      <c r="M271" s="396" t="n">
        <f aca="false">IF(AND(L270&gt;L_rampe,G271&gt;0),ATAN2(G271,H271),$M$4)</f>
        <v>1.20167218518364</v>
      </c>
      <c r="N271" s="397" t="n">
        <f aca="false">DEGREES(Beta)</f>
        <v>68.8507445692855</v>
      </c>
      <c r="P271" s="399" t="n">
        <f aca="false">MATCH(t-pas/2-T_ini,CdP_t)</f>
        <v>23</v>
      </c>
      <c r="Q271" s="397" t="n">
        <f aca="false">(INDEX(CdP,2,i_P+1)-INDEX(CdP,2,i_P+0))/(INDEX(CdP,1,i_P+1)-INDEX(CdP,1,i_P+0))*(t-pas/2-T_ini-INDEX(CdP,1,i_P+0))+INDEX(CdP,2,i_P+0)</f>
        <v>0</v>
      </c>
      <c r="R271" s="396" t="n">
        <f aca="false">Poussee/(g*ISP)</f>
        <v>0</v>
      </c>
      <c r="S271" s="398" t="n">
        <f aca="false">S270-Débit*pas</f>
        <v>8.45</v>
      </c>
      <c r="T271" s="397" t="n">
        <f aca="false">m*g</f>
        <v>82.8945</v>
      </c>
      <c r="U271" s="400" t="n">
        <f aca="false">IF(pos_xz&lt;L_rampe,Poids*COS(Beta),0)</f>
        <v>0</v>
      </c>
      <c r="V271" s="396" t="n">
        <f aca="false">Rho_moyen*(20000-Alt_rampe-pos_z)/(20000+Alt_rampe+pos_z)</f>
        <v>1.10812220749223</v>
      </c>
      <c r="W271" s="397" t="n">
        <f aca="false">1/2*Rho*Sref*Cx*vit_xz^2</f>
        <v>19.8057865776156</v>
      </c>
      <c r="Y271" s="401" t="str">
        <f aca="false">IF(AND(pos_z&lt;=0,K270&gt;0),"Impact balistique","") &amp; IF(AND(H272&lt;0,vit_z&gt;=0),"Apogée","") &amp; IF(AND(Poussee=0,Q270&gt;0),"Fin de propulsion","") &amp; IF(AND(L272&gt;L_rampe,pos_xz&lt;=L_rampe),"Sortie de rampe","")</f>
        <v/>
      </c>
      <c r="Z271" s="402" t="str">
        <f aca="false">IF(ABS(t-T_para)&lt;pas/2,"Para","")</f>
        <v/>
      </c>
      <c r="AA271" s="403" t="str">
        <f aca="false">IF(ABS(t-T_satellite)&lt;pas/2,"Satellite","")</f>
        <v/>
      </c>
      <c r="AC271" s="399" t="e">
        <f aca="false">IF(ABS(t-ROUND(t,0))&lt;0.001,t,NA())</f>
        <v>#N/A</v>
      </c>
      <c r="AD271" s="404" t="e">
        <f aca="false">IF(ABS(t-ROUND(t,0))&lt;0.001,pos_x,NA())</f>
        <v>#N/A</v>
      </c>
      <c r="AE271" s="405" t="n">
        <f aca="false">IF(t&lt;T_para, pos_z, NA())</f>
        <v>1001.90030451423</v>
      </c>
      <c r="AG271" s="396" t="n">
        <f aca="false">IF(AND(L270&lt;L_rampe,Poussee&lt;Poids*SIN(M270)),0,(-W270+Poussee)/m-Poids*SIN(M270)/m)</f>
        <v>-11.5919616409928</v>
      </c>
      <c r="AH271" s="397" t="n">
        <f aca="false">IF(AND(L270&lt;L_rampe,Poussee&lt;Poids*SIN(M270)), g*SIN(M270), (-W270+Poussee)/m)</f>
        <v>-2.42490541301268</v>
      </c>
    </row>
    <row r="272" customFormat="false" ht="12.75" hidden="false" customHeight="false" outlineLevel="0" collapsed="false">
      <c r="A272" s="396" t="n">
        <f aca="false">IF(B271+0.01&lt;=T_ini+ROUNDUP(Temps_fin_propu,0), 0.01, IF(K271&gt;0, 0.1, 0.0001))</f>
        <v>0.1</v>
      </c>
      <c r="B272" s="397" t="n">
        <f aca="false">B271+pas</f>
        <v>8.79999999999999</v>
      </c>
      <c r="D272" s="396" t="n">
        <f aca="false">IF(AND(L271&lt;L_rampe,Poussee&lt;Poids*SIN(M271)),0,(-W271+Poussee)/m*COS(M271)-U271/m*SIN(M271))</f>
        <v>-0.845668897182503</v>
      </c>
      <c r="E272" s="398" t="n">
        <f aca="false">IF(AND(L271&lt;L_rampe,Poussee&lt;Poids*SIN(M271)),0,(-W271+Poussee)/m*SIN(M271)+U271/m*COS(M271)-Poids/m)</f>
        <v>-11.9960050071257</v>
      </c>
      <c r="F272" s="397" t="n">
        <f aca="false">SQRT(acc_x^2+acc_z^2)</f>
        <v>12.025776150197</v>
      </c>
      <c r="G272" s="396" t="n">
        <f aca="false">G271+acc_x*pas</f>
        <v>24.7812892555826</v>
      </c>
      <c r="H272" s="398" t="n">
        <f aca="false">H271+acc_z*pas</f>
        <v>63.0771941421974</v>
      </c>
      <c r="I272" s="397" t="n">
        <f aca="false">SQRT(vit_x^2+vit_z^2)</f>
        <v>67.7705298638082</v>
      </c>
      <c r="J272" s="396" t="n">
        <f aca="false">J271+0.5*(vit_x+G271)*pas*(K271&gt;=0)</f>
        <v>247.747153375761</v>
      </c>
      <c r="K272" s="398" t="n">
        <f aca="false">K271+0.5*(vit_z+H271)*pas</f>
        <v>1008.26800395349</v>
      </c>
      <c r="L272" s="397" t="n">
        <f aca="false">SQRT(pos_x^2+pos_z^2)</f>
        <v>1038.25961098472</v>
      </c>
      <c r="M272" s="396" t="n">
        <f aca="false">IF(AND(L271&gt;L_rampe,G272&gt;0),ATAN2(G272,H272),$M$4)</f>
        <v>1.19644948527274</v>
      </c>
      <c r="N272" s="397" t="n">
        <f aca="false">DEGREES(Beta)</f>
        <v>68.5515059067276</v>
      </c>
      <c r="P272" s="399" t="n">
        <f aca="false">MATCH(t-pas/2-T_ini,CdP_t)</f>
        <v>23</v>
      </c>
      <c r="Q272" s="397" t="n">
        <f aca="false">(INDEX(CdP,2,i_P+1)-INDEX(CdP,2,i_P+0))/(INDEX(CdP,1,i_P+1)-INDEX(CdP,1,i_P+0))*(t-pas/2-T_ini-INDEX(CdP,1,i_P+0))+INDEX(CdP,2,i_P+0)</f>
        <v>0</v>
      </c>
      <c r="R272" s="396" t="n">
        <f aca="false">Poussee/(g*ISP)</f>
        <v>0</v>
      </c>
      <c r="S272" s="398" t="n">
        <f aca="false">S271-Débit*pas</f>
        <v>8.45</v>
      </c>
      <c r="T272" s="397" t="n">
        <f aca="false">m*g</f>
        <v>82.8945</v>
      </c>
      <c r="U272" s="400" t="n">
        <f aca="false">IF(pos_xz&lt;L_rampe,Poids*COS(Beta),0)</f>
        <v>0</v>
      </c>
      <c r="V272" s="396" t="n">
        <f aca="false">Rho_moyen*(20000-Alt_rampe-pos_z)/(20000+Alt_rampe+pos_z)</f>
        <v>1.10741502777758</v>
      </c>
      <c r="W272" s="397" t="n">
        <f aca="false">1/2*Rho*Sref*Cx*vit_xz^2</f>
        <v>19.1390211272975</v>
      </c>
      <c r="Y272" s="401" t="str">
        <f aca="false">IF(AND(pos_z&lt;=0,K271&gt;0),"Impact balistique","") &amp; IF(AND(H273&lt;0,vit_z&gt;=0),"Apogée","") &amp; IF(AND(Poussee=0,Q271&gt;0),"Fin de propulsion","") &amp; IF(AND(L273&gt;L_rampe,pos_xz&lt;=L_rampe),"Sortie de rampe","")</f>
        <v/>
      </c>
      <c r="Z272" s="402" t="str">
        <f aca="false">IF(ABS(t-T_para)&lt;pas/2,"Para","")</f>
        <v/>
      </c>
      <c r="AA272" s="403" t="str">
        <f aca="false">IF(ABS(t-T_satellite)&lt;pas/2,"Satellite","")</f>
        <v/>
      </c>
      <c r="AC272" s="399" t="e">
        <f aca="false">IF(ABS(t-ROUND(t,0))&lt;0.001,t,NA())</f>
        <v>#N/A</v>
      </c>
      <c r="AD272" s="404" t="e">
        <f aca="false">IF(ABS(t-ROUND(t,0))&lt;0.001,pos_x,NA())</f>
        <v>#N/A</v>
      </c>
      <c r="AE272" s="405" t="n">
        <f aca="false">IF(t&lt;T_para, pos_z, NA())</f>
        <v>1008.26800395349</v>
      </c>
      <c r="AG272" s="396" t="n">
        <f aca="false">IF(AND(L271&lt;L_rampe,Poussee&lt;Poids*SIN(M271)),0,(-W271+Poussee)/m-Poids*SIN(M271)/m)</f>
        <v>-11.4931148817818</v>
      </c>
      <c r="AH272" s="397" t="n">
        <f aca="false">IF(AND(L271&lt;L_rampe,Poussee&lt;Poids*SIN(M271)), g*SIN(M271), (-W271+Poussee)/m)</f>
        <v>-2.34388006835688</v>
      </c>
    </row>
    <row r="273" customFormat="false" ht="12.75" hidden="false" customHeight="false" outlineLevel="0" collapsed="false">
      <c r="A273" s="396" t="n">
        <f aca="false">IF(B272+0.01&lt;=T_ini+ROUNDUP(Temps_fin_propu,0), 0.01, IF(K272&gt;0, 0.1, 0.0001))</f>
        <v>0.1</v>
      </c>
      <c r="B273" s="397" t="n">
        <f aca="false">B272+pas</f>
        <v>8.89999999999999</v>
      </c>
      <c r="D273" s="396" t="n">
        <f aca="false">IF(AND(L272&lt;L_rampe,Poussee&lt;Poids*SIN(M272)),0,(-W272+Poussee)/m*COS(M272)-U272/m*SIN(M272))</f>
        <v>-0.828220600641817</v>
      </c>
      <c r="E273" s="398" t="n">
        <f aca="false">IF(AND(L272&lt;L_rampe,Poussee&lt;Poids*SIN(M272)),0,(-W272+Poussee)/m*SIN(M272)+U272/m*COS(M272)-Poids/m)</f>
        <v>-11.9181159692885</v>
      </c>
      <c r="F273" s="397" t="n">
        <f aca="false">SQRT(acc_x^2+acc_z^2)</f>
        <v>11.946858901851</v>
      </c>
      <c r="G273" s="396" t="n">
        <f aca="false">G272+acc_x*pas</f>
        <v>24.6984671955184</v>
      </c>
      <c r="H273" s="398" t="n">
        <f aca="false">H272+acc_z*pas</f>
        <v>61.8853825452685</v>
      </c>
      <c r="I273" s="397" t="n">
        <f aca="false">SQRT(vit_x^2+vit_z^2)</f>
        <v>66.6319356958983</v>
      </c>
      <c r="J273" s="396" t="n">
        <f aca="false">J272+0.5*(vit_x+G272)*pas*(K272&gt;=0)</f>
        <v>250.221141198316</v>
      </c>
      <c r="K273" s="398" t="n">
        <f aca="false">K272+0.5*(vit_z+H272)*pas</f>
        <v>1014.51613278786</v>
      </c>
      <c r="L273" s="397" t="n">
        <f aca="false">SQRT(pos_x^2+pos_z^2)</f>
        <v>1044.91798873855</v>
      </c>
      <c r="M273" s="396" t="n">
        <f aca="false">IF(AND(L272&gt;L_rampe,G273&gt;0),ATAN2(G273,H273),$M$4)</f>
        <v>1.19106589882666</v>
      </c>
      <c r="N273" s="397" t="n">
        <f aca="false">DEGREES(Beta)</f>
        <v>68.2430491247237</v>
      </c>
      <c r="P273" s="399" t="n">
        <f aca="false">MATCH(t-pas/2-T_ini,CdP_t)</f>
        <v>23</v>
      </c>
      <c r="Q273" s="397" t="n">
        <f aca="false">(INDEX(CdP,2,i_P+1)-INDEX(CdP,2,i_P+0))/(INDEX(CdP,1,i_P+1)-INDEX(CdP,1,i_P+0))*(t-pas/2-T_ini-INDEX(CdP,1,i_P+0))+INDEX(CdP,2,i_P+0)</f>
        <v>0</v>
      </c>
      <c r="R273" s="396" t="n">
        <f aca="false">Poussee/(g*ISP)</f>
        <v>0</v>
      </c>
      <c r="S273" s="398" t="n">
        <f aca="false">S272-Débit*pas</f>
        <v>8.45</v>
      </c>
      <c r="T273" s="397" t="n">
        <f aca="false">m*g</f>
        <v>82.8945</v>
      </c>
      <c r="U273" s="400" t="n">
        <f aca="false">IF(pos_xz&lt;L_rampe,Poids*COS(Beta),0)</f>
        <v>0</v>
      </c>
      <c r="V273" s="396" t="n">
        <f aca="false">Rho_moyen*(20000-Alt_rampe-pos_z)/(20000+Alt_rampe+pos_z)</f>
        <v>1.10672154383074</v>
      </c>
      <c r="W273" s="397" t="n">
        <f aca="false">1/2*Rho*Sref*Cx*vit_xz^2</f>
        <v>18.4897385813061</v>
      </c>
      <c r="Y273" s="401" t="str">
        <f aca="false">IF(AND(pos_z&lt;=0,K272&gt;0),"Impact balistique","") &amp; IF(AND(H274&lt;0,vit_z&gt;=0),"Apogée","") &amp; IF(AND(Poussee=0,Q272&gt;0),"Fin de propulsion","") &amp; IF(AND(L274&gt;L_rampe,pos_xz&lt;=L_rampe),"Sortie de rampe","")</f>
        <v/>
      </c>
      <c r="Z273" s="402" t="str">
        <f aca="false">IF(ABS(t-T_para)&lt;pas/2,"Para","")</f>
        <v/>
      </c>
      <c r="AA273" s="403" t="str">
        <f aca="false">IF(ABS(t-T_satellite)&lt;pas/2,"Satellite","")</f>
        <v/>
      </c>
      <c r="AC273" s="399" t="e">
        <f aca="false">IF(ABS(t-ROUND(t,0))&lt;0.001,t,NA())</f>
        <v>#N/A</v>
      </c>
      <c r="AD273" s="404" t="e">
        <f aca="false">IF(ABS(t-ROUND(t,0))&lt;0.001,pos_x,NA())</f>
        <v>#N/A</v>
      </c>
      <c r="AE273" s="405" t="n">
        <f aca="false">IF(t&lt;T_para, pos_z, NA())</f>
        <v>1014.51613278786</v>
      </c>
      <c r="AG273" s="396" t="n">
        <f aca="false">IF(AND(L272&lt;L_rampe,Poussee&lt;Poids*SIN(M272)),0,(-W272+Poussee)/m-Poids*SIN(M272)/m)</f>
        <v>-11.3955976237453</v>
      </c>
      <c r="AH273" s="397" t="n">
        <f aca="false">IF(AND(L272&lt;L_rampe,Poussee&lt;Poids*SIN(M272)), g*SIN(M272), (-W272+Poussee)/m)</f>
        <v>-2.26497291447308</v>
      </c>
    </row>
    <row r="274" customFormat="false" ht="12.75" hidden="false" customHeight="false" outlineLevel="0" collapsed="false">
      <c r="A274" s="396" t="n">
        <f aca="false">IF(B273+0.01&lt;=T_ini+ROUNDUP(Temps_fin_propu,0), 0.01, IF(K273&gt;0, 0.1, 0.0001))</f>
        <v>0.1</v>
      </c>
      <c r="B274" s="397" t="n">
        <f aca="false">B273+pas</f>
        <v>8.99999999999999</v>
      </c>
      <c r="D274" s="396" t="n">
        <f aca="false">IF(AND(L273&lt;L_rampe,Poussee&lt;Poids*SIN(M273)),0,(-W273+Poussee)/m*COS(M273)-U273/m*SIN(M273))</f>
        <v>-0.811076154603247</v>
      </c>
      <c r="E274" s="398" t="n">
        <f aca="false">IF(AND(L273&lt;L_rampe,Poussee&lt;Poids*SIN(M273)),0,(-W273+Poussee)/m*SIN(M273)+U273/m*COS(M273)-Poids/m)</f>
        <v>-11.8422620713108</v>
      </c>
      <c r="F274" s="397" t="n">
        <f aca="false">SQRT(acc_x^2+acc_z^2)</f>
        <v>11.87000486496</v>
      </c>
      <c r="G274" s="396" t="n">
        <f aca="false">G273+acc_x*pas</f>
        <v>24.6173595800581</v>
      </c>
      <c r="H274" s="398" t="n">
        <f aca="false">H273+acc_z*pas</f>
        <v>60.7011563381374</v>
      </c>
      <c r="I274" s="397" t="n">
        <f aca="false">SQRT(vit_x^2+vit_z^2)</f>
        <v>65.5030134687014</v>
      </c>
      <c r="J274" s="396" t="n">
        <f aca="false">J273+0.5*(vit_x+G273)*pas*(K273&gt;=0)</f>
        <v>252.686932537095</v>
      </c>
      <c r="K274" s="398" t="n">
        <f aca="false">K273+0.5*(vit_z+H273)*pas</f>
        <v>1020.64545973203</v>
      </c>
      <c r="L274" s="397" t="n">
        <f aca="false">SQRT(pos_x^2+pos_z^2)</f>
        <v>1051.45986150048</v>
      </c>
      <c r="M274" s="396" t="n">
        <f aca="false">IF(AND(L273&gt;L_rampe,G274&gt;0),ATAN2(G274,H274),$M$4)</f>
        <v>1.18551456263336</v>
      </c>
      <c r="N274" s="397" t="n">
        <f aca="false">DEGREES(Beta)</f>
        <v>67.9249809901891</v>
      </c>
      <c r="P274" s="399" t="n">
        <f aca="false">MATCH(t-pas/2-T_ini,CdP_t)</f>
        <v>23</v>
      </c>
      <c r="Q274" s="397" t="n">
        <f aca="false">(INDEX(CdP,2,i_P+1)-INDEX(CdP,2,i_P+0))/(INDEX(CdP,1,i_P+1)-INDEX(CdP,1,i_P+0))*(t-pas/2-T_ini-INDEX(CdP,1,i_P+0))+INDEX(CdP,2,i_P+0)</f>
        <v>0</v>
      </c>
      <c r="R274" s="396" t="n">
        <f aca="false">Poussee/(g*ISP)</f>
        <v>0</v>
      </c>
      <c r="S274" s="398" t="n">
        <f aca="false">S273-Débit*pas</f>
        <v>8.45</v>
      </c>
      <c r="T274" s="397" t="n">
        <f aca="false">m*g</f>
        <v>82.8945</v>
      </c>
      <c r="U274" s="400" t="n">
        <f aca="false">IF(pos_xz&lt;L_rampe,Poids*COS(Beta),0)</f>
        <v>0</v>
      </c>
      <c r="V274" s="396" t="n">
        <f aca="false">Rho_moyen*(20000-Alt_rampe-pos_z)/(20000+Alt_rampe+pos_z)</f>
        <v>1.10604164635983</v>
      </c>
      <c r="W274" s="397" t="n">
        <f aca="false">1/2*Rho*Sref*Cx*vit_xz^2</f>
        <v>17.8575381741338</v>
      </c>
      <c r="Y274" s="401" t="str">
        <f aca="false">IF(AND(pos_z&lt;=0,K273&gt;0),"Impact balistique","") &amp; IF(AND(H275&lt;0,vit_z&gt;=0),"Apogée","") &amp; IF(AND(Poussee=0,Q273&gt;0),"Fin de propulsion","") &amp; IF(AND(L275&gt;L_rampe,pos_xz&lt;=L_rampe),"Sortie de rampe","")</f>
        <v/>
      </c>
      <c r="Z274" s="402" t="str">
        <f aca="false">IF(ABS(t-T_para)&lt;pas/2,"Para","")</f>
        <v/>
      </c>
      <c r="AA274" s="403" t="str">
        <f aca="false">IF(ABS(t-T_satellite)&lt;pas/2,"Satellite","")</f>
        <v/>
      </c>
      <c r="AC274" s="399" t="n">
        <f aca="false">IF(ABS(t-ROUND(t,0))&lt;0.001,t,NA())</f>
        <v>8.99999999999999</v>
      </c>
      <c r="AD274" s="404" t="n">
        <f aca="false">IF(ABS(t-ROUND(t,0))&lt;0.001,pos_x,NA())</f>
        <v>252.686932537095</v>
      </c>
      <c r="AE274" s="405" t="n">
        <f aca="false">IF(t&lt;T_para, pos_z, NA())</f>
        <v>1020.64545973203</v>
      </c>
      <c r="AG274" s="396" t="n">
        <f aca="false">IF(AND(L273&lt;L_rampe,Poussee&lt;Poids*SIN(M273)),0,(-W273+Poussee)/m-Poids*SIN(M273)/m)</f>
        <v>-11.2993153871152</v>
      </c>
      <c r="AH274" s="397" t="n">
        <f aca="false">IF(AND(L273&lt;L_rampe,Poussee&lt;Poids*SIN(M273)), g*SIN(M273), (-W273+Poussee)/m)</f>
        <v>-2.18813474334984</v>
      </c>
    </row>
    <row r="275" customFormat="false" ht="12.75" hidden="false" customHeight="false" outlineLevel="0" collapsed="false">
      <c r="A275" s="396" t="n">
        <f aca="false">IF(B274+0.01&lt;=T_ini+ROUNDUP(Temps_fin_propu,0), 0.01, IF(K274&gt;0, 0.1, 0.0001))</f>
        <v>0.1</v>
      </c>
      <c r="B275" s="397" t="n">
        <f aca="false">B274+pas</f>
        <v>9.09999999999999</v>
      </c>
      <c r="D275" s="396" t="n">
        <f aca="false">IF(AND(L274&lt;L_rampe,Poussee&lt;Poids*SIN(M274)),0,(-W274+Poussee)/m*COS(M274)-U274/m*SIN(M274))</f>
        <v>-0.794227768881782</v>
      </c>
      <c r="E275" s="398" t="n">
        <f aca="false">IF(AND(L274&lt;L_rampe,Poussee&lt;Poids*SIN(M274)),0,(-W274+Poussee)/m*SIN(M274)+U274/m*COS(M274)-Poids/m)</f>
        <v>-11.7683962207725</v>
      </c>
      <c r="F275" s="397" t="n">
        <f aca="false">SQRT(acc_x^2+acc_z^2)</f>
        <v>11.7951662708906</v>
      </c>
      <c r="G275" s="396" t="n">
        <f aca="false">G274+acc_x*pas</f>
        <v>24.5379368031699</v>
      </c>
      <c r="H275" s="398" t="n">
        <f aca="false">H274+acc_z*pas</f>
        <v>59.5243167160602</v>
      </c>
      <c r="I275" s="397" t="n">
        <f aca="false">SQRT(vit_x^2+vit_z^2)</f>
        <v>64.3836518308041</v>
      </c>
      <c r="J275" s="396" t="n">
        <f aca="false">J274+0.5*(vit_x+G274)*pas*(K274&gt;=0)</f>
        <v>255.144697356256</v>
      </c>
      <c r="K275" s="398" t="n">
        <f aca="false">K274+0.5*(vit_z+H274)*pas</f>
        <v>1026.65673338474</v>
      </c>
      <c r="L275" s="397" t="n">
        <f aca="false">SQRT(pos_x^2+pos_z^2)</f>
        <v>1057.88603582486</v>
      </c>
      <c r="M275" s="396" t="n">
        <f aca="false">IF(AND(L274&gt;L_rampe,G275&gt;0),ATAN2(G275,H275),$M$4)</f>
        <v>1.17978823801712</v>
      </c>
      <c r="N275" s="397" t="n">
        <f aca="false">DEGREES(Beta)</f>
        <v>67.5968867575566</v>
      </c>
      <c r="P275" s="399" t="n">
        <f aca="false">MATCH(t-pas/2-T_ini,CdP_t)</f>
        <v>23</v>
      </c>
      <c r="Q275" s="397" t="n">
        <f aca="false">(INDEX(CdP,2,i_P+1)-INDEX(CdP,2,i_P+0))/(INDEX(CdP,1,i_P+1)-INDEX(CdP,1,i_P+0))*(t-pas/2-T_ini-INDEX(CdP,1,i_P+0))+INDEX(CdP,2,i_P+0)</f>
        <v>0</v>
      </c>
      <c r="R275" s="396" t="n">
        <f aca="false">Poussee/(g*ISP)</f>
        <v>0</v>
      </c>
      <c r="S275" s="398" t="n">
        <f aca="false">S274-Débit*pas</f>
        <v>8.45</v>
      </c>
      <c r="T275" s="397" t="n">
        <f aca="false">m*g</f>
        <v>82.8945</v>
      </c>
      <c r="U275" s="400" t="n">
        <f aca="false">IF(pos_xz&lt;L_rampe,Poids*COS(Beta),0)</f>
        <v>0</v>
      </c>
      <c r="V275" s="396" t="n">
        <f aca="false">Rho_moyen*(20000-Alt_rampe-pos_z)/(20000+Alt_rampe+pos_z)</f>
        <v>1.10537522899211</v>
      </c>
      <c r="W275" s="397" t="n">
        <f aca="false">1/2*Rho*Sref*Cx*vit_xz^2</f>
        <v>17.2420336027414</v>
      </c>
      <c r="Y275" s="401" t="str">
        <f aca="false">IF(AND(pos_z&lt;=0,K274&gt;0),"Impact balistique","") &amp; IF(AND(H276&lt;0,vit_z&gt;=0),"Apogée","") &amp; IF(AND(Poussee=0,Q274&gt;0),"Fin de propulsion","") &amp; IF(AND(L276&gt;L_rampe,pos_xz&lt;=L_rampe),"Sortie de rampe","")</f>
        <v/>
      </c>
      <c r="Z275" s="402" t="str">
        <f aca="false">IF(ABS(t-T_para)&lt;pas/2,"Para","")</f>
        <v/>
      </c>
      <c r="AA275" s="403" t="str">
        <f aca="false">IF(ABS(t-T_satellite)&lt;pas/2,"Satellite","")</f>
        <v/>
      </c>
      <c r="AC275" s="399" t="e">
        <f aca="false">IF(ABS(t-ROUND(t,0))&lt;0.001,t,NA())</f>
        <v>#N/A</v>
      </c>
      <c r="AD275" s="404" t="e">
        <f aca="false">IF(ABS(t-ROUND(t,0))&lt;0.001,pos_x,NA())</f>
        <v>#N/A</v>
      </c>
      <c r="AE275" s="405" t="n">
        <f aca="false">IF(t&lt;T_para, pos_z, NA())</f>
        <v>1026.65673338474</v>
      </c>
      <c r="AG275" s="396" t="n">
        <f aca="false">IF(AND(L274&lt;L_rampe,Poussee&lt;Poids*SIN(M274)),0,(-W274+Poussee)/m-Poids*SIN(M274)/m)</f>
        <v>-11.204172305324</v>
      </c>
      <c r="AH275" s="397" t="n">
        <f aca="false">IF(AND(L274&lt;L_rampe,Poussee&lt;Poids*SIN(M274)), g*SIN(M274), (-W274+Poussee)/m)</f>
        <v>-2.11331812711643</v>
      </c>
    </row>
    <row r="276" customFormat="false" ht="12.75" hidden="false" customHeight="false" outlineLevel="0" collapsed="false">
      <c r="A276" s="396" t="n">
        <f aca="false">IF(B275+0.01&lt;=T_ini+ROUNDUP(Temps_fin_propu,0), 0.01, IF(K275&gt;0, 0.1, 0.0001))</f>
        <v>0.1</v>
      </c>
      <c r="B276" s="397" t="n">
        <f aca="false">B275+pas</f>
        <v>9.19999999999999</v>
      </c>
      <c r="D276" s="396" t="n">
        <f aca="false">IF(AND(L275&lt;L_rampe,Poussee&lt;Poids*SIN(M275)),0,(-W275+Poussee)/m*COS(M275)-U275/m*SIN(M275))</f>
        <v>-0.777667976652822</v>
      </c>
      <c r="E276" s="398" t="n">
        <f aca="false">IF(AND(L275&lt;L_rampe,Poussee&lt;Poids*SIN(M275)),0,(-W275+Poussee)/m*SIN(M275)+U275/m*COS(M275)-Poids/m)</f>
        <v>-11.6964729872579</v>
      </c>
      <c r="F276" s="397" t="n">
        <f aca="false">SQRT(acc_x^2+acc_z^2)</f>
        <v>11.7222970369959</v>
      </c>
      <c r="G276" s="396" t="n">
        <f aca="false">G275+acc_x*pas</f>
        <v>24.4601700055046</v>
      </c>
      <c r="H276" s="398" t="n">
        <f aca="false">H275+acc_z*pas</f>
        <v>58.3546694173344</v>
      </c>
      <c r="I276" s="397" t="n">
        <f aca="false">SQRT(vit_x^2+vit_z^2)</f>
        <v>63.2737493713196</v>
      </c>
      <c r="J276" s="396" t="n">
        <f aca="false">J275+0.5*(vit_x+G275)*pas*(K275&gt;=0)</f>
        <v>257.59460269669</v>
      </c>
      <c r="K276" s="398" t="n">
        <f aca="false">K275+0.5*(vit_z+H275)*pas</f>
        <v>1032.55068269141</v>
      </c>
      <c r="L276" s="397" t="n">
        <f aca="false">SQRT(pos_x^2+pos_z^2)</f>
        <v>1064.19729921898</v>
      </c>
      <c r="M276" s="396" t="n">
        <f aca="false">IF(AND(L275&gt;L_rampe,G276&gt;0),ATAN2(G276,H276),$M$4)</f>
        <v>1.17387928683233</v>
      </c>
      <c r="N276" s="397" t="n">
        <f aca="false">DEGREES(Beta)</f>
        <v>67.2583287933195</v>
      </c>
      <c r="P276" s="399" t="n">
        <f aca="false">MATCH(t-pas/2-T_ini,CdP_t)</f>
        <v>23</v>
      </c>
      <c r="Q276" s="397" t="n">
        <f aca="false">(INDEX(CdP,2,i_P+1)-INDEX(CdP,2,i_P+0))/(INDEX(CdP,1,i_P+1)-INDEX(CdP,1,i_P+0))*(t-pas/2-T_ini-INDEX(CdP,1,i_P+0))+INDEX(CdP,2,i_P+0)</f>
        <v>0</v>
      </c>
      <c r="R276" s="396" t="n">
        <f aca="false">Poussee/(g*ISP)</f>
        <v>0</v>
      </c>
      <c r="S276" s="398" t="n">
        <f aca="false">S275-Débit*pas</f>
        <v>8.45</v>
      </c>
      <c r="T276" s="397" t="n">
        <f aca="false">m*g</f>
        <v>82.8945</v>
      </c>
      <c r="U276" s="400" t="n">
        <f aca="false">IF(pos_xz&lt;L_rampe,Poids*COS(Beta),0)</f>
        <v>0</v>
      </c>
      <c r="V276" s="396" t="n">
        <f aca="false">Rho_moyen*(20000-Alt_rampe-pos_z)/(20000+Alt_rampe+pos_z)</f>
        <v>1.10472218820441</v>
      </c>
      <c r="W276" s="397" t="n">
        <f aca="false">1/2*Rho*Sref*Cx*vit_xz^2</f>
        <v>16.6428524744299</v>
      </c>
      <c r="Y276" s="401" t="str">
        <f aca="false">IF(AND(pos_z&lt;=0,K275&gt;0),"Impact balistique","") &amp; IF(AND(H277&lt;0,vit_z&gt;=0),"Apogée","") &amp; IF(AND(Poussee=0,Q275&gt;0),"Fin de propulsion","") &amp; IF(AND(L277&gt;L_rampe,pos_xz&lt;=L_rampe),"Sortie de rampe","")</f>
        <v/>
      </c>
      <c r="Z276" s="402" t="str">
        <f aca="false">IF(ABS(t-T_para)&lt;pas/2,"Para","")</f>
        <v/>
      </c>
      <c r="AA276" s="403" t="str">
        <f aca="false">IF(ABS(t-T_satellite)&lt;pas/2,"Satellite","")</f>
        <v/>
      </c>
      <c r="AC276" s="399" t="e">
        <f aca="false">IF(ABS(t-ROUND(t,0))&lt;0.001,t,NA())</f>
        <v>#N/A</v>
      </c>
      <c r="AD276" s="404" t="e">
        <f aca="false">IF(ABS(t-ROUND(t,0))&lt;0.001,pos_x,NA())</f>
        <v>#N/A</v>
      </c>
      <c r="AE276" s="405" t="n">
        <f aca="false">IF(t&lt;T_para, pos_z, NA())</f>
        <v>1032.55068269141</v>
      </c>
      <c r="AG276" s="396" t="n">
        <f aca="false">IF(AND(L275&lt;L_rampe,Poussee&lt;Poids*SIN(M275)),0,(-W275+Poussee)/m-Poids*SIN(M275)/m)</f>
        <v>-11.1100708002571</v>
      </c>
      <c r="AH276" s="397" t="n">
        <f aca="false">IF(AND(L275&lt;L_rampe,Poussee&lt;Poids*SIN(M275)), g*SIN(M275), (-W275+Poussee)/m)</f>
        <v>-2.04047734943685</v>
      </c>
    </row>
    <row r="277" customFormat="false" ht="12.75" hidden="false" customHeight="false" outlineLevel="0" collapsed="false">
      <c r="A277" s="396" t="n">
        <f aca="false">IF(B276+0.01&lt;=T_ini+ROUNDUP(Temps_fin_propu,0), 0.01, IF(K276&gt;0, 0.1, 0.0001))</f>
        <v>0.1</v>
      </c>
      <c r="B277" s="397" t="n">
        <f aca="false">B276+pas</f>
        <v>9.29999999999999</v>
      </c>
      <c r="D277" s="396" t="n">
        <f aca="false">IF(AND(L276&lt;L_rampe,Poussee&lt;Poids*SIN(M276)),0,(-W276+Poussee)/m*COS(M276)-U276/m*SIN(M276))</f>
        <v>-0.761389627083417</v>
      </c>
      <c r="E277" s="398" t="n">
        <f aca="false">IF(AND(L276&lt;L_rampe,Poussee&lt;Poids*SIN(M276)),0,(-W276+Poussee)/m*SIN(M276)+U276/m*COS(M276)-Poids/m)</f>
        <v>-11.6264485355679</v>
      </c>
      <c r="F277" s="397" t="n">
        <f aca="false">SQRT(acc_x^2+acc_z^2)</f>
        <v>11.6513526989118</v>
      </c>
      <c r="G277" s="396" t="n">
        <f aca="false">G276+acc_x*pas</f>
        <v>24.3840310427963</v>
      </c>
      <c r="H277" s="398" t="n">
        <f aca="false">H276+acc_z*pas</f>
        <v>57.1920245637776</v>
      </c>
      <c r="I277" s="397" t="n">
        <f aca="false">SQRT(vit_x^2+vit_z^2)</f>
        <v>62.1732148404745</v>
      </c>
      <c r="J277" s="396" t="n">
        <f aca="false">J276+0.5*(vit_x+G276)*pas*(K276&gt;=0)</f>
        <v>260.036812749105</v>
      </c>
      <c r="K277" s="398" t="n">
        <f aca="false">K276+0.5*(vit_z+H276)*pas</f>
        <v>1038.32801739047</v>
      </c>
      <c r="L277" s="397" t="n">
        <f aca="false">SQRT(pos_x^2+pos_z^2)</f>
        <v>1070.39442061454</v>
      </c>
      <c r="M277" s="396" t="n">
        <f aca="false">IF(AND(L276&gt;L_rampe,G277&gt;0),ATAN2(G277,H277),$M$4)</f>
        <v>1.16777964579928</v>
      </c>
      <c r="N277" s="397" t="n">
        <f aca="false">DEGREES(Beta)</f>
        <v>66.908845105581</v>
      </c>
      <c r="P277" s="399" t="n">
        <f aca="false">MATCH(t-pas/2-T_ini,CdP_t)</f>
        <v>23</v>
      </c>
      <c r="Q277" s="397" t="n">
        <f aca="false">(INDEX(CdP,2,i_P+1)-INDEX(CdP,2,i_P+0))/(INDEX(CdP,1,i_P+1)-INDEX(CdP,1,i_P+0))*(t-pas/2-T_ini-INDEX(CdP,1,i_P+0))+INDEX(CdP,2,i_P+0)</f>
        <v>0</v>
      </c>
      <c r="R277" s="396" t="n">
        <f aca="false">Poussee/(g*ISP)</f>
        <v>0</v>
      </c>
      <c r="S277" s="398" t="n">
        <f aca="false">S276-Débit*pas</f>
        <v>8.45</v>
      </c>
      <c r="T277" s="397" t="n">
        <f aca="false">m*g</f>
        <v>82.8945</v>
      </c>
      <c r="U277" s="400" t="n">
        <f aca="false">IF(pos_xz&lt;L_rampe,Poids*COS(Beta),0)</f>
        <v>0</v>
      </c>
      <c r="V277" s="396" t="n">
        <f aca="false">Rho_moyen*(20000-Alt_rampe-pos_z)/(20000+Alt_rampe+pos_z)</f>
        <v>1.10408242325608</v>
      </c>
      <c r="W277" s="397" t="n">
        <f aca="false">1/2*Rho*Sref*Cx*vit_xz^2</f>
        <v>16.0596357808471</v>
      </c>
      <c r="Y277" s="401" t="str">
        <f aca="false">IF(AND(pos_z&lt;=0,K276&gt;0),"Impact balistique","") &amp; IF(AND(H278&lt;0,vit_z&gt;=0),"Apogée","") &amp; IF(AND(Poussee=0,Q276&gt;0),"Fin de propulsion","") &amp; IF(AND(L278&gt;L_rampe,pos_xz&lt;=L_rampe),"Sortie de rampe","")</f>
        <v/>
      </c>
      <c r="Z277" s="402" t="str">
        <f aca="false">IF(ABS(t-T_para)&lt;pas/2,"Para","")</f>
        <v/>
      </c>
      <c r="AA277" s="403" t="str">
        <f aca="false">IF(ABS(t-T_satellite)&lt;pas/2,"Satellite","")</f>
        <v/>
      </c>
      <c r="AC277" s="399" t="e">
        <f aca="false">IF(ABS(t-ROUND(t,0))&lt;0.001,t,NA())</f>
        <v>#N/A</v>
      </c>
      <c r="AD277" s="404" t="e">
        <f aca="false">IF(ABS(t-ROUND(t,0))&lt;0.001,pos_x,NA())</f>
        <v>#N/A</v>
      </c>
      <c r="AE277" s="405" t="n">
        <f aca="false">IF(t&lt;T_para, pos_z, NA())</f>
        <v>1038.32801739047</v>
      </c>
      <c r="AG277" s="396" t="n">
        <f aca="false">IF(AND(L276&lt;L_rampe,Poussee&lt;Poids*SIN(M276)),0,(-W276+Poussee)/m-Poids*SIN(M276)/m)</f>
        <v>-11.016911237847</v>
      </c>
      <c r="AH277" s="397" t="n">
        <f aca="false">IF(AND(L276&lt;L_rampe,Poussee&lt;Poids*SIN(M276)), g*SIN(M276), (-W276+Poussee)/m)</f>
        <v>-1.96956834016922</v>
      </c>
    </row>
    <row r="278" customFormat="false" ht="12.75" hidden="false" customHeight="false" outlineLevel="0" collapsed="false">
      <c r="A278" s="396" t="n">
        <f aca="false">IF(B277+0.01&lt;=T_ini+ROUNDUP(Temps_fin_propu,0), 0.01, IF(K277&gt;0, 0.1, 0.0001))</f>
        <v>0.1</v>
      </c>
      <c r="B278" s="397" t="n">
        <f aca="false">B277+pas</f>
        <v>9.39999999999998</v>
      </c>
      <c r="D278" s="396" t="n">
        <f aca="false">IF(AND(L277&lt;L_rampe,Poussee&lt;Poids*SIN(M277)),0,(-W277+Poussee)/m*COS(M277)-U277/m*SIN(M277))</f>
        <v>-0.745385878782702</v>
      </c>
      <c r="E278" s="398" t="n">
        <f aca="false">IF(AND(L277&lt;L_rampe,Poussee&lt;Poids*SIN(M277)),0,(-W277+Poussee)/m*SIN(M277)+U277/m*COS(M277)-Poids/m)</f>
        <v>-11.5582805617338</v>
      </c>
      <c r="F278" s="397" t="n">
        <f aca="false">SQRT(acc_x^2+acc_z^2)</f>
        <v>11.5822903456977</v>
      </c>
      <c r="G278" s="396" t="n">
        <f aca="false">G277+acc_x*pas</f>
        <v>24.309492454918</v>
      </c>
      <c r="H278" s="398" t="n">
        <f aca="false">H277+acc_z*pas</f>
        <v>56.0361965076042</v>
      </c>
      <c r="I278" s="397" t="n">
        <f aca="false">SQRT(vit_x^2+vit_z^2)</f>
        <v>61.0819674081848</v>
      </c>
      <c r="J278" s="396" t="n">
        <f aca="false">J277+0.5*(vit_x+G277)*pas*(K277&gt;=0)</f>
        <v>262.471488923991</v>
      </c>
      <c r="K278" s="398" t="n">
        <f aca="false">K277+0.5*(vit_z+H277)*pas</f>
        <v>1043.98942844403</v>
      </c>
      <c r="L278" s="397" t="n">
        <f aca="false">SQRT(pos_x^2+pos_z^2)</f>
        <v>1076.47815082373</v>
      </c>
      <c r="M278" s="396" t="n">
        <f aca="false">IF(AND(L277&gt;L_rampe,G278&gt;0),ATAN2(G278,H278),$M$4)</f>
        <v>1.16148079907419</v>
      </c>
      <c r="N278" s="397" t="n">
        <f aca="false">DEGREES(Beta)</f>
        <v>66.5479477724332</v>
      </c>
      <c r="P278" s="399" t="n">
        <f aca="false">MATCH(t-pas/2-T_ini,CdP_t)</f>
        <v>23</v>
      </c>
      <c r="Q278" s="397" t="n">
        <f aca="false">(INDEX(CdP,2,i_P+1)-INDEX(CdP,2,i_P+0))/(INDEX(CdP,1,i_P+1)-INDEX(CdP,1,i_P+0))*(t-pas/2-T_ini-INDEX(CdP,1,i_P+0))+INDEX(CdP,2,i_P+0)</f>
        <v>0</v>
      </c>
      <c r="R278" s="396" t="n">
        <f aca="false">Poussee/(g*ISP)</f>
        <v>0</v>
      </c>
      <c r="S278" s="398" t="n">
        <f aca="false">S277-Débit*pas</f>
        <v>8.45</v>
      </c>
      <c r="T278" s="397" t="n">
        <f aca="false">m*g</f>
        <v>82.8945</v>
      </c>
      <c r="U278" s="400" t="n">
        <f aca="false">IF(pos_xz&lt;L_rampe,Poids*COS(Beta),0)</f>
        <v>0</v>
      </c>
      <c r="V278" s="396" t="n">
        <f aca="false">Rho_moyen*(20000-Alt_rampe-pos_z)/(20000+Alt_rampe+pos_z)</f>
        <v>1.10345583612437</v>
      </c>
      <c r="W278" s="397" t="n">
        <f aca="false">1/2*Rho*Sref*Cx*vit_xz^2</f>
        <v>15.4920373967564</v>
      </c>
      <c r="Y278" s="401" t="str">
        <f aca="false">IF(AND(pos_z&lt;=0,K277&gt;0),"Impact balistique","") &amp; IF(AND(H279&lt;0,vit_z&gt;=0),"Apogée","") &amp; IF(AND(Poussee=0,Q277&gt;0),"Fin de propulsion","") &amp; IF(AND(L279&gt;L_rampe,pos_xz&lt;=L_rampe),"Sortie de rampe","")</f>
        <v/>
      </c>
      <c r="Z278" s="402" t="str">
        <f aca="false">IF(ABS(t-T_para)&lt;pas/2,"Para","")</f>
        <v/>
      </c>
      <c r="AA278" s="403" t="str">
        <f aca="false">IF(ABS(t-T_satellite)&lt;pas/2,"Satellite","")</f>
        <v/>
      </c>
      <c r="AC278" s="399" t="e">
        <f aca="false">IF(ABS(t-ROUND(t,0))&lt;0.001,t,NA())</f>
        <v>#N/A</v>
      </c>
      <c r="AD278" s="404" t="e">
        <f aca="false">IF(ABS(t-ROUND(t,0))&lt;0.001,pos_x,NA())</f>
        <v>#N/A</v>
      </c>
      <c r="AE278" s="405" t="n">
        <f aca="false">IF(t&lt;T_para, pos_z, NA())</f>
        <v>1043.98942844403</v>
      </c>
      <c r="AG278" s="396" t="n">
        <f aca="false">IF(AND(L277&lt;L_rampe,Poussee&lt;Poids*SIN(M277)),0,(-W277+Poussee)/m-Poids*SIN(M277)/m)</f>
        <v>-10.9245915616807</v>
      </c>
      <c r="AH278" s="397" t="n">
        <f aca="false">IF(AND(L277&lt;L_rampe,Poussee&lt;Poids*SIN(M277)), g*SIN(M277), (-W277+Poussee)/m)</f>
        <v>-1.900548613118</v>
      </c>
    </row>
    <row r="279" customFormat="false" ht="12.75" hidden="false" customHeight="false" outlineLevel="0" collapsed="false">
      <c r="A279" s="396" t="n">
        <f aca="false">IF(B278+0.01&lt;=T_ini+ROUNDUP(Temps_fin_propu,0), 0.01, IF(K278&gt;0, 0.1, 0.0001))</f>
        <v>0.1</v>
      </c>
      <c r="B279" s="397" t="n">
        <f aca="false">B278+pas</f>
        <v>9.49999999999998</v>
      </c>
      <c r="D279" s="396" t="n">
        <f aca="false">IF(AND(L278&lt;L_rampe,Poussee&lt;Poids*SIN(M278)),0,(-W278+Poussee)/m*COS(M278)-U278/m*SIN(M278))</f>
        <v>-0.729650194072285</v>
      </c>
      <c r="E279" s="398" t="n">
        <f aca="false">IF(AND(L278&lt;L_rampe,Poussee&lt;Poids*SIN(M278)),0,(-W278+Poussee)/m*SIN(M278)+U278/m*COS(M278)-Poids/m)</f>
        <v>-11.4919282316433</v>
      </c>
      <c r="F279" s="397" t="n">
        <f aca="false">SQRT(acc_x^2+acc_z^2)</f>
        <v>11.5150685576313</v>
      </c>
      <c r="G279" s="396" t="n">
        <f aca="false">G278+acc_x*pas</f>
        <v>24.2365274355108</v>
      </c>
      <c r="H279" s="398" t="n">
        <f aca="false">H278+acc_z*pas</f>
        <v>54.8870036844399</v>
      </c>
      <c r="I279" s="397" t="n">
        <f aca="false">SQRT(vit_x^2+vit_z^2)</f>
        <v>59.9999369632001</v>
      </c>
      <c r="J279" s="396" t="n">
        <f aca="false">J278+0.5*(vit_x+G278)*pas*(K278&gt;=0)</f>
        <v>264.898789918512</v>
      </c>
      <c r="K279" s="398" t="n">
        <f aca="false">K278+0.5*(vit_z+H278)*pas</f>
        <v>1049.53558845364</v>
      </c>
      <c r="L279" s="397" t="n">
        <f aca="false">SQRT(pos_x^2+pos_z^2)</f>
        <v>1082.44922298047</v>
      </c>
      <c r="M279" s="396" t="n">
        <f aca="false">IF(AND(L278&gt;L_rampe,G279&gt;0),ATAN2(G279,H279),$M$4)</f>
        <v>1.15497374894214</v>
      </c>
      <c r="N279" s="397" t="n">
        <f aca="false">DEGREES(Beta)</f>
        <v>66.175121262787</v>
      </c>
      <c r="P279" s="399" t="n">
        <f aca="false">MATCH(t-pas/2-T_ini,CdP_t)</f>
        <v>23</v>
      </c>
      <c r="Q279" s="397" t="n">
        <f aca="false">(INDEX(CdP,2,i_P+1)-INDEX(CdP,2,i_P+0))/(INDEX(CdP,1,i_P+1)-INDEX(CdP,1,i_P+0))*(t-pas/2-T_ini-INDEX(CdP,1,i_P+0))+INDEX(CdP,2,i_P+0)</f>
        <v>0</v>
      </c>
      <c r="R279" s="396" t="n">
        <f aca="false">Poussee/(g*ISP)</f>
        <v>0</v>
      </c>
      <c r="S279" s="398" t="n">
        <f aca="false">S278-Débit*pas</f>
        <v>8.45</v>
      </c>
      <c r="T279" s="397" t="n">
        <f aca="false">m*g</f>
        <v>82.8945</v>
      </c>
      <c r="U279" s="400" t="n">
        <f aca="false">IF(pos_xz&lt;L_rampe,Poids*COS(Beta),0)</f>
        <v>0</v>
      </c>
      <c r="V279" s="396" t="n">
        <f aca="false">Rho_moyen*(20000-Alt_rampe-pos_z)/(20000+Alt_rampe+pos_z)</f>
        <v>1.10284233144213</v>
      </c>
      <c r="W279" s="397" t="n">
        <f aca="false">1/2*Rho*Sref*Cx*vit_xz^2</f>
        <v>14.939723602275</v>
      </c>
      <c r="Y279" s="401" t="str">
        <f aca="false">IF(AND(pos_z&lt;=0,K278&gt;0),"Impact balistique","") &amp; IF(AND(H280&lt;0,vit_z&gt;=0),"Apogée","") &amp; IF(AND(Poussee=0,Q278&gt;0),"Fin de propulsion","") &amp; IF(AND(L280&gt;L_rampe,pos_xz&lt;=L_rampe),"Sortie de rampe","")</f>
        <v/>
      </c>
      <c r="Z279" s="402" t="str">
        <f aca="false">IF(ABS(t-T_para)&lt;pas/2,"Para","")</f>
        <v/>
      </c>
      <c r="AA279" s="403" t="str">
        <f aca="false">IF(ABS(t-T_satellite)&lt;pas/2,"Satellite","")</f>
        <v/>
      </c>
      <c r="AC279" s="399" t="e">
        <f aca="false">IF(ABS(t-ROUND(t,0))&lt;0.001,t,NA())</f>
        <v>#N/A</v>
      </c>
      <c r="AD279" s="404" t="e">
        <f aca="false">IF(ABS(t-ROUND(t,0))&lt;0.001,pos_x,NA())</f>
        <v>#N/A</v>
      </c>
      <c r="AE279" s="405" t="n">
        <f aca="false">IF(t&lt;T_para, pos_z, NA())</f>
        <v>1049.53558845364</v>
      </c>
      <c r="AG279" s="396" t="n">
        <f aca="false">IF(AND(L278&lt;L_rampe,Poussee&lt;Poids*SIN(M278)),0,(-W278+Poussee)/m-Poids*SIN(M278)/m)</f>
        <v>-10.8330069021076</v>
      </c>
      <c r="AH279" s="397" t="n">
        <f aca="false">IF(AND(L278&lt;L_rampe,Poussee&lt;Poids*SIN(M278)), g*SIN(M278), (-W278+Poussee)/m)</f>
        <v>-1.83337720671673</v>
      </c>
    </row>
    <row r="280" customFormat="false" ht="12.75" hidden="false" customHeight="false" outlineLevel="0" collapsed="false">
      <c r="A280" s="396" t="n">
        <f aca="false">IF(B279+0.01&lt;=T_ini+ROUNDUP(Temps_fin_propu,0), 0.01, IF(K279&gt;0, 0.1, 0.0001))</f>
        <v>0.1</v>
      </c>
      <c r="B280" s="397" t="n">
        <f aca="false">B279+pas</f>
        <v>9.59999999999998</v>
      </c>
      <c r="D280" s="396" t="n">
        <f aca="false">IF(AND(L279&lt;L_rampe,Poussee&lt;Poids*SIN(M279)),0,(-W279+Poussee)/m*COS(M279)-U279/m*SIN(M279))</f>
        <v>-0.714176334081534</v>
      </c>
      <c r="E280" s="398" t="n">
        <f aca="false">IF(AND(L279&lt;L_rampe,Poussee&lt;Poids*SIN(M279)),0,(-W279+Poussee)/m*SIN(M279)+U279/m*COS(M279)-Poids/m)</f>
        <v>-11.4273521220965</v>
      </c>
      <c r="F280" s="397" t="n">
        <f aca="false">SQRT(acc_x^2+acc_z^2)</f>
        <v>11.4496473464708</v>
      </c>
      <c r="G280" s="396" t="n">
        <f aca="false">G279+acc_x*pas</f>
        <v>24.1651098021026</v>
      </c>
      <c r="H280" s="398" t="n">
        <f aca="false">H279+acc_z*pas</f>
        <v>53.7442684722303</v>
      </c>
      <c r="I280" s="397" t="n">
        <f aca="false">SQRT(vit_x^2+vit_z^2)</f>
        <v>58.9270644556713</v>
      </c>
      <c r="J280" s="396" t="n">
        <f aca="false">J279+0.5*(vit_x+G279)*pas*(K279&gt;=0)</f>
        <v>267.318871780393</v>
      </c>
      <c r="K280" s="398" t="n">
        <f aca="false">K279+0.5*(vit_z+H279)*pas</f>
        <v>1054.96715206147</v>
      </c>
      <c r="L280" s="397" t="n">
        <f aca="false">SQRT(pos_x^2+pos_z^2)</f>
        <v>1088.30835296741</v>
      </c>
      <c r="M280" s="396" t="n">
        <f aca="false">IF(AND(L279&gt;L_rampe,G280&gt;0),ATAN2(G280,H280),$M$4)</f>
        <v>1.14824898451903</v>
      </c>
      <c r="N280" s="397" t="n">
        <f aca="false">DEGREES(Beta)</f>
        <v>65.7898206431231</v>
      </c>
      <c r="P280" s="399" t="n">
        <f aca="false">MATCH(t-pas/2-T_ini,CdP_t)</f>
        <v>23</v>
      </c>
      <c r="Q280" s="397" t="n">
        <f aca="false">(INDEX(CdP,2,i_P+1)-INDEX(CdP,2,i_P+0))/(INDEX(CdP,1,i_P+1)-INDEX(CdP,1,i_P+0))*(t-pas/2-T_ini-INDEX(CdP,1,i_P+0))+INDEX(CdP,2,i_P+0)</f>
        <v>0</v>
      </c>
      <c r="R280" s="396" t="n">
        <f aca="false">Poussee/(g*ISP)</f>
        <v>0</v>
      </c>
      <c r="S280" s="398" t="n">
        <f aca="false">S279-Débit*pas</f>
        <v>8.45</v>
      </c>
      <c r="T280" s="397" t="n">
        <f aca="false">m*g</f>
        <v>82.8945</v>
      </c>
      <c r="U280" s="400" t="n">
        <f aca="false">IF(pos_xz&lt;L_rampe,Poids*COS(Beta),0)</f>
        <v>0</v>
      </c>
      <c r="V280" s="396" t="n">
        <f aca="false">Rho_moyen*(20000-Alt_rampe-pos_z)/(20000+Alt_rampe+pos_z)</f>
        <v>1.10224181643772</v>
      </c>
      <c r="W280" s="397" t="n">
        <f aca="false">1/2*Rho*Sref*Cx*vit_xz^2</f>
        <v>14.4023726273663</v>
      </c>
      <c r="Y280" s="401" t="str">
        <f aca="false">IF(AND(pos_z&lt;=0,K279&gt;0),"Impact balistique","") &amp; IF(AND(H281&lt;0,vit_z&gt;=0),"Apogée","") &amp; IF(AND(Poussee=0,Q279&gt;0),"Fin de propulsion","") &amp; IF(AND(L281&gt;L_rampe,pos_xz&lt;=L_rampe),"Sortie de rampe","")</f>
        <v/>
      </c>
      <c r="Z280" s="402" t="str">
        <f aca="false">IF(ABS(t-T_para)&lt;pas/2,"Para","")</f>
        <v/>
      </c>
      <c r="AA280" s="403" t="str">
        <f aca="false">IF(ABS(t-T_satellite)&lt;pas/2,"Satellite","")</f>
        <v/>
      </c>
      <c r="AC280" s="399" t="e">
        <f aca="false">IF(ABS(t-ROUND(t,0))&lt;0.001,t,NA())</f>
        <v>#N/A</v>
      </c>
      <c r="AD280" s="404" t="e">
        <f aca="false">IF(ABS(t-ROUND(t,0))&lt;0.001,pos_x,NA())</f>
        <v>#N/A</v>
      </c>
      <c r="AE280" s="405" t="n">
        <f aca="false">IF(t&lt;T_para, pos_z, NA())</f>
        <v>1054.96715206147</v>
      </c>
      <c r="AG280" s="396" t="n">
        <f aca="false">IF(AND(L279&lt;L_rampe,Poussee&lt;Poids*SIN(M279)),0,(-W279+Poussee)/m-Poids*SIN(M279)/m)</f>
        <v>-10.7420491581344</v>
      </c>
      <c r="AH280" s="397" t="n">
        <f aca="false">IF(AND(L279&lt;L_rampe,Poussee&lt;Poids*SIN(M279)), g*SIN(M279), (-W279+Poussee)/m)</f>
        <v>-1.76801462748817</v>
      </c>
    </row>
    <row r="281" customFormat="false" ht="12.75" hidden="false" customHeight="false" outlineLevel="0" collapsed="false">
      <c r="A281" s="396" t="n">
        <f aca="false">IF(B280+0.01&lt;=T_ini+ROUNDUP(Temps_fin_propu,0), 0.01, IF(K280&gt;0, 0.1, 0.0001))</f>
        <v>0.1</v>
      </c>
      <c r="B281" s="397" t="n">
        <f aca="false">B280+pas</f>
        <v>9.69999999999998</v>
      </c>
      <c r="D281" s="396" t="n">
        <f aca="false">IF(AND(L280&lt;L_rampe,Poussee&lt;Poids*SIN(M280)),0,(-W280+Poussee)/m*COS(M280)-U280/m*SIN(M280))</f>
        <v>-0.698958354677012</v>
      </c>
      <c r="E281" s="398" t="n">
        <f aca="false">IF(AND(L280&lt;L_rampe,Poussee&lt;Poids*SIN(M280)),0,(-W280+Poussee)/m*SIN(M280)+U280/m*COS(M280)-Poids/m)</f>
        <v>-11.3645141641111</v>
      </c>
      <c r="F281" s="397" t="n">
        <f aca="false">SQRT(acc_x^2+acc_z^2)</f>
        <v>11.3859880980025</v>
      </c>
      <c r="G281" s="396" t="n">
        <f aca="false">G280+acc_x*pas</f>
        <v>24.0952139666349</v>
      </c>
      <c r="H281" s="398" t="n">
        <f aca="false">H280+acc_z*pas</f>
        <v>52.6078170558192</v>
      </c>
      <c r="I281" s="397" t="n">
        <f aca="false">SQRT(vit_x^2+vit_z^2)</f>
        <v>57.8633022863063</v>
      </c>
      <c r="J281" s="396" t="n">
        <f aca="false">J280+0.5*(vit_x+G280)*pas*(K280&gt;=0)</f>
        <v>269.73188796883</v>
      </c>
      <c r="K281" s="398" t="n">
        <f aca="false">K280+0.5*(vit_z+H280)*pas</f>
        <v>1060.28475633787</v>
      </c>
      <c r="L281" s="397" t="n">
        <f aca="false">SQRT(pos_x^2+pos_z^2)</f>
        <v>1094.05623982942</v>
      </c>
      <c r="M281" s="396" t="n">
        <f aca="false">IF(AND(L280&gt;L_rampe,G281&gt;0),ATAN2(G281,H281),$M$4)</f>
        <v>1.14129644834711</v>
      </c>
      <c r="N281" s="397" t="n">
        <f aca="false">DEGREES(Beta)</f>
        <v>65.3914696635601</v>
      </c>
      <c r="P281" s="399" t="n">
        <f aca="false">MATCH(t-pas/2-T_ini,CdP_t)</f>
        <v>23</v>
      </c>
      <c r="Q281" s="397" t="n">
        <f aca="false">(INDEX(CdP,2,i_P+1)-INDEX(CdP,2,i_P+0))/(INDEX(CdP,1,i_P+1)-INDEX(CdP,1,i_P+0))*(t-pas/2-T_ini-INDEX(CdP,1,i_P+0))+INDEX(CdP,2,i_P+0)</f>
        <v>0</v>
      </c>
      <c r="R281" s="396" t="n">
        <f aca="false">Poussee/(g*ISP)</f>
        <v>0</v>
      </c>
      <c r="S281" s="398" t="n">
        <f aca="false">S280-Débit*pas</f>
        <v>8.45</v>
      </c>
      <c r="T281" s="397" t="n">
        <f aca="false">m*g</f>
        <v>82.8945</v>
      </c>
      <c r="U281" s="400" t="n">
        <f aca="false">IF(pos_xz&lt;L_rampe,Poids*COS(Beta),0)</f>
        <v>0</v>
      </c>
      <c r="V281" s="396" t="n">
        <f aca="false">Rho_moyen*(20000-Alt_rampe-pos_z)/(20000+Alt_rampe+pos_z)</f>
        <v>1.10165420087703</v>
      </c>
      <c r="W281" s="397" t="n">
        <f aca="false">1/2*Rho*Sref*Cx*vit_xz^2</f>
        <v>13.8796742174378</v>
      </c>
      <c r="Y281" s="401" t="str">
        <f aca="false">IF(AND(pos_z&lt;=0,K280&gt;0),"Impact balistique","") &amp; IF(AND(H282&lt;0,vit_z&gt;=0),"Apogée","") &amp; IF(AND(Poussee=0,Q280&gt;0),"Fin de propulsion","") &amp; IF(AND(L282&gt;L_rampe,pos_xz&lt;=L_rampe),"Sortie de rampe","")</f>
        <v/>
      </c>
      <c r="Z281" s="402" t="str">
        <f aca="false">IF(ABS(t-T_para)&lt;pas/2,"Para","")</f>
        <v/>
      </c>
      <c r="AA281" s="403" t="str">
        <f aca="false">IF(ABS(t-T_satellite)&lt;pas/2,"Satellite","")</f>
        <v/>
      </c>
      <c r="AC281" s="399" t="e">
        <f aca="false">IF(ABS(t-ROUND(t,0))&lt;0.001,t,NA())</f>
        <v>#N/A</v>
      </c>
      <c r="AD281" s="404" t="e">
        <f aca="false">IF(ABS(t-ROUND(t,0))&lt;0.001,pos_x,NA())</f>
        <v>#N/A</v>
      </c>
      <c r="AE281" s="405" t="n">
        <f aca="false">IF(t&lt;T_para, pos_z, NA())</f>
        <v>1060.28475633787</v>
      </c>
      <c r="AG281" s="396" t="n">
        <f aca="false">IF(AND(L280&lt;L_rampe,Poussee&lt;Poids*SIN(M280)),0,(-W280+Poussee)/m-Poids*SIN(M280)/m)</f>
        <v>-10.6516065491858</v>
      </c>
      <c r="AH281" s="397" t="n">
        <f aca="false">IF(AND(L280&lt;L_rampe,Poussee&lt;Poids*SIN(M280)), g*SIN(M280), (-W280+Poussee)/m)</f>
        <v>-1.70442279613803</v>
      </c>
    </row>
    <row r="282" customFormat="false" ht="12.75" hidden="false" customHeight="false" outlineLevel="0" collapsed="false">
      <c r="A282" s="396" t="n">
        <f aca="false">IF(B281+0.01&lt;=T_ini+ROUNDUP(Temps_fin_propu,0), 0.01, IF(K281&gt;0, 0.1, 0.0001))</f>
        <v>0.1</v>
      </c>
      <c r="B282" s="397" t="n">
        <f aca="false">B281+pas</f>
        <v>9.79999999999998</v>
      </c>
      <c r="D282" s="396" t="n">
        <f aca="false">IF(AND(L281&lt;L_rampe,Poussee&lt;Poids*SIN(M281)),0,(-W281+Poussee)/m*COS(M281)-U281/m*SIN(M281))</f>
        <v>-0.683990603239746</v>
      </c>
      <c r="E282" s="398" t="n">
        <f aca="false">IF(AND(L281&lt;L_rampe,Poussee&lt;Poids*SIN(M281)),0,(-W281+Poussee)/m*SIN(M281)+U281/m*COS(M281)-Poids/m)</f>
        <v>-11.3033775883029</v>
      </c>
      <c r="F282" s="397" t="n">
        <f aca="false">SQRT(acc_x^2+acc_z^2)</f>
        <v>11.3240535166993</v>
      </c>
      <c r="G282" s="396" t="n">
        <f aca="false">G281+acc_x*pas</f>
        <v>24.026814906311</v>
      </c>
      <c r="H282" s="398" t="n">
        <f aca="false">H281+acc_z*pas</f>
        <v>51.4774792969889</v>
      </c>
      <c r="I282" s="397" t="n">
        <f aca="false">SQRT(vit_x^2+vit_z^2)</f>
        <v>56.8086147456004</v>
      </c>
      <c r="J282" s="396" t="n">
        <f aca="false">J281+0.5*(vit_x+G281)*pas*(K281&gt;=0)</f>
        <v>272.137989412477</v>
      </c>
      <c r="K282" s="398" t="n">
        <f aca="false">K281+0.5*(vit_z+H281)*pas</f>
        <v>1065.48902115551</v>
      </c>
      <c r="L282" s="397" t="n">
        <f aca="false">SQRT(pos_x^2+pos_z^2)</f>
        <v>1099.69356617396</v>
      </c>
      <c r="M282" s="396" t="n">
        <f aca="false">IF(AND(L281&gt;L_rampe,G282&gt;0),ATAN2(G282,H282),$M$4)</f>
        <v>1.13410550076939</v>
      </c>
      <c r="N282" s="397" t="n">
        <f aca="false">DEGREES(Beta)</f>
        <v>64.9794587166567</v>
      </c>
      <c r="P282" s="399" t="n">
        <f aca="false">MATCH(t-pas/2-T_ini,CdP_t)</f>
        <v>23</v>
      </c>
      <c r="Q282" s="397" t="n">
        <f aca="false">(INDEX(CdP,2,i_P+1)-INDEX(CdP,2,i_P+0))/(INDEX(CdP,1,i_P+1)-INDEX(CdP,1,i_P+0))*(t-pas/2-T_ini-INDEX(CdP,1,i_P+0))+INDEX(CdP,2,i_P+0)</f>
        <v>0</v>
      </c>
      <c r="R282" s="396" t="n">
        <f aca="false">Poussee/(g*ISP)</f>
        <v>0</v>
      </c>
      <c r="S282" s="398" t="n">
        <f aca="false">S281-Débit*pas</f>
        <v>8.45</v>
      </c>
      <c r="T282" s="397" t="n">
        <f aca="false">m*g</f>
        <v>82.8945</v>
      </c>
      <c r="U282" s="400" t="n">
        <f aca="false">IF(pos_xz&lt;L_rampe,Poids*COS(Beta),0)</f>
        <v>0</v>
      </c>
      <c r="V282" s="396" t="n">
        <f aca="false">Rho_moyen*(20000-Alt_rampe-pos_z)/(20000+Alt_rampe+pos_z)</f>
        <v>1.10107939700762</v>
      </c>
      <c r="W282" s="397" t="n">
        <f aca="false">1/2*Rho*Sref*Cx*vit_xz^2</f>
        <v>13.3713292189641</v>
      </c>
      <c r="Y282" s="401" t="str">
        <f aca="false">IF(AND(pos_z&lt;=0,K281&gt;0),"Impact balistique","") &amp; IF(AND(H283&lt;0,vit_z&gt;=0),"Apogée","") &amp; IF(AND(Poussee=0,Q281&gt;0),"Fin de propulsion","") &amp; IF(AND(L283&gt;L_rampe,pos_xz&lt;=L_rampe),"Sortie de rampe","")</f>
        <v/>
      </c>
      <c r="Z282" s="402" t="str">
        <f aca="false">IF(ABS(t-T_para)&lt;pas/2,"Para","")</f>
        <v/>
      </c>
      <c r="AA282" s="403" t="str">
        <f aca="false">IF(ABS(t-T_satellite)&lt;pas/2,"Satellite","")</f>
        <v/>
      </c>
      <c r="AC282" s="399" t="e">
        <f aca="false">IF(ABS(t-ROUND(t,0))&lt;0.001,t,NA())</f>
        <v>#N/A</v>
      </c>
      <c r="AD282" s="404" t="e">
        <f aca="false">IF(ABS(t-ROUND(t,0))&lt;0.001,pos_x,NA())</f>
        <v>#N/A</v>
      </c>
      <c r="AE282" s="405" t="n">
        <f aca="false">IF(t&lt;T_para, pos_z, NA())</f>
        <v>1065.48902115551</v>
      </c>
      <c r="AG282" s="396" t="n">
        <f aca="false">IF(AND(L281&lt;L_rampe,Poussee&lt;Poids*SIN(M281)),0,(-W281+Poussee)/m-Poids*SIN(M281)/m)</f>
        <v>-10.5615631335846</v>
      </c>
      <c r="AH282" s="397" t="n">
        <f aca="false">IF(AND(L281&lt;L_rampe,Poussee&lt;Poids*SIN(M281)), g*SIN(M281), (-W281+Poussee)/m)</f>
        <v>-1.64256499614648</v>
      </c>
    </row>
    <row r="283" customFormat="false" ht="12.75" hidden="false" customHeight="false" outlineLevel="0" collapsed="false">
      <c r="A283" s="396" t="n">
        <f aca="false">IF(B282+0.01&lt;=T_ini+ROUNDUP(Temps_fin_propu,0), 0.01, IF(K282&gt;0, 0.1, 0.0001))</f>
        <v>0.1</v>
      </c>
      <c r="B283" s="397" t="n">
        <f aca="false">B282+pas</f>
        <v>9.89999999999998</v>
      </c>
      <c r="D283" s="396" t="n">
        <f aca="false">IF(AND(L282&lt;L_rampe,Poussee&lt;Poids*SIN(M282)),0,(-W282+Poussee)/m*COS(M282)-U282/m*SIN(M282))</f>
        <v>-0.669267716308607</v>
      </c>
      <c r="E283" s="398" t="n">
        <f aca="false">IF(AND(L282&lt;L_rampe,Poussee&lt;Poids*SIN(M282)),0,(-W282+Poussee)/m*SIN(M282)+U282/m*COS(M282)-Poids/m)</f>
        <v>-11.243906872166</v>
      </c>
      <c r="F283" s="397" t="n">
        <f aca="false">SQRT(acc_x^2+acc_z^2)</f>
        <v>11.2638075723103</v>
      </c>
      <c r="G283" s="396" t="n">
        <f aca="false">G282+acc_x*pas</f>
        <v>23.9598881346801</v>
      </c>
      <c r="H283" s="398" t="n">
        <f aca="false">H282+acc_z*pas</f>
        <v>50.3530886097723</v>
      </c>
      <c r="I283" s="397" t="n">
        <f aca="false">SQRT(vit_x^2+vit_z^2)</f>
        <v>55.7629785069804</v>
      </c>
      <c r="J283" s="396" t="n">
        <f aca="false">J282+0.5*(vit_x+G282)*pas*(K282&gt;=0)</f>
        <v>274.537324564526</v>
      </c>
      <c r="K283" s="398" t="n">
        <f aca="false">K282+0.5*(vit_z+H282)*pas</f>
        <v>1070.58054955085</v>
      </c>
      <c r="L283" s="397" t="n">
        <f aca="false">SQRT(pos_x^2+pos_z^2)</f>
        <v>1105.22099855895</v>
      </c>
      <c r="M283" s="396" t="n">
        <f aca="false">IF(AND(L282&gt;L_rampe,G283&gt;0),ATAN2(G283,H283),$M$4)</f>
        <v>1.12666488197061</v>
      </c>
      <c r="N283" s="397" t="n">
        <f aca="false">DEGREES(Beta)</f>
        <v>64.5531426625211</v>
      </c>
      <c r="P283" s="399" t="n">
        <f aca="false">MATCH(t-pas/2-T_ini,CdP_t)</f>
        <v>23</v>
      </c>
      <c r="Q283" s="397" t="n">
        <f aca="false">(INDEX(CdP,2,i_P+1)-INDEX(CdP,2,i_P+0))/(INDEX(CdP,1,i_P+1)-INDEX(CdP,1,i_P+0))*(t-pas/2-T_ini-INDEX(CdP,1,i_P+0))+INDEX(CdP,2,i_P+0)</f>
        <v>0</v>
      </c>
      <c r="R283" s="396" t="n">
        <f aca="false">Poussee/(g*ISP)</f>
        <v>0</v>
      </c>
      <c r="S283" s="398" t="n">
        <f aca="false">S282-Débit*pas</f>
        <v>8.45</v>
      </c>
      <c r="T283" s="397" t="n">
        <f aca="false">m*g</f>
        <v>82.8945</v>
      </c>
      <c r="U283" s="400" t="n">
        <f aca="false">IF(pos_xz&lt;L_rampe,Poids*COS(Beta),0)</f>
        <v>0</v>
      </c>
      <c r="V283" s="396" t="n">
        <f aca="false">Rho_moyen*(20000-Alt_rampe-pos_z)/(20000+Alt_rampe+pos_z)</f>
        <v>1.10051731950473</v>
      </c>
      <c r="W283" s="397" t="n">
        <f aca="false">1/2*Rho*Sref*Cx*vit_xz^2</f>
        <v>12.8770491841144</v>
      </c>
      <c r="Y283" s="401" t="str">
        <f aca="false">IF(AND(pos_z&lt;=0,K282&gt;0),"Impact balistique","") &amp; IF(AND(H284&lt;0,vit_z&gt;=0),"Apogée","") &amp; IF(AND(Poussee=0,Q282&gt;0),"Fin de propulsion","") &amp; IF(AND(L284&gt;L_rampe,pos_xz&lt;=L_rampe),"Sortie de rampe","")</f>
        <v/>
      </c>
      <c r="Z283" s="402" t="str">
        <f aca="false">IF(ABS(t-T_para)&lt;pas/2,"Para","")</f>
        <v/>
      </c>
      <c r="AA283" s="403" t="str">
        <f aca="false">IF(ABS(t-T_satellite)&lt;pas/2,"Satellite","")</f>
        <v/>
      </c>
      <c r="AC283" s="399" t="e">
        <f aca="false">IF(ABS(t-ROUND(t,0))&lt;0.001,t,NA())</f>
        <v>#N/A</v>
      </c>
      <c r="AD283" s="404" t="e">
        <f aca="false">IF(ABS(t-ROUND(t,0))&lt;0.001,pos_x,NA())</f>
        <v>#N/A</v>
      </c>
      <c r="AE283" s="405" t="n">
        <f aca="false">IF(t&lt;T_para, pos_z, NA())</f>
        <v>1070.58054955085</v>
      </c>
      <c r="AG283" s="396" t="n">
        <f aca="false">IF(AND(L282&lt;L_rampe,Poussee&lt;Poids*SIN(M282)),0,(-W282+Poussee)/m-Poids*SIN(M282)/m)</f>
        <v>-10.4717982903778</v>
      </c>
      <c r="AH283" s="397" t="n">
        <f aca="false">IF(AND(L282&lt;L_rampe,Poussee&lt;Poids*SIN(M282)), g*SIN(M282), (-W282+Poussee)/m)</f>
        <v>-1.58240582472947</v>
      </c>
    </row>
    <row r="284" customFormat="false" ht="12.75" hidden="false" customHeight="false" outlineLevel="0" collapsed="false">
      <c r="A284" s="396" t="n">
        <f aca="false">IF(B283+0.01&lt;=T_ini+ROUNDUP(Temps_fin_propu,0), 0.01, IF(K283&gt;0, 0.1, 0.0001))</f>
        <v>0.1</v>
      </c>
      <c r="B284" s="397" t="n">
        <f aca="false">B283+pas</f>
        <v>9.99999999999998</v>
      </c>
      <c r="D284" s="396" t="n">
        <f aca="false">IF(AND(L283&lt;L_rampe,Poussee&lt;Poids*SIN(M283)),0,(-W283+Poussee)/m*COS(M283)-U283/m*SIN(M283))</f>
        <v>-0.65478461811283</v>
      </c>
      <c r="E284" s="398" t="n">
        <f aca="false">IF(AND(L283&lt;L_rampe,Poussee&lt;Poids*SIN(M283)),0,(-W283+Poussee)/m*SIN(M283)+U283/m*COS(M283)-Poids/m)</f>
        <v>-11.1860676890819</v>
      </c>
      <c r="F284" s="397" t="n">
        <f aca="false">SQRT(acc_x^2+acc_z^2)</f>
        <v>11.2052154482116</v>
      </c>
      <c r="G284" s="396" t="n">
        <f aca="false">G283+acc_x*pas</f>
        <v>23.8944096728688</v>
      </c>
      <c r="H284" s="398" t="n">
        <f aca="false">H283+acc_z*pas</f>
        <v>49.2344818408641</v>
      </c>
      <c r="I284" s="397" t="n">
        <f aca="false">SQRT(vit_x^2+vit_z^2)</f>
        <v>54.7263831780729</v>
      </c>
      <c r="J284" s="396" t="n">
        <f aca="false">J283+0.5*(vit_x+G283)*pas*(K283&gt;=0)</f>
        <v>276.930039454904</v>
      </c>
      <c r="K284" s="398" t="n">
        <f aca="false">K283+0.5*(vit_z+H283)*pas</f>
        <v>1075.55992807338</v>
      </c>
      <c r="L284" s="397" t="n">
        <f aca="false">SQRT(pos_x^2+pos_z^2)</f>
        <v>1110.63918786873</v>
      </c>
      <c r="M284" s="396" t="n">
        <f aca="false">IF(AND(L283&gt;L_rampe,G284&gt;0),ATAN2(G284,H284),$M$4)</f>
        <v>1.11896267157838</v>
      </c>
      <c r="N284" s="397" t="n">
        <f aca="false">DEGREES(Beta)</f>
        <v>64.1118385141247</v>
      </c>
      <c r="P284" s="399" t="n">
        <f aca="false">MATCH(t-pas/2-T_ini,CdP_t)</f>
        <v>23</v>
      </c>
      <c r="Q284" s="397" t="n">
        <f aca="false">(INDEX(CdP,2,i_P+1)-INDEX(CdP,2,i_P+0))/(INDEX(CdP,1,i_P+1)-INDEX(CdP,1,i_P+0))*(t-pas/2-T_ini-INDEX(CdP,1,i_P+0))+INDEX(CdP,2,i_P+0)</f>
        <v>0</v>
      </c>
      <c r="R284" s="396" t="n">
        <f aca="false">Poussee/(g*ISP)</f>
        <v>0</v>
      </c>
      <c r="S284" s="398" t="n">
        <f aca="false">S283-Débit*pas</f>
        <v>8.45</v>
      </c>
      <c r="T284" s="397" t="n">
        <f aca="false">m*g</f>
        <v>82.8945</v>
      </c>
      <c r="U284" s="400" t="n">
        <f aca="false">IF(pos_xz&lt;L_rampe,Poids*COS(Beta),0)</f>
        <v>0</v>
      </c>
      <c r="V284" s="396" t="n">
        <f aca="false">Rho_moyen*(20000-Alt_rampe-pos_z)/(20000+Alt_rampe+pos_z)</f>
        <v>1.09996788541928</v>
      </c>
      <c r="W284" s="397" t="n">
        <f aca="false">1/2*Rho*Sref*Cx*vit_xz^2</f>
        <v>12.3965559934203</v>
      </c>
      <c r="Y284" s="401" t="str">
        <f aca="false">IF(AND(pos_z&lt;=0,K283&gt;0),"Impact balistique","") &amp; IF(AND(H285&lt;0,vit_z&gt;=0),"Apogée","") &amp; IF(AND(Poussee=0,Q283&gt;0),"Fin de propulsion","") &amp; IF(AND(L285&gt;L_rampe,pos_xz&lt;=L_rampe),"Sortie de rampe","")</f>
        <v/>
      </c>
      <c r="Z284" s="402" t="str">
        <f aca="false">IF(ABS(t-T_para)&lt;pas/2,"Para","")</f>
        <v/>
      </c>
      <c r="AA284" s="403" t="str">
        <f aca="false">IF(ABS(t-T_satellite)&lt;pas/2,"Satellite","")</f>
        <v/>
      </c>
      <c r="AC284" s="399" t="n">
        <f aca="false">IF(ABS(t-ROUND(t,0))&lt;0.001,t,NA())</f>
        <v>9.99999999999998</v>
      </c>
      <c r="AD284" s="404" t="n">
        <f aca="false">IF(ABS(t-ROUND(t,0))&lt;0.001,pos_x,NA())</f>
        <v>276.930039454904</v>
      </c>
      <c r="AE284" s="405" t="n">
        <f aca="false">IF(t&lt;T_para, pos_z, NA())</f>
        <v>1075.55992807338</v>
      </c>
      <c r="AG284" s="396" t="n">
        <f aca="false">IF(AND(L283&lt;L_rampe,Poussee&lt;Poids*SIN(M283)),0,(-W283+Poussee)/m-Poids*SIN(M283)/m)</f>
        <v>-10.3821861608966</v>
      </c>
      <c r="AH284" s="397" t="n">
        <f aca="false">IF(AND(L283&lt;L_rampe,Poussee&lt;Poids*SIN(M283)), g*SIN(M283), (-W283+Poussee)/m)</f>
        <v>-1.52391114604904</v>
      </c>
    </row>
    <row r="285" customFormat="false" ht="12.75" hidden="false" customHeight="false" outlineLevel="0" collapsed="false">
      <c r="A285" s="396" t="n">
        <f aca="false">IF(B284+0.01&lt;=T_ini+ROUNDUP(Temps_fin_propu,0), 0.01, IF(K284&gt;0, 0.1, 0.0001))</f>
        <v>0.1</v>
      </c>
      <c r="B285" s="397" t="n">
        <f aca="false">B284+pas</f>
        <v>10.1</v>
      </c>
      <c r="D285" s="396" t="n">
        <f aca="false">IF(AND(L284&lt;L_rampe,Poussee&lt;Poids*SIN(M284)),0,(-W284+Poussee)/m*COS(M284)-U284/m*SIN(M284))</f>
        <v>-0.640536520021635</v>
      </c>
      <c r="E285" s="398" t="n">
        <f aca="false">IF(AND(L284&lt;L_rampe,Poussee&lt;Poids*SIN(M284)),0,(-W284+Poussee)/m*SIN(M284)+U284/m*COS(M284)-Poids/m)</f>
        <v>-11.1298268588834</v>
      </c>
      <c r="F285" s="397" t="n">
        <f aca="false">SQRT(acc_x^2+acc_z^2)</f>
        <v>11.14824349134</v>
      </c>
      <c r="G285" s="396" t="n">
        <f aca="false">G284+acc_x*pas</f>
        <v>23.8303560208667</v>
      </c>
      <c r="H285" s="398" t="n">
        <f aca="false">H284+acc_z*pas</f>
        <v>48.1214991549757</v>
      </c>
      <c r="I285" s="397" t="n">
        <f aca="false">SQRT(vit_x^2+vit_z^2)</f>
        <v>53.6988319147036</v>
      </c>
      <c r="J285" s="396" t="n">
        <f aca="false">J284+0.5*(vit_x+G284)*pas*(K284&gt;=0)</f>
        <v>279.316277739591</v>
      </c>
      <c r="K285" s="398" t="n">
        <f aca="false">K284+0.5*(vit_z+H284)*pas</f>
        <v>1080.42772712318</v>
      </c>
      <c r="L285" s="397" t="n">
        <f aca="false">SQRT(pos_x^2+pos_z^2)</f>
        <v>1115.94876967845</v>
      </c>
      <c r="M285" s="396" t="n">
        <f aca="false">IF(AND(L284&gt;L_rampe,G285&gt;0),ATAN2(G285,H285),$M$4)</f>
        <v>1.11098624572743</v>
      </c>
      <c r="N285" s="397" t="n">
        <f aca="false">DEGREES(Beta)</f>
        <v>63.6548229772661</v>
      </c>
      <c r="P285" s="399" t="n">
        <f aca="false">MATCH(t-pas/2-T_ini,CdP_t)</f>
        <v>23</v>
      </c>
      <c r="Q285" s="397" t="n">
        <f aca="false">(INDEX(CdP,2,i_P+1)-INDEX(CdP,2,i_P+0))/(INDEX(CdP,1,i_P+1)-INDEX(CdP,1,i_P+0))*(t-pas/2-T_ini-INDEX(CdP,1,i_P+0))+INDEX(CdP,2,i_P+0)</f>
        <v>0</v>
      </c>
      <c r="R285" s="396" t="n">
        <f aca="false">Poussee/(g*ISP)</f>
        <v>0</v>
      </c>
      <c r="S285" s="398" t="n">
        <f aca="false">S284-Débit*pas</f>
        <v>8.45</v>
      </c>
      <c r="T285" s="397" t="n">
        <f aca="false">m*g</f>
        <v>82.8945</v>
      </c>
      <c r="U285" s="400" t="n">
        <f aca="false">IF(pos_xz&lt;L_rampe,Poids*COS(Beta),0)</f>
        <v>0</v>
      </c>
      <c r="V285" s="396" t="n">
        <f aca="false">Rho_moyen*(20000-Alt_rampe-pos_z)/(20000+Alt_rampe+pos_z)</f>
        <v>1.09943101412758</v>
      </c>
      <c r="W285" s="397" t="n">
        <f aca="false">1/2*Rho*Sref*Cx*vit_xz^2</f>
        <v>11.9295814955728</v>
      </c>
      <c r="Y285" s="401" t="str">
        <f aca="false">IF(AND(pos_z&lt;=0,K284&gt;0),"Impact balistique","") &amp; IF(AND(H286&lt;0,vit_z&gt;=0),"Apogée","") &amp; IF(AND(Poussee=0,Q284&gt;0),"Fin de propulsion","") &amp; IF(AND(L286&gt;L_rampe,pos_xz&lt;=L_rampe),"Sortie de rampe","")</f>
        <v/>
      </c>
      <c r="Z285" s="402" t="str">
        <f aca="false">IF(ABS(t-T_para)&lt;pas/2,"Para","")</f>
        <v/>
      </c>
      <c r="AA285" s="403" t="str">
        <f aca="false">IF(ABS(t-T_satellite)&lt;pas/2,"Satellite","")</f>
        <v/>
      </c>
      <c r="AC285" s="399" t="e">
        <f aca="false">IF(ABS(t-ROUND(t,0))&lt;0.001,t,NA())</f>
        <v>#N/A</v>
      </c>
      <c r="AD285" s="404" t="e">
        <f aca="false">IF(ABS(t-ROUND(t,0))&lt;0.001,pos_x,NA())</f>
        <v>#N/A</v>
      </c>
      <c r="AE285" s="405" t="n">
        <f aca="false">IF(t&lt;T_para, pos_z, NA())</f>
        <v>1080.42772712318</v>
      </c>
      <c r="AG285" s="396" t="n">
        <f aca="false">IF(AND(L284&lt;L_rampe,Poussee&lt;Poids*SIN(M284)),0,(-W284+Poussee)/m-Poids*SIN(M284)/m)</f>
        <v>-10.2925950462075</v>
      </c>
      <c r="AH285" s="397" t="n">
        <f aca="false">IF(AND(L284&lt;L_rampe,Poussee&lt;Poids*SIN(M284)), g*SIN(M284), (-W284+Poussee)/m)</f>
        <v>-1.46704804655861</v>
      </c>
    </row>
    <row r="286" customFormat="false" ht="12.75" hidden="false" customHeight="false" outlineLevel="0" collapsed="false">
      <c r="A286" s="396" t="n">
        <f aca="false">IF(B285+0.01&lt;=T_ini+ROUNDUP(Temps_fin_propu,0), 0.01, IF(K285&gt;0, 0.1, 0.0001))</f>
        <v>0.1</v>
      </c>
      <c r="B286" s="397" t="n">
        <f aca="false">B285+pas</f>
        <v>10.2</v>
      </c>
      <c r="D286" s="396" t="n">
        <f aca="false">IF(AND(L285&lt;L_rampe,Poussee&lt;Poids*SIN(M285)),0,(-W285+Poussee)/m*COS(M285)-U285/m*SIN(M285))</f>
        <v>-0.626518920943995</v>
      </c>
      <c r="E286" s="398" t="n">
        <f aca="false">IF(AND(L285&lt;L_rampe,Poussee&lt;Poids*SIN(M285)),0,(-W285+Poussee)/m*SIN(M285)+U285/m*COS(M285)-Poids/m)</f>
        <v>-11.0751522997971</v>
      </c>
      <c r="F286" s="397" t="n">
        <f aca="false">SQRT(acc_x^2+acc_z^2)</f>
        <v>11.0928591635341</v>
      </c>
      <c r="G286" s="396" t="n">
        <f aca="false">G285+acc_x*pas</f>
        <v>23.7677041287722</v>
      </c>
      <c r="H286" s="398" t="n">
        <f aca="false">H285+acc_z*pas</f>
        <v>47.013983924996</v>
      </c>
      <c r="I286" s="397" t="n">
        <f aca="false">SQRT(vit_x^2+vit_z^2)</f>
        <v>52.6803421026538</v>
      </c>
      <c r="J286" s="396" t="n">
        <f aca="false">J285+0.5*(vit_x+G285)*pas*(K285&gt;=0)</f>
        <v>281.696180747073</v>
      </c>
      <c r="K286" s="398" t="n">
        <f aca="false">K285+0.5*(vit_z+H285)*pas</f>
        <v>1085.18450127717</v>
      </c>
      <c r="L286" s="397" t="n">
        <f aca="false">SQRT(pos_x^2+pos_z^2)</f>
        <v>1121.15036460756</v>
      </c>
      <c r="M286" s="396" t="n">
        <f aca="false">IF(AND(L285&gt;L_rampe,G286&gt;0),ATAN2(G286,H286),$M$4)</f>
        <v>1.10272223150451</v>
      </c>
      <c r="N286" s="397" t="n">
        <f aca="false">DEGREES(Beta)</f>
        <v>63.1813298404565</v>
      </c>
      <c r="P286" s="399" t="n">
        <f aca="false">MATCH(t-pas/2-T_ini,CdP_t)</f>
        <v>23</v>
      </c>
      <c r="Q286" s="397" t="n">
        <f aca="false">(INDEX(CdP,2,i_P+1)-INDEX(CdP,2,i_P+0))/(INDEX(CdP,1,i_P+1)-INDEX(CdP,1,i_P+0))*(t-pas/2-T_ini-INDEX(CdP,1,i_P+0))+INDEX(CdP,2,i_P+0)</f>
        <v>0</v>
      </c>
      <c r="R286" s="396" t="n">
        <f aca="false">Poussee/(g*ISP)</f>
        <v>0</v>
      </c>
      <c r="S286" s="398" t="n">
        <f aca="false">S285-Débit*pas</f>
        <v>8.45</v>
      </c>
      <c r="T286" s="397" t="n">
        <f aca="false">m*g</f>
        <v>82.8945</v>
      </c>
      <c r="U286" s="400" t="n">
        <f aca="false">IF(pos_xz&lt;L_rampe,Poids*COS(Beta),0)</f>
        <v>0</v>
      </c>
      <c r="V286" s="396" t="n">
        <f aca="false">Rho_moyen*(20000-Alt_rampe-pos_z)/(20000+Alt_rampe+pos_z)</f>
        <v>1.09890662728287</v>
      </c>
      <c r="W286" s="397" t="n">
        <f aca="false">1/2*Rho*Sref*Cx*vit_xz^2</f>
        <v>11.4758671634886</v>
      </c>
      <c r="Y286" s="401" t="str">
        <f aca="false">IF(AND(pos_z&lt;=0,K285&gt;0),"Impact balistique","") &amp; IF(AND(H287&lt;0,vit_z&gt;=0),"Apogée","") &amp; IF(AND(Poussee=0,Q285&gt;0),"Fin de propulsion","") &amp; IF(AND(L287&gt;L_rampe,pos_xz&lt;=L_rampe),"Sortie de rampe","")</f>
        <v/>
      </c>
      <c r="Z286" s="402" t="str">
        <f aca="false">IF(ABS(t-T_para)&lt;pas/2,"Para","")</f>
        <v/>
      </c>
      <c r="AA286" s="403" t="str">
        <f aca="false">IF(ABS(t-T_satellite)&lt;pas/2,"Satellite","")</f>
        <v/>
      </c>
      <c r="AC286" s="399" t="e">
        <f aca="false">IF(ABS(t-ROUND(t,0))&lt;0.001,t,NA())</f>
        <v>#N/A</v>
      </c>
      <c r="AD286" s="404" t="e">
        <f aca="false">IF(ABS(t-ROUND(t,0))&lt;0.001,pos_x,NA())</f>
        <v>#N/A</v>
      </c>
      <c r="AE286" s="405" t="n">
        <f aca="false">IF(t&lt;T_para, pos_z, NA())</f>
        <v>1085.18450127717</v>
      </c>
      <c r="AG286" s="396" t="n">
        <f aca="false">IF(AND(L285&lt;L_rampe,Poussee&lt;Poids*SIN(M285)),0,(-W285+Poussee)/m-Poids*SIN(M285)/m)</f>
        <v>-10.202886756384</v>
      </c>
      <c r="AH286" s="397" t="n">
        <f aca="false">IF(AND(L285&lt;L_rampe,Poussee&lt;Poids*SIN(M285)), g*SIN(M285), (-W285+Poussee)/m)</f>
        <v>-1.41178479237548</v>
      </c>
    </row>
    <row r="287" customFormat="false" ht="12.75" hidden="false" customHeight="false" outlineLevel="0" collapsed="false">
      <c r="A287" s="396" t="n">
        <f aca="false">IF(B286+0.01&lt;=T_ini+ROUNDUP(Temps_fin_propu,0), 0.01, IF(K286&gt;0, 0.1, 0.0001))</f>
        <v>0.1</v>
      </c>
      <c r="B287" s="397" t="n">
        <f aca="false">B286+pas</f>
        <v>10.3</v>
      </c>
      <c r="D287" s="396" t="n">
        <f aca="false">IF(AND(L286&lt;L_rampe,Poussee&lt;Poids*SIN(M286)),0,(-W286+Poussee)/m*COS(M286)-U286/m*SIN(M286))</f>
        <v>-0.612727608716865</v>
      </c>
      <c r="E287" s="398" t="n">
        <f aca="false">IF(AND(L286&lt;L_rampe,Poussee&lt;Poids*SIN(M286)),0,(-W286+Poussee)/m*SIN(M286)+U286/m*COS(M286)-Poids/m)</f>
        <v>-11.0220129815881</v>
      </c>
      <c r="F287" s="397" t="n">
        <f aca="false">SQRT(acc_x^2+acc_z^2)</f>
        <v>11.0390309941036</v>
      </c>
      <c r="G287" s="396" t="n">
        <f aca="false">G286+acc_x*pas</f>
        <v>23.7064313679006</v>
      </c>
      <c r="H287" s="398" t="n">
        <f aca="false">H286+acc_z*pas</f>
        <v>45.9117826268372</v>
      </c>
      <c r="I287" s="397" t="n">
        <f aca="false">SQRT(vit_x^2+vit_z^2)</f>
        <v>51.670946112636</v>
      </c>
      <c r="J287" s="396" t="n">
        <f aca="false">J286+0.5*(vit_x+G286)*pas*(K286&gt;=0)</f>
        <v>284.069887521906</v>
      </c>
      <c r="K287" s="398" t="n">
        <f aca="false">K286+0.5*(vit_z+H286)*pas</f>
        <v>1089.83078960477</v>
      </c>
      <c r="L287" s="397" t="n">
        <f aca="false">SQRT(pos_x^2+pos_z^2)</f>
        <v>1126.24457866276</v>
      </c>
      <c r="M287" s="396" t="n">
        <f aca="false">IF(AND(L286&gt;L_rampe,G287&gt;0),ATAN2(G287,H287),$M$4)</f>
        <v>1.09415645871216</v>
      </c>
      <c r="N287" s="397" t="n">
        <f aca="false">DEGREES(Beta)</f>
        <v>62.6905472111871</v>
      </c>
      <c r="P287" s="399" t="n">
        <f aca="false">MATCH(t-pas/2-T_ini,CdP_t)</f>
        <v>23</v>
      </c>
      <c r="Q287" s="397" t="n">
        <f aca="false">(INDEX(CdP,2,i_P+1)-INDEX(CdP,2,i_P+0))/(INDEX(CdP,1,i_P+1)-INDEX(CdP,1,i_P+0))*(t-pas/2-T_ini-INDEX(CdP,1,i_P+0))+INDEX(CdP,2,i_P+0)</f>
        <v>0</v>
      </c>
      <c r="R287" s="396" t="n">
        <f aca="false">Poussee/(g*ISP)</f>
        <v>0</v>
      </c>
      <c r="S287" s="398" t="n">
        <f aca="false">S286-Débit*pas</f>
        <v>8.45</v>
      </c>
      <c r="T287" s="397" t="n">
        <f aca="false">m*g</f>
        <v>82.8945</v>
      </c>
      <c r="U287" s="400" t="n">
        <f aca="false">IF(pos_xz&lt;L_rampe,Poids*COS(Beta),0)</f>
        <v>0</v>
      </c>
      <c r="V287" s="396" t="n">
        <f aca="false">Rho_moyen*(20000-Alt_rampe-pos_z)/(20000+Alt_rampe+pos_z)</f>
        <v>1.09839464876846</v>
      </c>
      <c r="W287" s="397" t="n">
        <f aca="false">1/2*Rho*Sref*Cx*vit_xz^2</f>
        <v>11.0351637658275</v>
      </c>
      <c r="Y287" s="401" t="str">
        <f aca="false">IF(AND(pos_z&lt;=0,K286&gt;0),"Impact balistique","") &amp; IF(AND(H288&lt;0,vit_z&gt;=0),"Apogée","") &amp; IF(AND(Poussee=0,Q286&gt;0),"Fin de propulsion","") &amp; IF(AND(L288&gt;L_rampe,pos_xz&lt;=L_rampe),"Sortie de rampe","")</f>
        <v/>
      </c>
      <c r="Z287" s="402" t="str">
        <f aca="false">IF(ABS(t-T_para)&lt;pas/2,"Para","")</f>
        <v/>
      </c>
      <c r="AA287" s="403" t="str">
        <f aca="false">IF(ABS(t-T_satellite)&lt;pas/2,"Satellite","")</f>
        <v/>
      </c>
      <c r="AC287" s="399" t="e">
        <f aca="false">IF(ABS(t-ROUND(t,0))&lt;0.001,t,NA())</f>
        <v>#N/A</v>
      </c>
      <c r="AD287" s="404" t="e">
        <f aca="false">IF(ABS(t-ROUND(t,0))&lt;0.001,pos_x,NA())</f>
        <v>#N/A</v>
      </c>
      <c r="AE287" s="405" t="n">
        <f aca="false">IF(t&lt;T_para, pos_z, NA())</f>
        <v>1089.83078960477</v>
      </c>
      <c r="AG287" s="396" t="n">
        <f aca="false">IF(AND(L286&lt;L_rampe,Poussee&lt;Poids*SIN(M286)),0,(-W286+Poussee)/m-Poids*SIN(M286)/m)</f>
        <v>-10.1129159073201</v>
      </c>
      <c r="AH287" s="397" t="n">
        <f aca="false">IF(AND(L286&lt;L_rampe,Poussee&lt;Poids*SIN(M286)), g*SIN(M286), (-W286+Poussee)/m)</f>
        <v>-1.35809078857853</v>
      </c>
    </row>
    <row r="288" customFormat="false" ht="12.75" hidden="false" customHeight="false" outlineLevel="0" collapsed="false">
      <c r="A288" s="396" t="n">
        <f aca="false">IF(B287+0.01&lt;=T_ini+ROUNDUP(Temps_fin_propu,0), 0.01, IF(K287&gt;0, 0.1, 0.0001))</f>
        <v>0.1</v>
      </c>
      <c r="B288" s="397" t="n">
        <f aca="false">B287+pas</f>
        <v>10.4</v>
      </c>
      <c r="D288" s="396" t="n">
        <f aca="false">IF(AND(L287&lt;L_rampe,Poussee&lt;Poids*SIN(M287)),0,(-W287+Poussee)/m*COS(M287)-U287/m*SIN(M287))</f>
        <v>-0.599158662525536</v>
      </c>
      <c r="E288" s="398" t="n">
        <f aca="false">IF(AND(L287&lt;L_rampe,Poussee&lt;Poids*SIN(M287)),0,(-W287+Poussee)/m*SIN(M287)+U287/m*COS(M287)-Poids/m)</f>
        <v>-10.9703788797207</v>
      </c>
      <c r="F288" s="397" t="n">
        <f aca="false">SQRT(acc_x^2+acc_z^2)</f>
        <v>10.9867285334398</v>
      </c>
      <c r="G288" s="396" t="n">
        <f aca="false">G287+acc_x*pas</f>
        <v>23.646515501648</v>
      </c>
      <c r="H288" s="398" t="n">
        <f aca="false">H287+acc_z*pas</f>
        <v>44.8147447388652</v>
      </c>
      <c r="I288" s="397" t="n">
        <f aca="false">SQRT(vit_x^2+vit_z^2)</f>
        <v>50.6706921344017</v>
      </c>
      <c r="J288" s="396" t="n">
        <f aca="false">J287+0.5*(vit_x+G287)*pas*(K287&gt;=0)</f>
        <v>286.437534865384</v>
      </c>
      <c r="K288" s="398" t="n">
        <f aca="false">K287+0.5*(vit_z+H287)*pas</f>
        <v>1094.36711597305</v>
      </c>
      <c r="L288" s="397" t="n">
        <f aca="false">SQRT(pos_x^2+pos_z^2)</f>
        <v>1131.23200357085</v>
      </c>
      <c r="M288" s="396" t="n">
        <f aca="false">IF(AND(L287&gt;L_rampe,G288&gt;0),ATAN2(G288,H288),$M$4)</f>
        <v>1.08527390891809</v>
      </c>
      <c r="N288" s="397" t="n">
        <f aca="false">DEGREES(Beta)</f>
        <v>62.1816145966718</v>
      </c>
      <c r="P288" s="399" t="n">
        <f aca="false">MATCH(t-pas/2-T_ini,CdP_t)</f>
        <v>23</v>
      </c>
      <c r="Q288" s="397" t="n">
        <f aca="false">(INDEX(CdP,2,i_P+1)-INDEX(CdP,2,i_P+0))/(INDEX(CdP,1,i_P+1)-INDEX(CdP,1,i_P+0))*(t-pas/2-T_ini-INDEX(CdP,1,i_P+0))+INDEX(CdP,2,i_P+0)</f>
        <v>0</v>
      </c>
      <c r="R288" s="396" t="n">
        <f aca="false">Poussee/(g*ISP)</f>
        <v>0</v>
      </c>
      <c r="S288" s="398" t="n">
        <f aca="false">S287-Débit*pas</f>
        <v>8.45</v>
      </c>
      <c r="T288" s="397" t="n">
        <f aca="false">m*g</f>
        <v>82.8945</v>
      </c>
      <c r="U288" s="400" t="n">
        <f aca="false">IF(pos_xz&lt;L_rampe,Poids*COS(Beta),0)</f>
        <v>0</v>
      </c>
      <c r="V288" s="396" t="n">
        <f aca="false">Rho_moyen*(20000-Alt_rampe-pos_z)/(20000+Alt_rampe+pos_z)</f>
        <v>1.09789500465251</v>
      </c>
      <c r="W288" s="397" t="n">
        <f aca="false">1/2*Rho*Sref*Cx*vit_xz^2</f>
        <v>10.6072310531914</v>
      </c>
      <c r="Y288" s="401" t="str">
        <f aca="false">IF(AND(pos_z&lt;=0,K287&gt;0),"Impact balistique","") &amp; IF(AND(H289&lt;0,vit_z&gt;=0),"Apogée","") &amp; IF(AND(Poussee=0,Q287&gt;0),"Fin de propulsion","") &amp; IF(AND(L289&gt;L_rampe,pos_xz&lt;=L_rampe),"Sortie de rampe","")</f>
        <v/>
      </c>
      <c r="Z288" s="402" t="str">
        <f aca="false">IF(ABS(t-T_para)&lt;pas/2,"Para","")</f>
        <v/>
      </c>
      <c r="AA288" s="403" t="str">
        <f aca="false">IF(ABS(t-T_satellite)&lt;pas/2,"Satellite","")</f>
        <v/>
      </c>
      <c r="AC288" s="399" t="e">
        <f aca="false">IF(ABS(t-ROUND(t,0))&lt;0.001,t,NA())</f>
        <v>#N/A</v>
      </c>
      <c r="AD288" s="404" t="e">
        <f aca="false">IF(ABS(t-ROUND(t,0))&lt;0.001,pos_x,NA())</f>
        <v>#N/A</v>
      </c>
      <c r="AE288" s="405" t="n">
        <f aca="false">IF(t&lt;T_para, pos_z, NA())</f>
        <v>1094.36711597305</v>
      </c>
      <c r="AG288" s="396" t="n">
        <f aca="false">IF(AND(L287&lt;L_rampe,Poussee&lt;Poids*SIN(M287)),0,(-W287+Poussee)/m-Poids*SIN(M287)/m)</f>
        <v>-10.0225291606337</v>
      </c>
      <c r="AH288" s="397" t="n">
        <f aca="false">IF(AND(L287&lt;L_rampe,Poussee&lt;Poids*SIN(M287)), g*SIN(M287), (-W287+Poussee)/m)</f>
        <v>-1.30593654033461</v>
      </c>
    </row>
    <row r="289" customFormat="false" ht="12.75" hidden="false" customHeight="false" outlineLevel="0" collapsed="false">
      <c r="A289" s="396" t="n">
        <f aca="false">IF(B288+0.01&lt;=T_ini+ROUNDUP(Temps_fin_propu,0), 0.01, IF(K288&gt;0, 0.1, 0.0001))</f>
        <v>0.1</v>
      </c>
      <c r="B289" s="397" t="n">
        <f aca="false">B288+pas</f>
        <v>10.5</v>
      </c>
      <c r="D289" s="396" t="n">
        <f aca="false">IF(AND(L288&lt;L_rampe,Poussee&lt;Poids*SIN(M288)),0,(-W288+Poussee)/m*COS(M288)-U288/m*SIN(M288))</f>
        <v>-0.585808456405317</v>
      </c>
      <c r="E289" s="398" t="n">
        <f aca="false">IF(AND(L288&lt;L_rampe,Poussee&lt;Poids*SIN(M288)),0,(-W288+Poussee)/m*SIN(M288)+U288/m*COS(M288)-Poids/m)</f>
        <v>-10.9202209303457</v>
      </c>
      <c r="F289" s="397" t="n">
        <f aca="false">SQRT(acc_x^2+acc_z^2)</f>
        <v>10.9359223074762</v>
      </c>
      <c r="G289" s="396" t="n">
        <f aca="false">G288+acc_x*pas</f>
        <v>23.5879346560075</v>
      </c>
      <c r="H289" s="398" t="n">
        <f aca="false">H288+acc_z*pas</f>
        <v>43.7227226458306</v>
      </c>
      <c r="I289" s="397" t="n">
        <f aca="false">SQRT(vit_x^2+vit_z^2)</f>
        <v>49.6796450963602</v>
      </c>
      <c r="J289" s="396" t="n">
        <f aca="false">J288+0.5*(vit_x+G288)*pas*(K288&gt;=0)</f>
        <v>288.799257373266</v>
      </c>
      <c r="K289" s="398" t="n">
        <f aca="false">K288+0.5*(vit_z+H288)*pas</f>
        <v>1098.79398934229</v>
      </c>
      <c r="L289" s="397" t="n">
        <f aca="false">SQRT(pos_x^2+pos_z^2)</f>
        <v>1136.1132171021</v>
      </c>
      <c r="M289" s="396" t="n">
        <f aca="false">IF(AND(L288&gt;L_rampe,G289&gt;0),ATAN2(G289,H289),$M$4)</f>
        <v>1.07605866179522</v>
      </c>
      <c r="N289" s="397" t="n">
        <f aca="false">DEGREES(Beta)</f>
        <v>61.6536198293615</v>
      </c>
      <c r="P289" s="399" t="n">
        <f aca="false">MATCH(t-pas/2-T_ini,CdP_t)</f>
        <v>23</v>
      </c>
      <c r="Q289" s="397" t="n">
        <f aca="false">(INDEX(CdP,2,i_P+1)-INDEX(CdP,2,i_P+0))/(INDEX(CdP,1,i_P+1)-INDEX(CdP,1,i_P+0))*(t-pas/2-T_ini-INDEX(CdP,1,i_P+0))+INDEX(CdP,2,i_P+0)</f>
        <v>0</v>
      </c>
      <c r="R289" s="396" t="n">
        <f aca="false">Poussee/(g*ISP)</f>
        <v>0</v>
      </c>
      <c r="S289" s="398" t="n">
        <f aca="false">S288-Débit*pas</f>
        <v>8.45</v>
      </c>
      <c r="T289" s="397" t="n">
        <f aca="false">m*g</f>
        <v>82.8945</v>
      </c>
      <c r="U289" s="400" t="n">
        <f aca="false">IF(pos_xz&lt;L_rampe,Poids*COS(Beta),0)</f>
        <v>0</v>
      </c>
      <c r="V289" s="396" t="n">
        <f aca="false">Rho_moyen*(20000-Alt_rampe-pos_z)/(20000+Alt_rampe+pos_z)</f>
        <v>1.09740762314432</v>
      </c>
      <c r="W289" s="397" t="n">
        <f aca="false">1/2*Rho*Sref*Cx*vit_xz^2</f>
        <v>10.1918374582686</v>
      </c>
      <c r="Y289" s="401" t="str">
        <f aca="false">IF(AND(pos_z&lt;=0,K288&gt;0),"Impact balistique","") &amp; IF(AND(H290&lt;0,vit_z&gt;=0),"Apogée","") &amp; IF(AND(Poussee=0,Q288&gt;0),"Fin de propulsion","") &amp; IF(AND(L290&gt;L_rampe,pos_xz&lt;=L_rampe),"Sortie de rampe","")</f>
        <v/>
      </c>
      <c r="Z289" s="402" t="str">
        <f aca="false">IF(ABS(t-T_para)&lt;pas/2,"Para","")</f>
        <v/>
      </c>
      <c r="AA289" s="403" t="str">
        <f aca="false">IF(ABS(t-T_satellite)&lt;pas/2,"Satellite","")</f>
        <v/>
      </c>
      <c r="AC289" s="399" t="e">
        <f aca="false">IF(ABS(t-ROUND(t,0))&lt;0.001,t,NA())</f>
        <v>#N/A</v>
      </c>
      <c r="AD289" s="404" t="e">
        <f aca="false">IF(ABS(t-ROUND(t,0))&lt;0.001,pos_x,NA())</f>
        <v>#N/A</v>
      </c>
      <c r="AE289" s="405" t="n">
        <f aca="false">IF(t&lt;T_para, pos_z, NA())</f>
        <v>1098.79398934229</v>
      </c>
      <c r="AG289" s="396" t="n">
        <f aca="false">IF(AND(L288&lt;L_rampe,Poussee&lt;Poids*SIN(M288)),0,(-W288+Poussee)/m-Poids*SIN(M288)/m)</f>
        <v>-9.93156440208117</v>
      </c>
      <c r="AH289" s="397" t="n">
        <f aca="false">IF(AND(L288&lt;L_rampe,Poussee&lt;Poids*SIN(M288)), g*SIN(M288), (-W288+Poussee)/m)</f>
        <v>-1.2552936157623</v>
      </c>
    </row>
    <row r="290" customFormat="false" ht="12.75" hidden="false" customHeight="false" outlineLevel="0" collapsed="false">
      <c r="A290" s="396" t="n">
        <f aca="false">IF(B289+0.01&lt;=T_ini+ROUNDUP(Temps_fin_propu,0), 0.01, IF(K289&gt;0, 0.1, 0.0001))</f>
        <v>0.1</v>
      </c>
      <c r="B290" s="397" t="n">
        <f aca="false">B289+pas</f>
        <v>10.6</v>
      </c>
      <c r="D290" s="396" t="n">
        <f aca="false">IF(AND(L289&lt;L_rampe,Poussee&lt;Poids*SIN(M289)),0,(-W289+Poussee)/m*COS(M289)-U289/m*SIN(M289))</f>
        <v>-0.572673663879161</v>
      </c>
      <c r="E290" s="398" t="n">
        <f aca="false">IF(AND(L289&lt;L_rampe,Poussee&lt;Poids*SIN(M289)),0,(-W289+Poussee)/m*SIN(M289)+U289/m*COS(M289)-Poids/m)</f>
        <v>-10.8715109859134</v>
      </c>
      <c r="F290" s="397" t="n">
        <f aca="false">SQRT(acc_x^2+acc_z^2)</f>
        <v>10.8865837727975</v>
      </c>
      <c r="G290" s="396" t="n">
        <f aca="false">G289+acc_x*pas</f>
        <v>23.5306672896196</v>
      </c>
      <c r="H290" s="398" t="n">
        <f aca="false">H289+acc_z*pas</f>
        <v>42.6355715472392</v>
      </c>
      <c r="I290" s="397" t="n">
        <f aca="false">SQRT(vit_x^2+vit_z^2)</f>
        <v>48.6978876775423</v>
      </c>
      <c r="J290" s="396" t="n">
        <f aca="false">J289+0.5*(vit_x+G289)*pas*(K289&gt;=0)</f>
        <v>291.155187470548</v>
      </c>
      <c r="K290" s="398" t="n">
        <f aca="false">K289+0.5*(vit_z+H289)*pas</f>
        <v>1103.11190405194</v>
      </c>
      <c r="L290" s="397" t="n">
        <f aca="false">SQRT(pos_x^2+pos_z^2)</f>
        <v>1140.8887833843</v>
      </c>
      <c r="M290" s="396" t="n">
        <f aca="false">IF(AND(L289&gt;L_rampe,G290&gt;0),ATAN2(G290,H290),$M$4)</f>
        <v>1.0664938388083</v>
      </c>
      <c r="N290" s="397" t="n">
        <f aca="false">DEGREES(Beta)</f>
        <v>61.1055958404213</v>
      </c>
      <c r="P290" s="399" t="n">
        <f aca="false">MATCH(t-pas/2-T_ini,CdP_t)</f>
        <v>23</v>
      </c>
      <c r="Q290" s="397" t="n">
        <f aca="false">(INDEX(CdP,2,i_P+1)-INDEX(CdP,2,i_P+0))/(INDEX(CdP,1,i_P+1)-INDEX(CdP,1,i_P+0))*(t-pas/2-T_ini-INDEX(CdP,1,i_P+0))+INDEX(CdP,2,i_P+0)</f>
        <v>0</v>
      </c>
      <c r="R290" s="396" t="n">
        <f aca="false">Poussee/(g*ISP)</f>
        <v>0</v>
      </c>
      <c r="S290" s="398" t="n">
        <f aca="false">S289-Débit*pas</f>
        <v>8.45</v>
      </c>
      <c r="T290" s="397" t="n">
        <f aca="false">m*g</f>
        <v>82.8945</v>
      </c>
      <c r="U290" s="400" t="n">
        <f aca="false">IF(pos_xz&lt;L_rampe,Poids*COS(Beta),0)</f>
        <v>0</v>
      </c>
      <c r="V290" s="396" t="n">
        <f aca="false">Rho_moyen*(20000-Alt_rampe-pos_z)/(20000+Alt_rampe+pos_z)</f>
        <v>1.09693243455207</v>
      </c>
      <c r="W290" s="397" t="n">
        <f aca="false">1/2*Rho*Sref*Cx*vit_xz^2</f>
        <v>9.78875980922868</v>
      </c>
      <c r="Y290" s="401" t="str">
        <f aca="false">IF(AND(pos_z&lt;=0,K289&gt;0),"Impact balistique","") &amp; IF(AND(H291&lt;0,vit_z&gt;=0),"Apogée","") &amp; IF(AND(Poussee=0,Q289&gt;0),"Fin de propulsion","") &amp; IF(AND(L291&gt;L_rampe,pos_xz&lt;=L_rampe),"Sortie de rampe","")</f>
        <v/>
      </c>
      <c r="Z290" s="402" t="str">
        <f aca="false">IF(ABS(t-T_para)&lt;pas/2,"Para","")</f>
        <v/>
      </c>
      <c r="AA290" s="403" t="str">
        <f aca="false">IF(ABS(t-T_satellite)&lt;pas/2,"Satellite","")</f>
        <v/>
      </c>
      <c r="AC290" s="399" t="e">
        <f aca="false">IF(ABS(t-ROUND(t,0))&lt;0.001,t,NA())</f>
        <v>#N/A</v>
      </c>
      <c r="AD290" s="404" t="e">
        <f aca="false">IF(ABS(t-ROUND(t,0))&lt;0.001,pos_x,NA())</f>
        <v>#N/A</v>
      </c>
      <c r="AE290" s="405" t="n">
        <f aca="false">IF(t&lt;T_para, pos_z, NA())</f>
        <v>1103.11190405194</v>
      </c>
      <c r="AG290" s="396" t="n">
        <f aca="false">IF(AND(L289&lt;L_rampe,Poussee&lt;Poids*SIN(M289)),0,(-W289+Poussee)/m-Poids*SIN(M289)/m)</f>
        <v>-9.83984985385506</v>
      </c>
      <c r="AH290" s="397" t="n">
        <f aca="false">IF(AND(L289&lt;L_rampe,Poussee&lt;Poids*SIN(M289)), g*SIN(M289), (-W289+Poussee)/m)</f>
        <v>-1.20613461044599</v>
      </c>
    </row>
    <row r="291" customFormat="false" ht="12.75" hidden="false" customHeight="false" outlineLevel="0" collapsed="false">
      <c r="A291" s="396" t="n">
        <f aca="false">IF(B290+0.01&lt;=T_ini+ROUNDUP(Temps_fin_propu,0), 0.01, IF(K290&gt;0, 0.1, 0.0001))</f>
        <v>0.1</v>
      </c>
      <c r="B291" s="397" t="n">
        <f aca="false">B290+pas</f>
        <v>10.7</v>
      </c>
      <c r="D291" s="396" t="n">
        <f aca="false">IF(AND(L290&lt;L_rampe,Poussee&lt;Poids*SIN(M290)),0,(-W290+Poussee)/m*COS(M290)-U290/m*SIN(M290))</f>
        <v>-0.559751263791371</v>
      </c>
      <c r="E291" s="398" t="n">
        <f aca="false">IF(AND(L290&lt;L_rampe,Poussee&lt;Poids*SIN(M290)),0,(-W290+Poussee)/m*SIN(M290)+U290/m*COS(M290)-Poids/m)</f>
        <v>-10.8242217712016</v>
      </c>
      <c r="F291" s="397" t="n">
        <f aca="false">SQRT(acc_x^2+acc_z^2)</f>
        <v>10.8386852721846</v>
      </c>
      <c r="G291" s="396" t="n">
        <f aca="false">G290+acc_x*pas</f>
        <v>23.4746921632404</v>
      </c>
      <c r="H291" s="398" t="n">
        <f aca="false">H290+acc_z*pas</f>
        <v>41.5531493701191</v>
      </c>
      <c r="I291" s="397" t="n">
        <f aca="false">SQRT(vit_x^2+vit_z^2)</f>
        <v>47.725521419198</v>
      </c>
      <c r="J291" s="396" t="n">
        <f aca="false">J290+0.5*(vit_x+G290)*pas*(K290&gt;=0)</f>
        <v>293.505455443191</v>
      </c>
      <c r="K291" s="398" t="n">
        <f aca="false">K290+0.5*(vit_z+H290)*pas</f>
        <v>1107.32134009781</v>
      </c>
      <c r="L291" s="397" t="n">
        <f aca="false">SQRT(pos_x^2+pos_z^2)</f>
        <v>1145.55925320819</v>
      </c>
      <c r="M291" s="396" t="n">
        <f aca="false">IF(AND(L290&gt;L_rampe,G291&gt;0),ATAN2(G291,H291),$M$4)</f>
        <v>1.05656154436841</v>
      </c>
      <c r="N291" s="397" t="n">
        <f aca="false">DEGREES(Beta)</f>
        <v>60.5365172881341</v>
      </c>
      <c r="P291" s="399" t="n">
        <f aca="false">MATCH(t-pas/2-T_ini,CdP_t)</f>
        <v>23</v>
      </c>
      <c r="Q291" s="397" t="n">
        <f aca="false">(INDEX(CdP,2,i_P+1)-INDEX(CdP,2,i_P+0))/(INDEX(CdP,1,i_P+1)-INDEX(CdP,1,i_P+0))*(t-pas/2-T_ini-INDEX(CdP,1,i_P+0))+INDEX(CdP,2,i_P+0)</f>
        <v>0</v>
      </c>
      <c r="R291" s="396" t="n">
        <f aca="false">Poussee/(g*ISP)</f>
        <v>0</v>
      </c>
      <c r="S291" s="398" t="n">
        <f aca="false">S290-Débit*pas</f>
        <v>8.45</v>
      </c>
      <c r="T291" s="397" t="n">
        <f aca="false">m*g</f>
        <v>82.8945</v>
      </c>
      <c r="U291" s="400" t="n">
        <f aca="false">IF(pos_xz&lt;L_rampe,Poids*COS(Beta),0)</f>
        <v>0</v>
      </c>
      <c r="V291" s="396" t="n">
        <f aca="false">Rho_moyen*(20000-Alt_rampe-pos_z)/(20000+Alt_rampe+pos_z)</f>
        <v>1.09646937124201</v>
      </c>
      <c r="W291" s="397" t="n">
        <f aca="false">1/2*Rho*Sref*Cx*vit_xz^2</f>
        <v>9.39778305570487</v>
      </c>
      <c r="Y291" s="401" t="str">
        <f aca="false">IF(AND(pos_z&lt;=0,K290&gt;0),"Impact balistique","") &amp; IF(AND(H292&lt;0,vit_z&gt;=0),"Apogée","") &amp; IF(AND(Poussee=0,Q290&gt;0),"Fin de propulsion","") &amp; IF(AND(L292&gt;L_rampe,pos_xz&lt;=L_rampe),"Sortie de rampe","")</f>
        <v/>
      </c>
      <c r="Z291" s="402" t="str">
        <f aca="false">IF(ABS(t-T_para)&lt;pas/2,"Para","")</f>
        <v/>
      </c>
      <c r="AA291" s="403" t="str">
        <f aca="false">IF(ABS(t-T_satellite)&lt;pas/2,"Satellite","")</f>
        <v/>
      </c>
      <c r="AC291" s="399" t="e">
        <f aca="false">IF(ABS(t-ROUND(t,0))&lt;0.001,t,NA())</f>
        <v>#N/A</v>
      </c>
      <c r="AD291" s="404" t="e">
        <f aca="false">IF(ABS(t-ROUND(t,0))&lt;0.001,pos_x,NA())</f>
        <v>#N/A</v>
      </c>
      <c r="AE291" s="405" t="n">
        <f aca="false">IF(t&lt;T_para, pos_z, NA())</f>
        <v>1107.32134009781</v>
      </c>
      <c r="AG291" s="396" t="n">
        <f aca="false">IF(AND(L290&lt;L_rampe,Poussee&lt;Poids*SIN(M290)),0,(-W290+Poussee)/m-Poids*SIN(M290)/m)</f>
        <v>-9.74720311619124</v>
      </c>
      <c r="AH291" s="397" t="n">
        <f aca="false">IF(AND(L290&lt;L_rampe,Poussee&lt;Poids*SIN(M290)), g*SIN(M290), (-W290+Poussee)/m)</f>
        <v>-1.15843311351819</v>
      </c>
    </row>
    <row r="292" customFormat="false" ht="12.75" hidden="false" customHeight="false" outlineLevel="0" collapsed="false">
      <c r="A292" s="396" t="n">
        <f aca="false">IF(B291+0.01&lt;=T_ini+ROUNDUP(Temps_fin_propu,0), 0.01, IF(K291&gt;0, 0.1, 0.0001))</f>
        <v>0.1</v>
      </c>
      <c r="B292" s="397" t="n">
        <f aca="false">B291+pas</f>
        <v>10.8</v>
      </c>
      <c r="D292" s="396" t="n">
        <f aca="false">IF(AND(L291&lt;L_rampe,Poussee&lt;Poids*SIN(M291)),0,(-W291+Poussee)/m*COS(M291)-U291/m*SIN(M291))</f>
        <v>-0.547038547402688</v>
      </c>
      <c r="E292" s="398" t="n">
        <f aca="false">IF(AND(L291&lt;L_rampe,Poussee&lt;Poids*SIN(M291)),0,(-W291+Poussee)/m*SIN(M291)+U291/m*COS(M291)-Poids/m)</f>
        <v>-10.7783268395328</v>
      </c>
      <c r="F292" s="397" t="n">
        <f aca="false">SQRT(acc_x^2+acc_z^2)</f>
        <v>10.7921999903698</v>
      </c>
      <c r="G292" s="396" t="n">
        <f aca="false">G291+acc_x*pas</f>
        <v>23.4199883085002</v>
      </c>
      <c r="H292" s="398" t="n">
        <f aca="false">H291+acc_z*pas</f>
        <v>40.4753166861658</v>
      </c>
      <c r="I292" s="397" t="n">
        <f aca="false">SQRT(vit_x^2+vit_z^2)</f>
        <v>46.7626679437315</v>
      </c>
      <c r="J292" s="396" t="n">
        <f aca="false">J291+0.5*(vit_x+G291)*pas*(K291&gt;=0)</f>
        <v>295.850189466778</v>
      </c>
      <c r="K292" s="398" t="n">
        <f aca="false">K291+0.5*(vit_z+H291)*pas</f>
        <v>1111.42276340062</v>
      </c>
      <c r="L292" s="397" t="n">
        <f aca="false">SQRT(pos_x^2+pos_z^2)</f>
        <v>1150.12516432456</v>
      </c>
      <c r="M292" s="396" t="n">
        <f aca="false">IF(AND(L291&gt;L_rampe,G292&gt;0),ATAN2(G292,H292),$M$4)</f>
        <v>1.04624280466141</v>
      </c>
      <c r="N292" s="397" t="n">
        <f aca="false">DEGREES(Beta)</f>
        <v>59.9452970530287</v>
      </c>
      <c r="P292" s="399" t="n">
        <f aca="false">MATCH(t-pas/2-T_ini,CdP_t)</f>
        <v>23</v>
      </c>
      <c r="Q292" s="397" t="n">
        <f aca="false">(INDEX(CdP,2,i_P+1)-INDEX(CdP,2,i_P+0))/(INDEX(CdP,1,i_P+1)-INDEX(CdP,1,i_P+0))*(t-pas/2-T_ini-INDEX(CdP,1,i_P+0))+INDEX(CdP,2,i_P+0)</f>
        <v>0</v>
      </c>
      <c r="R292" s="396" t="n">
        <f aca="false">Poussee/(g*ISP)</f>
        <v>0</v>
      </c>
      <c r="S292" s="398" t="n">
        <f aca="false">S291-Débit*pas</f>
        <v>8.45</v>
      </c>
      <c r="T292" s="397" t="n">
        <f aca="false">m*g</f>
        <v>82.8945</v>
      </c>
      <c r="U292" s="400" t="n">
        <f aca="false">IF(pos_xz&lt;L_rampe,Poids*COS(Beta),0)</f>
        <v>0</v>
      </c>
      <c r="V292" s="396" t="n">
        <f aca="false">Rho_moyen*(20000-Alt_rampe-pos_z)/(20000+Alt_rampe+pos_z)</f>
        <v>1.09601836759898</v>
      </c>
      <c r="W292" s="397" t="n">
        <f aca="false">1/2*Rho*Sref*Cx*vit_xz^2</f>
        <v>9.01870000673224</v>
      </c>
      <c r="Y292" s="401" t="str">
        <f aca="false">IF(AND(pos_z&lt;=0,K291&gt;0),"Impact balistique","") &amp; IF(AND(H293&lt;0,vit_z&gt;=0),"Apogée","") &amp; IF(AND(Poussee=0,Q291&gt;0),"Fin de propulsion","") &amp; IF(AND(L293&gt;L_rampe,pos_xz&lt;=L_rampe),"Sortie de rampe","")</f>
        <v/>
      </c>
      <c r="Z292" s="402" t="str">
        <f aca="false">IF(ABS(t-T_para)&lt;pas/2,"Para","")</f>
        <v/>
      </c>
      <c r="AA292" s="403" t="str">
        <f aca="false">IF(ABS(t-T_satellite)&lt;pas/2,"Satellite","")</f>
        <v/>
      </c>
      <c r="AC292" s="399" t="e">
        <f aca="false">IF(ABS(t-ROUND(t,0))&lt;0.001,t,NA())</f>
        <v>#N/A</v>
      </c>
      <c r="AD292" s="404" t="e">
        <f aca="false">IF(ABS(t-ROUND(t,0))&lt;0.001,pos_x,NA())</f>
        <v>#N/A</v>
      </c>
      <c r="AE292" s="405" t="n">
        <f aca="false">IF(t&lt;T_para, pos_z, NA())</f>
        <v>1111.42276340062</v>
      </c>
      <c r="AG292" s="396" t="n">
        <f aca="false">IF(AND(L291&lt;L_rampe,Poussee&lt;Poids*SIN(M291)),0,(-W291+Poussee)/m-Poids*SIN(M291)/m)</f>
        <v>-9.65343013391257</v>
      </c>
      <c r="AH292" s="397" t="n">
        <f aca="false">IF(AND(L291&lt;L_rampe,Poussee&lt;Poids*SIN(M291)), g*SIN(M291), (-W291+Poussee)/m)</f>
        <v>-1.11216367523135</v>
      </c>
    </row>
    <row r="293" customFormat="false" ht="12.75" hidden="false" customHeight="false" outlineLevel="0" collapsed="false">
      <c r="A293" s="396" t="n">
        <f aca="false">IF(B292+0.01&lt;=T_ini+ROUNDUP(Temps_fin_propu,0), 0.01, IF(K292&gt;0, 0.1, 0.0001))</f>
        <v>0.1</v>
      </c>
      <c r="B293" s="397" t="n">
        <f aca="false">B292+pas</f>
        <v>10.9</v>
      </c>
      <c r="D293" s="396" t="n">
        <f aca="false">IF(AND(L292&lt;L_rampe,Poussee&lt;Poids*SIN(M292)),0,(-W292+Poussee)/m*COS(M292)-U292/m*SIN(M292))</f>
        <v>-0.534533126816938</v>
      </c>
      <c r="E293" s="398" t="n">
        <f aca="false">IF(AND(L292&lt;L_rampe,Poussee&lt;Poids*SIN(M292)),0,(-W292+Poussee)/m*SIN(M292)+U292/m*COS(M292)-Poids/m)</f>
        <v>-10.73380052894</v>
      </c>
      <c r="F293" s="397" t="n">
        <f aca="false">SQRT(acc_x^2+acc_z^2)</f>
        <v>10.7471019097587</v>
      </c>
      <c r="G293" s="396" t="n">
        <f aca="false">G292+acc_x*pas</f>
        <v>23.3665349958185</v>
      </c>
      <c r="H293" s="398" t="n">
        <f aca="false">H292+acc_z*pas</f>
        <v>39.4019366332718</v>
      </c>
      <c r="I293" s="397" t="n">
        <f aca="false">SQRT(vit_x^2+vit_z^2)</f>
        <v>45.809470289048</v>
      </c>
      <c r="J293" s="396" t="n">
        <f aca="false">J292+0.5*(vit_x+G292)*pas*(K292&gt;=0)</f>
        <v>298.189515631994</v>
      </c>
      <c r="K293" s="398" t="n">
        <f aca="false">K292+0.5*(vit_z+H292)*pas</f>
        <v>1115.41662606659</v>
      </c>
      <c r="L293" s="397" t="n">
        <f aca="false">SQRT(pos_x^2+pos_z^2)</f>
        <v>1154.58704173337</v>
      </c>
      <c r="M293" s="396" t="n">
        <f aca="false">IF(AND(L292&gt;L_rampe,G293&gt;0),ATAN2(G293,H293),$M$4)</f>
        <v>1.03551750446346</v>
      </c>
      <c r="N293" s="397" t="n">
        <f aca="false">DEGREES(Beta)</f>
        <v>59.3307826176755</v>
      </c>
      <c r="P293" s="399" t="n">
        <f aca="false">MATCH(t-pas/2-T_ini,CdP_t)</f>
        <v>23</v>
      </c>
      <c r="Q293" s="397" t="n">
        <f aca="false">(INDEX(CdP,2,i_P+1)-INDEX(CdP,2,i_P+0))/(INDEX(CdP,1,i_P+1)-INDEX(CdP,1,i_P+0))*(t-pas/2-T_ini-INDEX(CdP,1,i_P+0))+INDEX(CdP,2,i_P+0)</f>
        <v>0</v>
      </c>
      <c r="R293" s="396" t="n">
        <f aca="false">Poussee/(g*ISP)</f>
        <v>0</v>
      </c>
      <c r="S293" s="398" t="n">
        <f aca="false">S292-Débit*pas</f>
        <v>8.45</v>
      </c>
      <c r="T293" s="397" t="n">
        <f aca="false">m*g</f>
        <v>82.8945</v>
      </c>
      <c r="U293" s="400" t="n">
        <f aca="false">IF(pos_xz&lt;L_rampe,Poids*COS(Beta),0)</f>
        <v>0</v>
      </c>
      <c r="V293" s="396" t="n">
        <f aca="false">Rho_moyen*(20000-Alt_rampe-pos_z)/(20000+Alt_rampe+pos_z)</f>
        <v>1.09557935998811</v>
      </c>
      <c r="W293" s="397" t="n">
        <f aca="false">1/2*Rho*Sref*Cx*vit_xz^2</f>
        <v>8.65131108003898</v>
      </c>
      <c r="Y293" s="401" t="str">
        <f aca="false">IF(AND(pos_z&lt;=0,K292&gt;0),"Impact balistique","") &amp; IF(AND(H294&lt;0,vit_z&gt;=0),"Apogée","") &amp; IF(AND(Poussee=0,Q292&gt;0),"Fin de propulsion","") &amp; IF(AND(L294&gt;L_rampe,pos_xz&lt;=L_rampe),"Sortie de rampe","")</f>
        <v/>
      </c>
      <c r="Z293" s="402" t="str">
        <f aca="false">IF(ABS(t-T_para)&lt;pas/2,"Para","")</f>
        <v/>
      </c>
      <c r="AA293" s="403" t="str">
        <f aca="false">IF(ABS(t-T_satellite)&lt;pas/2,"Satellite","")</f>
        <v/>
      </c>
      <c r="AC293" s="399" t="e">
        <f aca="false">IF(ABS(t-ROUND(t,0))&lt;0.001,t,NA())</f>
        <v>#N/A</v>
      </c>
      <c r="AD293" s="404" t="e">
        <f aca="false">IF(ABS(t-ROUND(t,0))&lt;0.001,pos_x,NA())</f>
        <v>#N/A</v>
      </c>
      <c r="AE293" s="405" t="n">
        <f aca="false">IF(t&lt;T_para, pos_z, NA())</f>
        <v>1115.41662606659</v>
      </c>
      <c r="AG293" s="396" t="n">
        <f aca="false">IF(AND(L292&lt;L_rampe,Poussee&lt;Poids*SIN(M292)),0,(-W292+Poussee)/m-Poids*SIN(M292)/m)</f>
        <v>-9.55832408393322</v>
      </c>
      <c r="AH293" s="397" t="n">
        <f aca="false">IF(AND(L292&lt;L_rampe,Poussee&lt;Poids*SIN(M292)), g*SIN(M292), (-W292+Poussee)/m)</f>
        <v>-1.06730177594464</v>
      </c>
    </row>
    <row r="294" customFormat="false" ht="12.75" hidden="false" customHeight="false" outlineLevel="0" collapsed="false">
      <c r="A294" s="396" t="n">
        <f aca="false">IF(B293+0.01&lt;=T_ini+ROUNDUP(Temps_fin_propu,0), 0.01, IF(K293&gt;0, 0.1, 0.0001))</f>
        <v>0.1</v>
      </c>
      <c r="B294" s="397" t="n">
        <f aca="false">B293+pas</f>
        <v>11</v>
      </c>
      <c r="D294" s="396" t="n">
        <f aca="false">IF(AND(L293&lt;L_rampe,Poussee&lt;Poids*SIN(M293)),0,(-W293+Poussee)/m*COS(M293)-U293/m*SIN(M293))</f>
        <v>-0.522232944813619</v>
      </c>
      <c r="E294" s="398" t="n">
        <f aca="false">IF(AND(L293&lt;L_rampe,Poussee&lt;Poids*SIN(M293)),0,(-W293+Poussee)/m*SIN(M293)+U293/m*COS(M293)-Poids/m)</f>
        <v>-10.6906179180197</v>
      </c>
      <c r="F294" s="397" t="n">
        <f aca="false">SQRT(acc_x^2+acc_z^2)</f>
        <v>10.7033657658576</v>
      </c>
      <c r="G294" s="396" t="n">
        <f aca="false">G293+acc_x*pas</f>
        <v>23.3143117013371</v>
      </c>
      <c r="H294" s="398" t="n">
        <f aca="false">H293+acc_z*pas</f>
        <v>38.3328748414698</v>
      </c>
      <c r="I294" s="397" t="n">
        <f aca="false">SQRT(vit_x^2+vit_z^2)</f>
        <v>44.8660943666695</v>
      </c>
      <c r="J294" s="396" t="n">
        <f aca="false">J293+0.5*(vit_x+G293)*pas*(K293&gt;=0)</f>
        <v>300.523557966851</v>
      </c>
      <c r="K294" s="398" t="n">
        <f aca="false">K293+0.5*(vit_z+H293)*pas</f>
        <v>1119.30336664033</v>
      </c>
      <c r="L294" s="397" t="n">
        <f aca="false">SQRT(pos_x^2+pos_z^2)</f>
        <v>1158.94539796551</v>
      </c>
      <c r="M294" s="396" t="n">
        <f aca="false">IF(AND(L293&gt;L_rampe,G294&gt;0),ATAN2(G294,H294),$M$4)</f>
        <v>1.02436432239204</v>
      </c>
      <c r="N294" s="397" t="n">
        <f aca="false">DEGREES(Beta)</f>
        <v>58.6917523568422</v>
      </c>
      <c r="P294" s="399" t="n">
        <f aca="false">MATCH(t-pas/2-T_ini,CdP_t)</f>
        <v>23</v>
      </c>
      <c r="Q294" s="397" t="n">
        <f aca="false">(INDEX(CdP,2,i_P+1)-INDEX(CdP,2,i_P+0))/(INDEX(CdP,1,i_P+1)-INDEX(CdP,1,i_P+0))*(t-pas/2-T_ini-INDEX(CdP,1,i_P+0))+INDEX(CdP,2,i_P+0)</f>
        <v>0</v>
      </c>
      <c r="R294" s="396" t="n">
        <f aca="false">Poussee/(g*ISP)</f>
        <v>0</v>
      </c>
      <c r="S294" s="398" t="n">
        <f aca="false">S293-Débit*pas</f>
        <v>8.45</v>
      </c>
      <c r="T294" s="397" t="n">
        <f aca="false">m*g</f>
        <v>82.8945</v>
      </c>
      <c r="U294" s="400" t="n">
        <f aca="false">IF(pos_xz&lt;L_rampe,Poids*COS(Beta),0)</f>
        <v>0</v>
      </c>
      <c r="V294" s="396" t="n">
        <f aca="false">Rho_moyen*(20000-Alt_rampe-pos_z)/(20000+Alt_rampe+pos_z)</f>
        <v>1.09515228671792</v>
      </c>
      <c r="W294" s="397" t="n">
        <f aca="false">1/2*Rho*Sref*Cx*vit_xz^2</f>
        <v>8.295424062114</v>
      </c>
      <c r="Y294" s="401" t="str">
        <f aca="false">IF(AND(pos_z&lt;=0,K293&gt;0),"Impact balistique","") &amp; IF(AND(H295&lt;0,vit_z&gt;=0),"Apogée","") &amp; IF(AND(Poussee=0,Q293&gt;0),"Fin de propulsion","") &amp; IF(AND(L295&gt;L_rampe,pos_xz&lt;=L_rampe),"Sortie de rampe","")</f>
        <v/>
      </c>
      <c r="Z294" s="402" t="str">
        <f aca="false">IF(ABS(t-T_para)&lt;pas/2,"Para","")</f>
        <v/>
      </c>
      <c r="AA294" s="403" t="str">
        <f aca="false">IF(ABS(t-T_satellite)&lt;pas/2,"Satellite","")</f>
        <v/>
      </c>
      <c r="AC294" s="399" t="n">
        <f aca="false">IF(ABS(t-ROUND(t,0))&lt;0.001,t,NA())</f>
        <v>11</v>
      </c>
      <c r="AD294" s="404" t="n">
        <f aca="false">IF(ABS(t-ROUND(t,0))&lt;0.001,pos_x,NA())</f>
        <v>300.523557966851</v>
      </c>
      <c r="AE294" s="405" t="n">
        <f aca="false">IF(t&lt;T_para, pos_z, NA())</f>
        <v>1119.30336664033</v>
      </c>
      <c r="AG294" s="396" t="n">
        <f aca="false">IF(AND(L293&lt;L_rampe,Poussee&lt;Poids*SIN(M293)),0,(-W293+Poussee)/m-Poids*SIN(M293)/m)</f>
        <v>-9.4616641804067</v>
      </c>
      <c r="AH294" s="397" t="n">
        <f aca="false">IF(AND(L293&lt;L_rampe,Poussee&lt;Poids*SIN(M293)), g*SIN(M293), (-W293+Poussee)/m)</f>
        <v>-1.02382379645432</v>
      </c>
    </row>
    <row r="295" customFormat="false" ht="12.75" hidden="false" customHeight="false" outlineLevel="0" collapsed="false">
      <c r="A295" s="396" t="n">
        <f aca="false">IF(B294+0.01&lt;=T_ini+ROUNDUP(Temps_fin_propu,0), 0.01, IF(K294&gt;0, 0.1, 0.0001))</f>
        <v>0.1</v>
      </c>
      <c r="B295" s="397" t="n">
        <f aca="false">B294+pas</f>
        <v>11.1</v>
      </c>
      <c r="D295" s="396" t="n">
        <f aca="false">IF(AND(L294&lt;L_rampe,Poussee&lt;Poids*SIN(M294)),0,(-W294+Poussee)/m*COS(M294)-U294/m*SIN(M294))</f>
        <v>-0.510136286164062</v>
      </c>
      <c r="E295" s="398" t="n">
        <f aca="false">IF(AND(L294&lt;L_rampe,Poussee&lt;Poids*SIN(M294)),0,(-W294+Poussee)/m*SIN(M294)+U294/m*COS(M294)-Poids/m)</f>
        <v>-10.6487547811887</v>
      </c>
      <c r="F295" s="397" t="n">
        <f aca="false">SQRT(acc_x^2+acc_z^2)</f>
        <v>10.6609670021227</v>
      </c>
      <c r="G295" s="396" t="n">
        <f aca="false">G294+acc_x*pas</f>
        <v>23.2632980727207</v>
      </c>
      <c r="H295" s="398" t="n">
        <f aca="false">H294+acc_z*pas</f>
        <v>37.267999363351</v>
      </c>
      <c r="I295" s="397" t="n">
        <f aca="false">SQRT(vit_x^2+vit_z^2)</f>
        <v>43.9327305521405</v>
      </c>
      <c r="J295" s="396" t="n">
        <f aca="false">J294+0.5*(vit_x+G294)*pas*(K294&gt;=0)</f>
        <v>302.852438455554</v>
      </c>
      <c r="K295" s="398" t="n">
        <f aca="false">K294+0.5*(vit_z+H294)*pas</f>
        <v>1123.08341035057</v>
      </c>
      <c r="L295" s="397" t="n">
        <f aca="false">SQRT(pos_x^2+pos_z^2)</f>
        <v>1163.20073335738</v>
      </c>
      <c r="M295" s="396" t="n">
        <f aca="false">IF(AND(L294&gt;L_rampe,G295&gt;0),ATAN2(G295,H295),$M$4)</f>
        <v>1.01276066520978</v>
      </c>
      <c r="N295" s="397" t="n">
        <f aca="false">DEGREES(Beta)</f>
        <v>58.0269117733821</v>
      </c>
      <c r="P295" s="399" t="n">
        <f aca="false">MATCH(t-pas/2-T_ini,CdP_t)</f>
        <v>23</v>
      </c>
      <c r="Q295" s="397" t="n">
        <f aca="false">(INDEX(CdP,2,i_P+1)-INDEX(CdP,2,i_P+0))/(INDEX(CdP,1,i_P+1)-INDEX(CdP,1,i_P+0))*(t-pas/2-T_ini-INDEX(CdP,1,i_P+0))+INDEX(CdP,2,i_P+0)</f>
        <v>0</v>
      </c>
      <c r="R295" s="396" t="n">
        <f aca="false">Poussee/(g*ISP)</f>
        <v>0</v>
      </c>
      <c r="S295" s="398" t="n">
        <f aca="false">S294-Débit*pas</f>
        <v>8.45</v>
      </c>
      <c r="T295" s="397" t="n">
        <f aca="false">m*g</f>
        <v>82.8945</v>
      </c>
      <c r="U295" s="400" t="n">
        <f aca="false">IF(pos_xz&lt;L_rampe,Poids*COS(Beta),0)</f>
        <v>0</v>
      </c>
      <c r="V295" s="396" t="n">
        <f aca="false">Rho_moyen*(20000-Alt_rampe-pos_z)/(20000+Alt_rampe+pos_z)</f>
        <v>1.09473708800437</v>
      </c>
      <c r="W295" s="397" t="n">
        <f aca="false">1/2*Rho*Sref*Cx*vit_xz^2</f>
        <v>7.95085387849732</v>
      </c>
      <c r="Y295" s="401" t="str">
        <f aca="false">IF(AND(pos_z&lt;=0,K294&gt;0),"Impact balistique","") &amp; IF(AND(H296&lt;0,vit_z&gt;=0),"Apogée","") &amp; IF(AND(Poussee=0,Q294&gt;0),"Fin de propulsion","") &amp; IF(AND(L296&gt;L_rampe,pos_xz&lt;=L_rampe),"Sortie de rampe","")</f>
        <v/>
      </c>
      <c r="Z295" s="402" t="str">
        <f aca="false">IF(ABS(t-T_para)&lt;pas/2,"Para","")</f>
        <v/>
      </c>
      <c r="AA295" s="403" t="str">
        <f aca="false">IF(ABS(t-T_satellite)&lt;pas/2,"Satellite","")</f>
        <v/>
      </c>
      <c r="AC295" s="399" t="e">
        <f aca="false">IF(ABS(t-ROUND(t,0))&lt;0.001,t,NA())</f>
        <v>#N/A</v>
      </c>
      <c r="AD295" s="404" t="e">
        <f aca="false">IF(ABS(t-ROUND(t,0))&lt;0.001,pos_x,NA())</f>
        <v>#N/A</v>
      </c>
      <c r="AE295" s="405" t="n">
        <f aca="false">IF(t&lt;T_para, pos_z, NA())</f>
        <v>1123.08341035057</v>
      </c>
      <c r="AG295" s="396" t="n">
        <f aca="false">IF(AND(L294&lt;L_rampe,Poussee&lt;Poids*SIN(M294)),0,(-W294+Poussee)/m-Poids*SIN(M294)/m)</f>
        <v>-9.36321439520442</v>
      </c>
      <c r="AH295" s="397" t="n">
        <f aca="false">IF(AND(L294&lt;L_rampe,Poussee&lt;Poids*SIN(M294)), g*SIN(M294), (-W294+Poussee)/m)</f>
        <v>-0.98170698959929</v>
      </c>
    </row>
    <row r="296" customFormat="false" ht="12.75" hidden="false" customHeight="false" outlineLevel="0" collapsed="false">
      <c r="A296" s="396" t="n">
        <f aca="false">IF(B295+0.01&lt;=T_ini+ROUNDUP(Temps_fin_propu,0), 0.01, IF(K295&gt;0, 0.1, 0.0001))</f>
        <v>0.1</v>
      </c>
      <c r="B296" s="397" t="n">
        <f aca="false">B295+pas</f>
        <v>11.2</v>
      </c>
      <c r="D296" s="396" t="n">
        <f aca="false">IF(AND(L295&lt;L_rampe,Poussee&lt;Poids*SIN(M295)),0,(-W295+Poussee)/m*COS(M295)-U295/m*SIN(M295))</f>
        <v>-0.498241790510712</v>
      </c>
      <c r="E296" s="398" t="n">
        <f aca="false">IF(AND(L295&lt;L_rampe,Poussee&lt;Poids*SIN(M295)),0,(-W295+Poussee)/m*SIN(M295)+U295/m*COS(M295)-Poids/m)</f>
        <v>-10.6081875430347</v>
      </c>
      <c r="F296" s="397" t="n">
        <f aca="false">SQRT(acc_x^2+acc_z^2)</f>
        <v>10.619881723918</v>
      </c>
      <c r="G296" s="396" t="n">
        <f aca="false">G295+acc_x*pas</f>
        <v>23.2134738936696</v>
      </c>
      <c r="H296" s="398" t="n">
        <f aca="false">H295+acc_z*pas</f>
        <v>36.2071806090475</v>
      </c>
      <c r="I296" s="397" t="n">
        <f aca="false">SQRT(vit_x^2+vit_z^2)</f>
        <v>43.0095954162355</v>
      </c>
      <c r="J296" s="396" t="n">
        <f aca="false">J295+0.5*(vit_x+G295)*pas*(K295&gt;=0)</f>
        <v>305.176277053874</v>
      </c>
      <c r="K296" s="398" t="n">
        <f aca="false">K295+0.5*(vit_z+H295)*pas</f>
        <v>1126.75716934919</v>
      </c>
      <c r="L296" s="397" t="n">
        <f aca="false">SQRT(pos_x^2+pos_z^2)</f>
        <v>1167.35353631891</v>
      </c>
      <c r="M296" s="396" t="n">
        <f aca="false">IF(AND(L295&gt;L_rampe,G296&gt;0),ATAN2(G296,H296),$M$4)</f>
        <v>1.00068260200845</v>
      </c>
      <c r="N296" s="397" t="n">
        <f aca="false">DEGREES(Beta)</f>
        <v>57.3348897272539</v>
      </c>
      <c r="P296" s="399" t="n">
        <f aca="false">MATCH(t-pas/2-T_ini,CdP_t)</f>
        <v>23</v>
      </c>
      <c r="Q296" s="397" t="n">
        <f aca="false">(INDEX(CdP,2,i_P+1)-INDEX(CdP,2,i_P+0))/(INDEX(CdP,1,i_P+1)-INDEX(CdP,1,i_P+0))*(t-pas/2-T_ini-INDEX(CdP,1,i_P+0))+INDEX(CdP,2,i_P+0)</f>
        <v>0</v>
      </c>
      <c r="R296" s="396" t="n">
        <f aca="false">Poussee/(g*ISP)</f>
        <v>0</v>
      </c>
      <c r="S296" s="398" t="n">
        <f aca="false">S295-Débit*pas</f>
        <v>8.45</v>
      </c>
      <c r="T296" s="397" t="n">
        <f aca="false">m*g</f>
        <v>82.8945</v>
      </c>
      <c r="U296" s="400" t="n">
        <f aca="false">IF(pos_xz&lt;L_rampe,Poids*COS(Beta),0)</f>
        <v>0</v>
      </c>
      <c r="V296" s="396" t="n">
        <f aca="false">Rho_moyen*(20000-Alt_rampe-pos_z)/(20000+Alt_rampe+pos_z)</f>
        <v>1.09433370593616</v>
      </c>
      <c r="W296" s="397" t="n">
        <f aca="false">1/2*Rho*Sref*Cx*vit_xz^2</f>
        <v>7.61742237376127</v>
      </c>
      <c r="Y296" s="401" t="str">
        <f aca="false">IF(AND(pos_z&lt;=0,K295&gt;0),"Impact balistique","") &amp; IF(AND(H297&lt;0,vit_z&gt;=0),"Apogée","") &amp; IF(AND(Poussee=0,Q295&gt;0),"Fin de propulsion","") &amp; IF(AND(L297&gt;L_rampe,pos_xz&lt;=L_rampe),"Sortie de rampe","")</f>
        <v/>
      </c>
      <c r="Z296" s="402" t="str">
        <f aca="false">IF(ABS(t-T_para)&lt;pas/2,"Para","")</f>
        <v/>
      </c>
      <c r="AA296" s="403" t="str">
        <f aca="false">IF(ABS(t-T_satellite)&lt;pas/2,"Satellite","")</f>
        <v/>
      </c>
      <c r="AC296" s="399" t="e">
        <f aca="false">IF(ABS(t-ROUND(t,0))&lt;0.001,t,NA())</f>
        <v>#N/A</v>
      </c>
      <c r="AD296" s="404" t="e">
        <f aca="false">IF(ABS(t-ROUND(t,0))&lt;0.001,pos_x,NA())</f>
        <v>#N/A</v>
      </c>
      <c r="AE296" s="405" t="n">
        <f aca="false">IF(t&lt;T_para, pos_z, NA())</f>
        <v>1126.75716934919</v>
      </c>
      <c r="AG296" s="396" t="n">
        <f aca="false">IF(AND(L295&lt;L_rampe,Poussee&lt;Poids*SIN(M295)),0,(-W295+Poussee)/m-Poids*SIN(M295)/m)</f>
        <v>-9.26272209286189</v>
      </c>
      <c r="AH296" s="397" t="n">
        <f aca="false">IF(AND(L295&lt;L_rampe,Poussee&lt;Poids*SIN(M295)), g*SIN(M295), (-W295+Poussee)/m)</f>
        <v>-0.940929453076606</v>
      </c>
    </row>
    <row r="297" customFormat="false" ht="12.75" hidden="false" customHeight="false" outlineLevel="0" collapsed="false">
      <c r="A297" s="396" t="n">
        <f aca="false">IF(B296+0.01&lt;=T_ini+ROUNDUP(Temps_fin_propu,0), 0.01, IF(K296&gt;0, 0.1, 0.0001))</f>
        <v>0.1</v>
      </c>
      <c r="B297" s="397" t="n">
        <f aca="false">B296+pas</f>
        <v>11.3</v>
      </c>
      <c r="D297" s="396" t="n">
        <f aca="false">IF(AND(L296&lt;L_rampe,Poussee&lt;Poids*SIN(M296)),0,(-W296+Poussee)/m*COS(M296)-U296/m*SIN(M296))</f>
        <v>-0.486548466888998</v>
      </c>
      <c r="E297" s="398" t="n">
        <f aca="false">IF(AND(L296&lt;L_rampe,Poussee&lt;Poids*SIN(M296)),0,(-W296+Poussee)/m*SIN(M296)+U296/m*COS(M296)-Poids/m)</f>
        <v>-10.5688932314223</v>
      </c>
      <c r="F297" s="397" t="n">
        <f aca="false">SQRT(acc_x^2+acc_z^2)</f>
        <v>10.5800866512443</v>
      </c>
      <c r="G297" s="396" t="n">
        <f aca="false">G296+acc_x*pas</f>
        <v>23.1648190469807</v>
      </c>
      <c r="H297" s="398" t="n">
        <f aca="false">H296+acc_z*pas</f>
        <v>35.1502912859053</v>
      </c>
      <c r="I297" s="397" t="n">
        <f aca="false">SQRT(vit_x^2+vit_z^2)</f>
        <v>42.0969336052324</v>
      </c>
      <c r="J297" s="396" t="n">
        <f aca="false">J296+0.5*(vit_x+G296)*pas*(K296&gt;=0)</f>
        <v>307.495191700906</v>
      </c>
      <c r="K297" s="398" t="n">
        <f aca="false">K296+0.5*(vit_z+H296)*pas</f>
        <v>1130.32504294394</v>
      </c>
      <c r="L297" s="397" t="n">
        <f aca="false">SQRT(pos_x^2+pos_z^2)</f>
        <v>1171.40428359529</v>
      </c>
      <c r="M297" s="396" t="n">
        <f aca="false">IF(AND(L296&gt;L_rampe,G297&gt;0),ATAN2(G297,H297),$M$4)</f>
        <v>0.988104799359053</v>
      </c>
      <c r="N297" s="397" t="n">
        <f aca="false">DEGREES(Beta)</f>
        <v>56.6142347198948</v>
      </c>
      <c r="P297" s="399" t="n">
        <f aca="false">MATCH(t-pas/2-T_ini,CdP_t)</f>
        <v>23</v>
      </c>
      <c r="Q297" s="397" t="n">
        <f aca="false">(INDEX(CdP,2,i_P+1)-INDEX(CdP,2,i_P+0))/(INDEX(CdP,1,i_P+1)-INDEX(CdP,1,i_P+0))*(t-pas/2-T_ini-INDEX(CdP,1,i_P+0))+INDEX(CdP,2,i_P+0)</f>
        <v>0</v>
      </c>
      <c r="R297" s="396" t="n">
        <f aca="false">Poussee/(g*ISP)</f>
        <v>0</v>
      </c>
      <c r="S297" s="398" t="n">
        <f aca="false">S296-Débit*pas</f>
        <v>8.45</v>
      </c>
      <c r="T297" s="397" t="n">
        <f aca="false">m*g</f>
        <v>82.8945</v>
      </c>
      <c r="U297" s="400" t="n">
        <f aca="false">IF(pos_xz&lt;L_rampe,Poids*COS(Beta),0)</f>
        <v>0</v>
      </c>
      <c r="V297" s="396" t="n">
        <f aca="false">Rho_moyen*(20000-Alt_rampe-pos_z)/(20000+Alt_rampe+pos_z)</f>
        <v>1.09394208444099</v>
      </c>
      <c r="W297" s="397" t="n">
        <f aca="false">1/2*Rho*Sref*Cx*vit_xz^2</f>
        <v>7.2949581006686</v>
      </c>
      <c r="Y297" s="401" t="str">
        <f aca="false">IF(AND(pos_z&lt;=0,K296&gt;0),"Impact balistique","") &amp; IF(AND(H298&lt;0,vit_z&gt;=0),"Apogée","") &amp; IF(AND(Poussee=0,Q296&gt;0),"Fin de propulsion","") &amp; IF(AND(L298&gt;L_rampe,pos_xz&lt;=L_rampe),"Sortie de rampe","")</f>
        <v/>
      </c>
      <c r="Z297" s="402" t="str">
        <f aca="false">IF(ABS(t-T_para)&lt;pas/2,"Para","")</f>
        <v/>
      </c>
      <c r="AA297" s="403" t="str">
        <f aca="false">IF(ABS(t-T_satellite)&lt;pas/2,"Satellite","")</f>
        <v/>
      </c>
      <c r="AC297" s="399" t="e">
        <f aca="false">IF(ABS(t-ROUND(t,0))&lt;0.001,t,NA())</f>
        <v>#N/A</v>
      </c>
      <c r="AD297" s="404" t="e">
        <f aca="false">IF(ABS(t-ROUND(t,0))&lt;0.001,pos_x,NA())</f>
        <v>#N/A</v>
      </c>
      <c r="AE297" s="405" t="n">
        <f aca="false">IF(t&lt;T_para, pos_z, NA())</f>
        <v>1130.32504294394</v>
      </c>
      <c r="AG297" s="396" t="n">
        <f aca="false">IF(AND(L296&lt;L_rampe,Poussee&lt;Poids*SIN(M296)),0,(-W296+Poussee)/m-Poids*SIN(M296)/m)</f>
        <v>-9.15991658115587</v>
      </c>
      <c r="AH297" s="397" t="n">
        <f aca="false">IF(AND(L296&lt;L_rampe,Poussee&lt;Poids*SIN(M296)), g*SIN(M296), (-W296+Poussee)/m)</f>
        <v>-0.9014701034037</v>
      </c>
    </row>
    <row r="298" customFormat="false" ht="12.75" hidden="false" customHeight="false" outlineLevel="0" collapsed="false">
      <c r="A298" s="396" t="n">
        <f aca="false">IF(B297+0.01&lt;=T_ini+ROUNDUP(Temps_fin_propu,0), 0.01, IF(K297&gt;0, 0.1, 0.0001))</f>
        <v>0.1</v>
      </c>
      <c r="B298" s="397" t="n">
        <f aca="false">B297+pas</f>
        <v>11.4</v>
      </c>
      <c r="D298" s="396" t="n">
        <f aca="false">IF(AND(L297&lt;L_rampe,Poussee&lt;Poids*SIN(M297)),0,(-W297+Poussee)/m*COS(M297)-U297/m*SIN(M297))</f>
        <v>-0.475055709968645</v>
      </c>
      <c r="E298" s="398" t="n">
        <f aca="false">IF(AND(L297&lt;L_rampe,Poussee&lt;Poids*SIN(M297)),0,(-W297+Poussee)/m*SIN(M297)+U297/m*COS(M297)-Poids/m)</f>
        <v>-10.5308494289795</v>
      </c>
      <c r="F298" s="397" t="n">
        <f aca="false">SQRT(acc_x^2+acc_z^2)</f>
        <v>10.5415590698631</v>
      </c>
      <c r="G298" s="396" t="n">
        <f aca="false">G297+acc_x*pas</f>
        <v>23.1173134759839</v>
      </c>
      <c r="H298" s="398" t="n">
        <f aca="false">H297+acc_z*pas</f>
        <v>34.0972063430073</v>
      </c>
      <c r="I298" s="397" t="n">
        <f aca="false">SQRT(vit_x^2+vit_z^2)</f>
        <v>41.1950198779479</v>
      </c>
      <c r="J298" s="396" t="n">
        <f aca="false">J297+0.5*(vit_x+G297)*pas*(K297&gt;=0)</f>
        <v>309.809298327055</v>
      </c>
      <c r="K298" s="398" t="n">
        <f aca="false">K297+0.5*(vit_z+H297)*pas</f>
        <v>1133.78741782538</v>
      </c>
      <c r="L298" s="397" t="n">
        <f aca="false">SQRT(pos_x^2+pos_z^2)</f>
        <v>1175.35344052292</v>
      </c>
      <c r="M298" s="396" t="n">
        <f aca="false">IF(AND(L297&gt;L_rampe,G298&gt;0),ATAN2(G298,H298),$M$4)</f>
        <v>0.975000458830934</v>
      </c>
      <c r="N298" s="397" t="n">
        <f aca="false">DEGREES(Beta)</f>
        <v>55.8634113143313</v>
      </c>
      <c r="P298" s="399" t="n">
        <f aca="false">MATCH(t-pas/2-T_ini,CdP_t)</f>
        <v>23</v>
      </c>
      <c r="Q298" s="397" t="n">
        <f aca="false">(INDEX(CdP,2,i_P+1)-INDEX(CdP,2,i_P+0))/(INDEX(CdP,1,i_P+1)-INDEX(CdP,1,i_P+0))*(t-pas/2-T_ini-INDEX(CdP,1,i_P+0))+INDEX(CdP,2,i_P+0)</f>
        <v>0</v>
      </c>
      <c r="R298" s="396" t="n">
        <f aca="false">Poussee/(g*ISP)</f>
        <v>0</v>
      </c>
      <c r="S298" s="398" t="n">
        <f aca="false">S297-Débit*pas</f>
        <v>8.45</v>
      </c>
      <c r="T298" s="397" t="n">
        <f aca="false">m*g</f>
        <v>82.8945</v>
      </c>
      <c r="U298" s="400" t="n">
        <f aca="false">IF(pos_xz&lt;L_rampe,Poids*COS(Beta),0)</f>
        <v>0</v>
      </c>
      <c r="V298" s="396" t="n">
        <f aca="false">Rho_moyen*(20000-Alt_rampe-pos_z)/(20000+Alt_rampe+pos_z)</f>
        <v>1.09356216925276</v>
      </c>
      <c r="W298" s="397" t="n">
        <f aca="false">1/2*Rho*Sref*Cx*vit_xz^2</f>
        <v>6.98329611801021</v>
      </c>
      <c r="Y298" s="401" t="str">
        <f aca="false">IF(AND(pos_z&lt;=0,K297&gt;0),"Impact balistique","") &amp; IF(AND(H299&lt;0,vit_z&gt;=0),"Apogée","") &amp; IF(AND(Poussee=0,Q297&gt;0),"Fin de propulsion","") &amp; IF(AND(L299&gt;L_rampe,pos_xz&lt;=L_rampe),"Sortie de rampe","")</f>
        <v/>
      </c>
      <c r="Z298" s="402" t="str">
        <f aca="false">IF(ABS(t-T_para)&lt;pas/2,"Para","")</f>
        <v/>
      </c>
      <c r="AA298" s="403" t="str">
        <f aca="false">IF(ABS(t-T_satellite)&lt;pas/2,"Satellite","")</f>
        <v/>
      </c>
      <c r="AC298" s="399" t="e">
        <f aca="false">IF(ABS(t-ROUND(t,0))&lt;0.001,t,NA())</f>
        <v>#N/A</v>
      </c>
      <c r="AD298" s="404" t="e">
        <f aca="false">IF(ABS(t-ROUND(t,0))&lt;0.001,pos_x,NA())</f>
        <v>#N/A</v>
      </c>
      <c r="AE298" s="405" t="n">
        <f aca="false">IF(t&lt;T_para, pos_z, NA())</f>
        <v>1133.78741782538</v>
      </c>
      <c r="AG298" s="396" t="n">
        <f aca="false">IF(AND(L297&lt;L_rampe,Poussee&lt;Poids*SIN(M297)),0,(-W297+Poussee)/m-Poids*SIN(M297)/m)</f>
        <v>-9.0545075812344</v>
      </c>
      <c r="AH298" s="397" t="n">
        <f aca="false">IF(AND(L297&lt;L_rampe,Poussee&lt;Poids*SIN(M297)), g*SIN(M297), (-W297+Poussee)/m)</f>
        <v>-0.863308650966698</v>
      </c>
    </row>
    <row r="299" customFormat="false" ht="12.75" hidden="false" customHeight="false" outlineLevel="0" collapsed="false">
      <c r="A299" s="396" t="n">
        <f aca="false">IF(B298+0.01&lt;=T_ini+ROUNDUP(Temps_fin_propu,0), 0.01, IF(K298&gt;0, 0.1, 0.0001))</f>
        <v>0.1</v>
      </c>
      <c r="B299" s="397" t="n">
        <f aca="false">B298+pas</f>
        <v>11.5</v>
      </c>
      <c r="D299" s="396" t="n">
        <f aca="false">IF(AND(L298&lt;L_rampe,Poussee&lt;Poids*SIN(M298)),0,(-W298+Poussee)/m*COS(M298)-U298/m*SIN(M298))</f>
        <v>-0.463763318085107</v>
      </c>
      <c r="E299" s="398" t="n">
        <f aca="false">IF(AND(L298&lt;L_rampe,Poussee&lt;Poids*SIN(M298)),0,(-W298+Poussee)/m*SIN(M298)+U298/m*COS(M298)-Poids/m)</f>
        <v>-10.4940342225533</v>
      </c>
      <c r="F299" s="397" t="n">
        <f aca="false">SQRT(acc_x^2+acc_z^2)</f>
        <v>10.5042767804034</v>
      </c>
      <c r="G299" s="396" t="n">
        <f aca="false">G298+acc_x*pas</f>
        <v>23.0709371441753</v>
      </c>
      <c r="H299" s="398" t="n">
        <f aca="false">H298+acc_z*pas</f>
        <v>33.047802920752</v>
      </c>
      <c r="I299" s="397" t="n">
        <f aca="false">SQRT(vit_x^2+vit_z^2)</f>
        <v>40.3041613062392</v>
      </c>
      <c r="J299" s="396" t="n">
        <f aca="false">J298+0.5*(vit_x+G298)*pas*(K298&gt;=0)</f>
        <v>312.118710858063</v>
      </c>
      <c r="K299" s="398" t="n">
        <f aca="false">K298+0.5*(vit_z+H298)*pas</f>
        <v>1137.14466828857</v>
      </c>
      <c r="L299" s="397" t="n">
        <f aca="false">SQRT(pos_x^2+pos_z^2)</f>
        <v>1179.20146127997</v>
      </c>
      <c r="M299" s="396" t="n">
        <f aca="false">IF(AND(L298&gt;L_rampe,G299&gt;0),ATAN2(G299,H299),$M$4)</f>
        <v>0.961341258668595</v>
      </c>
      <c r="N299" s="397" t="n">
        <f aca="false">DEGREES(Beta)</f>
        <v>55.0807967935049</v>
      </c>
      <c r="P299" s="399" t="n">
        <f aca="false">MATCH(t-pas/2-T_ini,CdP_t)</f>
        <v>23</v>
      </c>
      <c r="Q299" s="397" t="n">
        <f aca="false">(INDEX(CdP,2,i_P+1)-INDEX(CdP,2,i_P+0))/(INDEX(CdP,1,i_P+1)-INDEX(CdP,1,i_P+0))*(t-pas/2-T_ini-INDEX(CdP,1,i_P+0))+INDEX(CdP,2,i_P+0)</f>
        <v>0</v>
      </c>
      <c r="R299" s="396" t="n">
        <f aca="false">Poussee/(g*ISP)</f>
        <v>0</v>
      </c>
      <c r="S299" s="398" t="n">
        <f aca="false">S298-Débit*pas</f>
        <v>8.45</v>
      </c>
      <c r="T299" s="397" t="n">
        <f aca="false">m*g</f>
        <v>82.8945</v>
      </c>
      <c r="U299" s="400" t="n">
        <f aca="false">IF(pos_xz&lt;L_rampe,Poids*COS(Beta),0)</f>
        <v>0</v>
      </c>
      <c r="V299" s="396" t="n">
        <f aca="false">Rho_moyen*(20000-Alt_rampe-pos_z)/(20000+Alt_rampe+pos_z)</f>
        <v>1.09319390787977</v>
      </c>
      <c r="W299" s="397" t="n">
        <f aca="false">1/2*Rho*Sref*Cx*vit_xz^2</f>
        <v>6.68227779663845</v>
      </c>
      <c r="Y299" s="401" t="str">
        <f aca="false">IF(AND(pos_z&lt;=0,K298&gt;0),"Impact balistique","") &amp; IF(AND(H300&lt;0,vit_z&gt;=0),"Apogée","") &amp; IF(AND(Poussee=0,Q298&gt;0),"Fin de propulsion","") &amp; IF(AND(L300&gt;L_rampe,pos_xz&lt;=L_rampe),"Sortie de rampe","")</f>
        <v/>
      </c>
      <c r="Z299" s="402" t="str">
        <f aca="false">IF(ABS(t-T_para)&lt;pas/2,"Para","")</f>
        <v/>
      </c>
      <c r="AA299" s="403" t="str">
        <f aca="false">IF(ABS(t-T_satellite)&lt;pas/2,"Satellite","")</f>
        <v/>
      </c>
      <c r="AC299" s="399" t="e">
        <f aca="false">IF(ABS(t-ROUND(t,0))&lt;0.001,t,NA())</f>
        <v>#N/A</v>
      </c>
      <c r="AD299" s="404" t="e">
        <f aca="false">IF(ABS(t-ROUND(t,0))&lt;0.001,pos_x,NA())</f>
        <v>#N/A</v>
      </c>
      <c r="AE299" s="405" t="n">
        <f aca="false">IF(t&lt;T_para, pos_z, NA())</f>
        <v>1137.14466828857</v>
      </c>
      <c r="AG299" s="396" t="n">
        <f aca="false">IF(AND(L298&lt;L_rampe,Poussee&lt;Poids*SIN(M298)),0,(-W298+Poussee)/m-Poids*SIN(M298)/m)</f>
        <v>-8.946183624907</v>
      </c>
      <c r="AH299" s="397" t="n">
        <f aca="false">IF(AND(L298&lt;L_rampe,Poussee&lt;Poids*SIN(M298)), g*SIN(M298), (-W298+Poussee)/m)</f>
        <v>-0.826425576095882</v>
      </c>
    </row>
    <row r="300" customFormat="false" ht="12.75" hidden="false" customHeight="false" outlineLevel="0" collapsed="false">
      <c r="A300" s="396" t="n">
        <f aca="false">IF(B299+0.01&lt;=T_ini+ROUNDUP(Temps_fin_propu,0), 0.01, IF(K299&gt;0, 0.1, 0.0001))</f>
        <v>0.1</v>
      </c>
      <c r="B300" s="397" t="n">
        <f aca="false">B299+pas</f>
        <v>11.6</v>
      </c>
      <c r="D300" s="396" t="n">
        <f aca="false">IF(AND(L299&lt;L_rampe,Poussee&lt;Poids*SIN(M299)),0,(-W299+Poussee)/m*COS(M299)-U299/m*SIN(M299))</f>
        <v>-0.452671513121039</v>
      </c>
      <c r="E300" s="398" t="n">
        <f aca="false">IF(AND(L299&lt;L_rampe,Poussee&lt;Poids*SIN(M299)),0,(-W299+Poussee)/m*SIN(M299)+U299/m*COS(M299)-Poids/m)</f>
        <v>-10.4584261501809</v>
      </c>
      <c r="F300" s="397" t="n">
        <f aca="false">SQRT(acc_x^2+acc_z^2)</f>
        <v>10.4682180449959</v>
      </c>
      <c r="G300" s="396" t="n">
        <f aca="false">G299+acc_x*pas</f>
        <v>23.0256699928632</v>
      </c>
      <c r="H300" s="398" t="n">
        <f aca="false">H299+acc_z*pas</f>
        <v>32.0019603057339</v>
      </c>
      <c r="I300" s="397" t="n">
        <f aca="false">SQRT(vit_x^2+vit_z^2)</f>
        <v>39.4246996441319</v>
      </c>
      <c r="J300" s="396" t="n">
        <f aca="false">J299+0.5*(vit_x+G299)*pas*(K299&gt;=0)</f>
        <v>314.423541214914</v>
      </c>
      <c r="K300" s="398" t="n">
        <f aca="false">K299+0.5*(vit_z+H299)*pas</f>
        <v>1140.3971564499</v>
      </c>
      <c r="L300" s="397" t="n">
        <f aca="false">SQRT(pos_x^2+pos_z^2)</f>
        <v>1182.94878913211</v>
      </c>
      <c r="M300" s="396" t="n">
        <f aca="false">IF(AND(L299&gt;L_rampe,G300&gt;0),ATAN2(G300,H300),$M$4)</f>
        <v>0.947097301880446</v>
      </c>
      <c r="N300" s="397" t="n">
        <f aca="false">DEGREES(Beta)</f>
        <v>54.2646781859772</v>
      </c>
      <c r="P300" s="399" t="n">
        <f aca="false">MATCH(t-pas/2-T_ini,CdP_t)</f>
        <v>23</v>
      </c>
      <c r="Q300" s="397" t="n">
        <f aca="false">(INDEX(CdP,2,i_P+1)-INDEX(CdP,2,i_P+0))/(INDEX(CdP,1,i_P+1)-INDEX(CdP,1,i_P+0))*(t-pas/2-T_ini-INDEX(CdP,1,i_P+0))+INDEX(CdP,2,i_P+0)</f>
        <v>0</v>
      </c>
      <c r="R300" s="396" t="n">
        <f aca="false">Poussee/(g*ISP)</f>
        <v>0</v>
      </c>
      <c r="S300" s="398" t="n">
        <f aca="false">S299-Débit*pas</f>
        <v>8.45</v>
      </c>
      <c r="T300" s="397" t="n">
        <f aca="false">m*g</f>
        <v>82.8945</v>
      </c>
      <c r="U300" s="400" t="n">
        <f aca="false">IF(pos_xz&lt;L_rampe,Poids*COS(Beta),0)</f>
        <v>0</v>
      </c>
      <c r="V300" s="396" t="n">
        <f aca="false">Rho_moyen*(20000-Alt_rampe-pos_z)/(20000+Alt_rampe+pos_z)</f>
        <v>1.09283724957363</v>
      </c>
      <c r="W300" s="397" t="n">
        <f aca="false">1/2*Rho*Sref*Cx*vit_xz^2</f>
        <v>6.39175063322342</v>
      </c>
      <c r="Y300" s="401" t="str">
        <f aca="false">IF(AND(pos_z&lt;=0,K299&gt;0),"Impact balistique","") &amp; IF(AND(H301&lt;0,vit_z&gt;=0),"Apogée","") &amp; IF(AND(Poussee=0,Q299&gt;0),"Fin de propulsion","") &amp; IF(AND(L301&gt;L_rampe,pos_xz&lt;=L_rampe),"Sortie de rampe","")</f>
        <v/>
      </c>
      <c r="Z300" s="402" t="str">
        <f aca="false">IF(ABS(t-T_para)&lt;pas/2,"Para","")</f>
        <v/>
      </c>
      <c r="AA300" s="403" t="str">
        <f aca="false">IF(ABS(t-T_satellite)&lt;pas/2,"Satellite","")</f>
        <v/>
      </c>
      <c r="AC300" s="399" t="e">
        <f aca="false">IF(ABS(t-ROUND(t,0))&lt;0.001,t,NA())</f>
        <v>#N/A</v>
      </c>
      <c r="AD300" s="404" t="e">
        <f aca="false">IF(ABS(t-ROUND(t,0))&lt;0.001,pos_x,NA())</f>
        <v>#N/A</v>
      </c>
      <c r="AE300" s="405" t="n">
        <f aca="false">IF(t&lt;T_para, pos_z, NA())</f>
        <v>1140.3971564499</v>
      </c>
      <c r="AG300" s="396" t="n">
        <f aca="false">IF(AND(L299&lt;L_rampe,Poussee&lt;Poids*SIN(M299)),0,(-W299+Poussee)/m-Poids*SIN(M299)/m)</f>
        <v>-8.83461039154459</v>
      </c>
      <c r="AH300" s="397" t="n">
        <f aca="false">IF(AND(L299&lt;L_rampe,Poussee&lt;Poids*SIN(M299)), g*SIN(M299), (-W299+Poussee)/m)</f>
        <v>-0.79080210611106</v>
      </c>
    </row>
    <row r="301" customFormat="false" ht="12.75" hidden="false" customHeight="false" outlineLevel="0" collapsed="false">
      <c r="A301" s="396" t="n">
        <f aca="false">IF(B300+0.01&lt;=T_ini+ROUNDUP(Temps_fin_propu,0), 0.01, IF(K300&gt;0, 0.1, 0.0001))</f>
        <v>0.1</v>
      </c>
      <c r="B301" s="397" t="n">
        <f aca="false">B300+pas</f>
        <v>11.7</v>
      </c>
      <c r="D301" s="396" t="n">
        <f aca="false">IF(AND(L300&lt;L_rampe,Poussee&lt;Poids*SIN(M300)),0,(-W300+Poussee)/m*COS(M300)-U300/m*SIN(M300))</f>
        <v>-0.441780962280984</v>
      </c>
      <c r="E301" s="398" t="n">
        <f aca="false">IF(AND(L300&lt;L_rampe,Poussee&lt;Poids*SIN(M300)),0,(-W300+Poussee)/m*SIN(M300)+U300/m*COS(M300)-Poids/m)</f>
        <v>-10.4240041450749</v>
      </c>
      <c r="F301" s="397" t="n">
        <f aca="false">SQRT(acc_x^2+acc_z^2)</f>
        <v>10.433361530934</v>
      </c>
      <c r="G301" s="396" t="n">
        <f aca="false">G300+acc_x*pas</f>
        <v>22.9814918966351</v>
      </c>
      <c r="H301" s="398" t="n">
        <f aca="false">H300+acc_z*pas</f>
        <v>30.9595598912264</v>
      </c>
      <c r="I301" s="397" t="n">
        <f aca="false">SQRT(vit_x^2+vit_z^2)</f>
        <v>38.557013868472</v>
      </c>
      <c r="J301" s="396" t="n">
        <f aca="false">J300+0.5*(vit_x+G300)*pas*(K300&gt;=0)</f>
        <v>316.723899309389</v>
      </c>
      <c r="K301" s="398" t="n">
        <f aca="false">K300+0.5*(vit_z+H300)*pas</f>
        <v>1143.54523245974</v>
      </c>
      <c r="L301" s="397" t="n">
        <f aca="false">SQRT(pos_x^2+pos_z^2)</f>
        <v>1186.59585667368</v>
      </c>
      <c r="M301" s="396" t="n">
        <f aca="false">IF(AND(L300&gt;L_rampe,G301&gt;0),ATAN2(G301,H301),$M$4)</f>
        <v>0.932237073552176</v>
      </c>
      <c r="N301" s="397" t="n">
        <f aca="false">DEGREES(Beta)</f>
        <v>53.4132498201666</v>
      </c>
      <c r="P301" s="399" t="n">
        <f aca="false">MATCH(t-pas/2-T_ini,CdP_t)</f>
        <v>23</v>
      </c>
      <c r="Q301" s="397" t="n">
        <f aca="false">(INDEX(CdP,2,i_P+1)-INDEX(CdP,2,i_P+0))/(INDEX(CdP,1,i_P+1)-INDEX(CdP,1,i_P+0))*(t-pas/2-T_ini-INDEX(CdP,1,i_P+0))+INDEX(CdP,2,i_P+0)</f>
        <v>0</v>
      </c>
      <c r="R301" s="396" t="n">
        <f aca="false">Poussee/(g*ISP)</f>
        <v>0</v>
      </c>
      <c r="S301" s="398" t="n">
        <f aca="false">S300-Débit*pas</f>
        <v>8.45</v>
      </c>
      <c r="T301" s="397" t="n">
        <f aca="false">m*g</f>
        <v>82.8945</v>
      </c>
      <c r="U301" s="400" t="n">
        <f aca="false">IF(pos_xz&lt;L_rampe,Poids*COS(Beta),0)</f>
        <v>0</v>
      </c>
      <c r="V301" s="396" t="n">
        <f aca="false">Rho_moyen*(20000-Alt_rampe-pos_z)/(20000+Alt_rampe+pos_z)</f>
        <v>1.09249214529902</v>
      </c>
      <c r="W301" s="397" t="n">
        <f aca="false">1/2*Rho*Sref*Cx*vit_xz^2</f>
        <v>6.11156807126765</v>
      </c>
      <c r="Y301" s="401" t="str">
        <f aca="false">IF(AND(pos_z&lt;=0,K300&gt;0),"Impact balistique","") &amp; IF(AND(H302&lt;0,vit_z&gt;=0),"Apogée","") &amp; IF(AND(Poussee=0,Q300&gt;0),"Fin de propulsion","") &amp; IF(AND(L302&gt;L_rampe,pos_xz&lt;=L_rampe),"Sortie de rampe","")</f>
        <v/>
      </c>
      <c r="Z301" s="402" t="str">
        <f aca="false">IF(ABS(t-T_para)&lt;pas/2,"Para","")</f>
        <v/>
      </c>
      <c r="AA301" s="403" t="str">
        <f aca="false">IF(ABS(t-T_satellite)&lt;pas/2,"Satellite","")</f>
        <v/>
      </c>
      <c r="AC301" s="399" t="e">
        <f aca="false">IF(ABS(t-ROUND(t,0))&lt;0.001,t,NA())</f>
        <v>#N/A</v>
      </c>
      <c r="AD301" s="404" t="e">
        <f aca="false">IF(ABS(t-ROUND(t,0))&lt;0.001,pos_x,NA())</f>
        <v>#N/A</v>
      </c>
      <c r="AE301" s="405" t="n">
        <f aca="false">IF(t&lt;T_para, pos_z, NA())</f>
        <v>1143.54523245974</v>
      </c>
      <c r="AG301" s="396" t="n">
        <f aca="false">IF(AND(L300&lt;L_rampe,Poussee&lt;Poids*SIN(M300)),0,(-W300+Poussee)/m-Poids*SIN(M300)/m)</f>
        <v>-8.71942900331699</v>
      </c>
      <c r="AH301" s="397" t="n">
        <f aca="false">IF(AND(L300&lt;L_rampe,Poussee&lt;Poids*SIN(M300)), g*SIN(M300), (-W300+Poussee)/m)</f>
        <v>-0.756420193280878</v>
      </c>
    </row>
    <row r="302" customFormat="false" ht="12.75" hidden="false" customHeight="false" outlineLevel="0" collapsed="false">
      <c r="A302" s="396" t="n">
        <f aca="false">IF(B301+0.01&lt;=T_ini+ROUNDUP(Temps_fin_propu,0), 0.01, IF(K301&gt;0, 0.1, 0.0001))</f>
        <v>0.1</v>
      </c>
      <c r="B302" s="397" t="n">
        <f aca="false">B301+pas</f>
        <v>11.8</v>
      </c>
      <c r="D302" s="396" t="n">
        <f aca="false">IF(AND(L301&lt;L_rampe,Poussee&lt;Poids*SIN(M301)),0,(-W301+Poussee)/m*COS(M301)-U301/m*SIN(M301))</f>
        <v>-0.431092801778032</v>
      </c>
      <c r="E302" s="398" t="n">
        <f aca="false">IF(AND(L301&lt;L_rampe,Poussee&lt;Poids*SIN(M301)),0,(-W301+Poussee)/m*SIN(M301)+U301/m*COS(M301)-Poids/m)</f>
        <v>-10.3907474760713</v>
      </c>
      <c r="F302" s="397" t="n">
        <f aca="false">SQRT(acc_x^2+acc_z^2)</f>
        <v>10.3996862508071</v>
      </c>
      <c r="G302" s="396" t="n">
        <f aca="false">G301+acc_x*pas</f>
        <v>22.9383826164573</v>
      </c>
      <c r="H302" s="398" t="n">
        <f aca="false">H301+acc_z*pas</f>
        <v>29.9204851436193</v>
      </c>
      <c r="I302" s="397" t="n">
        <f aca="false">SQRT(vit_x^2+vit_z^2)</f>
        <v>37.70152289084</v>
      </c>
      <c r="J302" s="396" t="n">
        <f aca="false">J301+0.5*(vit_x+G301)*pas*(K301&gt;=0)</f>
        <v>319.019893035044</v>
      </c>
      <c r="K302" s="398" t="n">
        <f aca="false">K301+0.5*(vit_z+H301)*pas</f>
        <v>1146.58923471149</v>
      </c>
      <c r="L302" s="397" t="n">
        <f aca="false">SQRT(pos_x^2+pos_z^2)</f>
        <v>1190.14308606502</v>
      </c>
      <c r="M302" s="396" t="n">
        <f aca="false">IF(AND(L301&gt;L_rampe,G302&gt;0),ATAN2(G302,H302),$M$4)</f>
        <v>0.916727410860786</v>
      </c>
      <c r="N302" s="397" t="n">
        <f aca="false">DEGREES(Beta)</f>
        <v>52.5246116062784</v>
      </c>
      <c r="P302" s="399" t="n">
        <f aca="false">MATCH(t-pas/2-T_ini,CdP_t)</f>
        <v>23</v>
      </c>
      <c r="Q302" s="397" t="n">
        <f aca="false">(INDEX(CdP,2,i_P+1)-INDEX(CdP,2,i_P+0))/(INDEX(CdP,1,i_P+1)-INDEX(CdP,1,i_P+0))*(t-pas/2-T_ini-INDEX(CdP,1,i_P+0))+INDEX(CdP,2,i_P+0)</f>
        <v>0</v>
      </c>
      <c r="R302" s="396" t="n">
        <f aca="false">Poussee/(g*ISP)</f>
        <v>0</v>
      </c>
      <c r="S302" s="398" t="n">
        <f aca="false">S301-Débit*pas</f>
        <v>8.45</v>
      </c>
      <c r="T302" s="397" t="n">
        <f aca="false">m*g</f>
        <v>82.8945</v>
      </c>
      <c r="U302" s="400" t="n">
        <f aca="false">IF(pos_xz&lt;L_rampe,Poids*COS(Beta),0)</f>
        <v>0</v>
      </c>
      <c r="V302" s="396" t="n">
        <f aca="false">Rho_moyen*(20000-Alt_rampe-pos_z)/(20000+Alt_rampe+pos_z)</f>
        <v>1.09215854770414</v>
      </c>
      <c r="W302" s="397" t="n">
        <f aca="false">1/2*Rho*Sref*Cx*vit_xz^2</f>
        <v>5.84158932892084</v>
      </c>
      <c r="Y302" s="401" t="str">
        <f aca="false">IF(AND(pos_z&lt;=0,K301&gt;0),"Impact balistique","") &amp; IF(AND(H303&lt;0,vit_z&gt;=0),"Apogée","") &amp; IF(AND(Poussee=0,Q301&gt;0),"Fin de propulsion","") &amp; IF(AND(L303&gt;L_rampe,pos_xz&lt;=L_rampe),"Sortie de rampe","")</f>
        <v/>
      </c>
      <c r="Z302" s="402" t="str">
        <f aca="false">IF(ABS(t-T_para)&lt;pas/2,"Para","")</f>
        <v/>
      </c>
      <c r="AA302" s="403" t="str">
        <f aca="false">IF(ABS(t-T_satellite)&lt;pas/2,"Satellite","")</f>
        <v/>
      </c>
      <c r="AC302" s="399" t="e">
        <f aca="false">IF(ABS(t-ROUND(t,0))&lt;0.001,t,NA())</f>
        <v>#N/A</v>
      </c>
      <c r="AD302" s="404" t="e">
        <f aca="false">IF(ABS(t-ROUND(t,0))&lt;0.001,pos_x,NA())</f>
        <v>#N/A</v>
      </c>
      <c r="AE302" s="405" t="n">
        <f aca="false">IF(t&lt;T_para, pos_z, NA())</f>
        <v>1146.58923471149</v>
      </c>
      <c r="AG302" s="396" t="n">
        <f aca="false">IF(AND(L301&lt;L_rampe,Poussee&lt;Poids*SIN(M301)),0,(-W301+Poussee)/m-Poids*SIN(M301)/m)</f>
        <v>-8.60025430553239</v>
      </c>
      <c r="AH302" s="397" t="n">
        <f aca="false">IF(AND(L301&lt;L_rampe,Poussee&lt;Poids*SIN(M301)), g*SIN(M301), (-W301+Poussee)/m)</f>
        <v>-0.723262493641142</v>
      </c>
    </row>
    <row r="303" customFormat="false" ht="12.75" hidden="false" customHeight="false" outlineLevel="0" collapsed="false">
      <c r="A303" s="396" t="n">
        <f aca="false">IF(B302+0.01&lt;=T_ini+ROUNDUP(Temps_fin_propu,0), 0.01, IF(K302&gt;0, 0.1, 0.0001))</f>
        <v>0.1</v>
      </c>
      <c r="B303" s="397" t="n">
        <f aca="false">B302+pas</f>
        <v>11.9</v>
      </c>
      <c r="D303" s="396" t="n">
        <f aca="false">IF(AND(L302&lt;L_rampe,Poussee&lt;Poids*SIN(M302)),0,(-W302+Poussee)/m*COS(M302)-U302/m*SIN(M302))</f>
        <v>-0.42060866241703</v>
      </c>
      <c r="E303" s="398" t="n">
        <f aca="false">IF(AND(L302&lt;L_rampe,Poussee&lt;Poids*SIN(M302)),0,(-W302+Poussee)/m*SIN(M302)+U302/m*COS(M302)-Poids/m)</f>
        <v>-10.3586356839343</v>
      </c>
      <c r="F303" s="397" t="n">
        <f aca="false">SQRT(acc_x^2+acc_z^2)</f>
        <v>10.3671714985032</v>
      </c>
      <c r="G303" s="396" t="n">
        <f aca="false">G302+acc_x*pas</f>
        <v>22.8963217502156</v>
      </c>
      <c r="H303" s="398" t="n">
        <f aca="false">H302+acc_z*pas</f>
        <v>28.8846215752258</v>
      </c>
      <c r="I303" s="397" t="n">
        <f aca="false">SQRT(vit_x^2+vit_z^2)</f>
        <v>36.858688436153</v>
      </c>
      <c r="J303" s="396" t="n">
        <f aca="false">J302+0.5*(vit_x+G302)*pas*(K302&gt;=0)</f>
        <v>321.311628253378</v>
      </c>
      <c r="K303" s="398" t="n">
        <f aca="false">K302+0.5*(vit_z+H302)*pas</f>
        <v>1149.52949004743</v>
      </c>
      <c r="L303" s="397" t="n">
        <f aca="false">SQRT(pos_x^2+pos_z^2)</f>
        <v>1193.59088926631</v>
      </c>
      <c r="M303" s="396" t="n">
        <f aca="false">IF(AND(L302&gt;L_rampe,G303&gt;0),ATAN2(G303,H303),$M$4)</f>
        <v>0.900533490045913</v>
      </c>
      <c r="N303" s="397" t="n">
        <f aca="false">DEGREES(Beta)</f>
        <v>51.5967682898171</v>
      </c>
      <c r="P303" s="399" t="n">
        <f aca="false">MATCH(t-pas/2-T_ini,CdP_t)</f>
        <v>23</v>
      </c>
      <c r="Q303" s="397" t="n">
        <f aca="false">(INDEX(CdP,2,i_P+1)-INDEX(CdP,2,i_P+0))/(INDEX(CdP,1,i_P+1)-INDEX(CdP,1,i_P+0))*(t-pas/2-T_ini-INDEX(CdP,1,i_P+0))+INDEX(CdP,2,i_P+0)</f>
        <v>0</v>
      </c>
      <c r="R303" s="396" t="n">
        <f aca="false">Poussee/(g*ISP)</f>
        <v>0</v>
      </c>
      <c r="S303" s="398" t="n">
        <f aca="false">S302-Débit*pas</f>
        <v>8.45</v>
      </c>
      <c r="T303" s="397" t="n">
        <f aca="false">m*g</f>
        <v>82.8945</v>
      </c>
      <c r="U303" s="400" t="n">
        <f aca="false">IF(pos_xz&lt;L_rampe,Poids*COS(Beta),0)</f>
        <v>0</v>
      </c>
      <c r="V303" s="396" t="n">
        <f aca="false">Rho_moyen*(20000-Alt_rampe-pos_z)/(20000+Alt_rampe+pos_z)</f>
        <v>1.09183641109172</v>
      </c>
      <c r="W303" s="397" t="n">
        <f aca="false">1/2*Rho*Sref*Cx*vit_xz^2</f>
        <v>5.58167923313877</v>
      </c>
      <c r="Y303" s="401" t="str">
        <f aca="false">IF(AND(pos_z&lt;=0,K302&gt;0),"Impact balistique","") &amp; IF(AND(H304&lt;0,vit_z&gt;=0),"Apogée","") &amp; IF(AND(Poussee=0,Q302&gt;0),"Fin de propulsion","") &amp; IF(AND(L304&gt;L_rampe,pos_xz&lt;=L_rampe),"Sortie de rampe","")</f>
        <v/>
      </c>
      <c r="Z303" s="402" t="str">
        <f aca="false">IF(ABS(t-T_para)&lt;pas/2,"Para","")</f>
        <v/>
      </c>
      <c r="AA303" s="403" t="str">
        <f aca="false">IF(ABS(t-T_satellite)&lt;pas/2,"Satellite","")</f>
        <v/>
      </c>
      <c r="AC303" s="399" t="e">
        <f aca="false">IF(ABS(t-ROUND(t,0))&lt;0.001,t,NA())</f>
        <v>#N/A</v>
      </c>
      <c r="AD303" s="404" t="e">
        <f aca="false">IF(ABS(t-ROUND(t,0))&lt;0.001,pos_x,NA())</f>
        <v>#N/A</v>
      </c>
      <c r="AE303" s="405" t="n">
        <f aca="false">IF(t&lt;T_para, pos_z, NA())</f>
        <v>1149.52949004743</v>
      </c>
      <c r="AG303" s="396" t="n">
        <f aca="false">IF(AND(L302&lt;L_rampe,Poussee&lt;Poids*SIN(M302)),0,(-W302+Poussee)/m-Poids*SIN(M302)/m)</f>
        <v>-8.47667316901102</v>
      </c>
      <c r="AH303" s="397" t="n">
        <f aca="false">IF(AND(L302&lt;L_rampe,Poussee&lt;Poids*SIN(M302)), g*SIN(M302), (-W302+Poussee)/m)</f>
        <v>-0.691312346617851</v>
      </c>
    </row>
    <row r="304" customFormat="false" ht="12.75" hidden="false" customHeight="false" outlineLevel="0" collapsed="false">
      <c r="A304" s="396" t="n">
        <f aca="false">IF(B303+0.01&lt;=T_ini+ROUNDUP(Temps_fin_propu,0), 0.01, IF(K303&gt;0, 0.1, 0.0001))</f>
        <v>0.1</v>
      </c>
      <c r="B304" s="397" t="n">
        <f aca="false">B303+pas</f>
        <v>12</v>
      </c>
      <c r="D304" s="396" t="n">
        <f aca="false">IF(AND(L303&lt;L_rampe,Poussee&lt;Poids*SIN(M303)),0,(-W303+Poussee)/m*COS(M303)-U303/m*SIN(M303))</f>
        <v>-0.410330697012559</v>
      </c>
      <c r="E304" s="398" t="n">
        <f aca="false">IF(AND(L303&lt;L_rampe,Poussee&lt;Poids*SIN(M303)),0,(-W303+Poussee)/m*SIN(M303)+U303/m*COS(M303)-Poids/m)</f>
        <v>-10.3276485128575</v>
      </c>
      <c r="F304" s="397" t="n">
        <f aca="false">SQRT(acc_x^2+acc_z^2)</f>
        <v>10.3357967804151</v>
      </c>
      <c r="G304" s="396" t="n">
        <f aca="false">G303+acc_x*pas</f>
        <v>22.8552886805144</v>
      </c>
      <c r="H304" s="398" t="n">
        <f aca="false">H303+acc_z*pas</f>
        <v>27.8518567239401</v>
      </c>
      <c r="I304" s="397" t="n">
        <f aca="false">SQRT(vit_x^2+vit_z^2)</f>
        <v>36.0290180776626</v>
      </c>
      <c r="J304" s="396" t="n">
        <f aca="false">J303+0.5*(vit_x+G303)*pas*(K303&gt;=0)</f>
        <v>323.599208774914</v>
      </c>
      <c r="K304" s="398" t="n">
        <f aca="false">K303+0.5*(vit_z+H303)*pas</f>
        <v>1152.36631396239</v>
      </c>
      <c r="L304" s="397" t="n">
        <f aca="false">SQRT(pos_x^2+pos_z^2)</f>
        <v>1196.93966826863</v>
      </c>
      <c r="M304" s="396" t="n">
        <f aca="false">IF(AND(L303&gt;L_rampe,G304&gt;0),ATAN2(G304,H304),$M$4)</f>
        <v>0.883618835503158</v>
      </c>
      <c r="N304" s="397" t="n">
        <f aca="false">DEGREES(Beta)</f>
        <v>50.6276299725955</v>
      </c>
      <c r="P304" s="399" t="n">
        <f aca="false">MATCH(t-pas/2-T_ini,CdP_t)</f>
        <v>23</v>
      </c>
      <c r="Q304" s="397" t="n">
        <f aca="false">(INDEX(CdP,2,i_P+1)-INDEX(CdP,2,i_P+0))/(INDEX(CdP,1,i_P+1)-INDEX(CdP,1,i_P+0))*(t-pas/2-T_ini-INDEX(CdP,1,i_P+0))+INDEX(CdP,2,i_P+0)</f>
        <v>0</v>
      </c>
      <c r="R304" s="396" t="n">
        <f aca="false">Poussee/(g*ISP)</f>
        <v>0</v>
      </c>
      <c r="S304" s="398" t="n">
        <f aca="false">S303-Débit*pas</f>
        <v>8.45</v>
      </c>
      <c r="T304" s="397" t="n">
        <f aca="false">m*g</f>
        <v>82.8945</v>
      </c>
      <c r="U304" s="400" t="n">
        <f aca="false">IF(pos_xz&lt;L_rampe,Poids*COS(Beta),0)</f>
        <v>0</v>
      </c>
      <c r="V304" s="396" t="n">
        <f aca="false">Rho_moyen*(20000-Alt_rampe-pos_z)/(20000+Alt_rampe+pos_z)</f>
        <v>1.09152569139065</v>
      </c>
      <c r="W304" s="397" t="n">
        <f aca="false">1/2*Rho*Sref*Cx*vit_xz^2</f>
        <v>5.33170805973074</v>
      </c>
      <c r="Y304" s="401" t="str">
        <f aca="false">IF(AND(pos_z&lt;=0,K303&gt;0),"Impact balistique","") &amp; IF(AND(H305&lt;0,vit_z&gt;=0),"Apogée","") &amp; IF(AND(Poussee=0,Q303&gt;0),"Fin de propulsion","") &amp; IF(AND(L305&gt;L_rampe,pos_xz&lt;=L_rampe),"Sortie de rampe","")</f>
        <v/>
      </c>
      <c r="Z304" s="402" t="str">
        <f aca="false">IF(ABS(t-T_para)&lt;pas/2,"Para","")</f>
        <v/>
      </c>
      <c r="AA304" s="403" t="str">
        <f aca="false">IF(ABS(t-T_satellite)&lt;pas/2,"Satellite","")</f>
        <v/>
      </c>
      <c r="AC304" s="399" t="n">
        <f aca="false">IF(ABS(t-ROUND(t,0))&lt;0.001,t,NA())</f>
        <v>12</v>
      </c>
      <c r="AD304" s="404" t="n">
        <f aca="false">IF(ABS(t-ROUND(t,0))&lt;0.001,pos_x,NA())</f>
        <v>323.599208774914</v>
      </c>
      <c r="AE304" s="405" t="n">
        <f aca="false">IF(t&lt;T_para, pos_z, NA())</f>
        <v>1152.36631396239</v>
      </c>
      <c r="AG304" s="396" t="n">
        <f aca="false">IF(AND(L303&lt;L_rampe,Poussee&lt;Poids*SIN(M303)),0,(-W303+Poussee)/m-Poids*SIN(M303)/m)</f>
        <v>-8.34824286413862</v>
      </c>
      <c r="AH304" s="397" t="n">
        <f aca="false">IF(AND(L303&lt;L_rampe,Poussee&lt;Poids*SIN(M303)), g*SIN(M303), (-W303+Poussee)/m)</f>
        <v>-0.660553755401038</v>
      </c>
    </row>
    <row r="305" customFormat="false" ht="12.75" hidden="false" customHeight="false" outlineLevel="0" collapsed="false">
      <c r="A305" s="396" t="n">
        <f aca="false">IF(B304+0.01&lt;=T_ini+ROUNDUP(Temps_fin_propu,0), 0.01, IF(K304&gt;0, 0.1, 0.0001))</f>
        <v>0.1</v>
      </c>
      <c r="B305" s="397" t="n">
        <f aca="false">B304+pas</f>
        <v>12.1</v>
      </c>
      <c r="D305" s="396" t="n">
        <f aca="false">IF(AND(L304&lt;L_rampe,Poussee&lt;Poids*SIN(M304)),0,(-W304+Poussee)/m*COS(M304)-U304/m*SIN(M304))</f>
        <v>-0.400261609518399</v>
      </c>
      <c r="E305" s="398" t="n">
        <f aca="false">IF(AND(L304&lt;L_rampe,Poussee&lt;Poids*SIN(M304)),0,(-W304+Poussee)/m*SIN(M304)+U304/m*COS(M304)-Poids/m)</f>
        <v>-10.2977658364431</v>
      </c>
      <c r="F305" s="397" t="n">
        <f aca="false">SQRT(acc_x^2+acc_z^2)</f>
        <v>10.3055417411347</v>
      </c>
      <c r="G305" s="396" t="n">
        <f aca="false">G304+acc_x*pas</f>
        <v>22.8152625195625</v>
      </c>
      <c r="H305" s="398" t="n">
        <f aca="false">H304+acc_z*pas</f>
        <v>26.8220801402958</v>
      </c>
      <c r="I305" s="397" t="n">
        <f aca="false">SQRT(vit_x^2+vit_z^2)</f>
        <v>35.2130684105916</v>
      </c>
      <c r="J305" s="396" t="n">
        <f aca="false">J304+0.5*(vit_x+G304)*pas*(K304&gt;=0)</f>
        <v>325.882736334918</v>
      </c>
      <c r="K305" s="398" t="n">
        <f aca="false">K304+0.5*(vit_z+H304)*pas</f>
        <v>1155.1000108056</v>
      </c>
      <c r="L305" s="397" t="n">
        <f aca="false">SQRT(pos_x^2+pos_z^2)</f>
        <v>1200.18981532265</v>
      </c>
      <c r="M305" s="396" t="n">
        <f aca="false">IF(AND(L304&gt;L_rampe,G305&gt;0),ATAN2(G305,H305),$M$4)</f>
        <v>0.865945357206056</v>
      </c>
      <c r="N305" s="397" t="n">
        <f aca="false">DEGREES(Beta)</f>
        <v>49.6150142568555</v>
      </c>
      <c r="P305" s="399" t="n">
        <f aca="false">MATCH(t-pas/2-T_ini,CdP_t)</f>
        <v>23</v>
      </c>
      <c r="Q305" s="397" t="n">
        <f aca="false">(INDEX(CdP,2,i_P+1)-INDEX(CdP,2,i_P+0))/(INDEX(CdP,1,i_P+1)-INDEX(CdP,1,i_P+0))*(t-pas/2-T_ini-INDEX(CdP,1,i_P+0))+INDEX(CdP,2,i_P+0)</f>
        <v>0</v>
      </c>
      <c r="R305" s="396" t="n">
        <f aca="false">Poussee/(g*ISP)</f>
        <v>0</v>
      </c>
      <c r="S305" s="398" t="n">
        <f aca="false">S304-Débit*pas</f>
        <v>8.45</v>
      </c>
      <c r="T305" s="397" t="n">
        <f aca="false">m*g</f>
        <v>82.8945</v>
      </c>
      <c r="U305" s="400" t="n">
        <f aca="false">IF(pos_xz&lt;L_rampe,Poids*COS(Beta),0)</f>
        <v>0</v>
      </c>
      <c r="V305" s="396" t="n">
        <f aca="false">Rho_moyen*(20000-Alt_rampe-pos_z)/(20000+Alt_rampe+pos_z)</f>
        <v>1.09122634612797</v>
      </c>
      <c r="W305" s="397" t="n">
        <f aca="false">1/2*Rho*Sref*Cx*vit_xz^2</f>
        <v>5.09155137883668</v>
      </c>
      <c r="Y305" s="401" t="str">
        <f aca="false">IF(AND(pos_z&lt;=0,K304&gt;0),"Impact balistique","") &amp; IF(AND(H306&lt;0,vit_z&gt;=0),"Apogée","") &amp; IF(AND(Poussee=0,Q304&gt;0),"Fin de propulsion","") &amp; IF(AND(L306&gt;L_rampe,pos_xz&lt;=L_rampe),"Sortie de rampe","")</f>
        <v/>
      </c>
      <c r="Z305" s="402" t="str">
        <f aca="false">IF(ABS(t-T_para)&lt;pas/2,"Para","")</f>
        <v/>
      </c>
      <c r="AA305" s="403" t="str">
        <f aca="false">IF(ABS(t-T_satellite)&lt;pas/2,"Satellite","")</f>
        <v/>
      </c>
      <c r="AC305" s="399" t="e">
        <f aca="false">IF(ABS(t-ROUND(t,0))&lt;0.001,t,NA())</f>
        <v>#N/A</v>
      </c>
      <c r="AD305" s="404" t="e">
        <f aca="false">IF(ABS(t-ROUND(t,0))&lt;0.001,pos_x,NA())</f>
        <v>#N/A</v>
      </c>
      <c r="AE305" s="405" t="n">
        <f aca="false">IF(t&lt;T_para, pos_z, NA())</f>
        <v>1155.1000108056</v>
      </c>
      <c r="AG305" s="396" t="n">
        <f aca="false">IF(AND(L304&lt;L_rampe,Poussee&lt;Poids*SIN(M304)),0,(-W304+Poussee)/m-Poids*SIN(M304)/m)</f>
        <v>-8.21448957195034</v>
      </c>
      <c r="AH305" s="397" t="n">
        <f aca="false">IF(AND(L304&lt;L_rampe,Poussee&lt;Poids*SIN(M304)), g*SIN(M304), (-W304+Poussee)/m)</f>
        <v>-0.630971368015472</v>
      </c>
    </row>
    <row r="306" customFormat="false" ht="12.75" hidden="false" customHeight="false" outlineLevel="0" collapsed="false">
      <c r="A306" s="396" t="n">
        <f aca="false">IF(B305+0.01&lt;=T_ini+ROUNDUP(Temps_fin_propu,0), 0.01, IF(K305&gt;0, 0.1, 0.0001))</f>
        <v>0.1</v>
      </c>
      <c r="B306" s="397" t="n">
        <f aca="false">B305+pas</f>
        <v>12.2</v>
      </c>
      <c r="D306" s="396" t="n">
        <f aca="false">IF(AND(L305&lt;L_rampe,Poussee&lt;Poids*SIN(M305)),0,(-W305+Poussee)/m*COS(M305)-U305/m*SIN(M305))</f>
        <v>-0.390404685665136</v>
      </c>
      <c r="E306" s="398" t="n">
        <f aca="false">IF(AND(L305&lt;L_rampe,Poussee&lt;Poids*SIN(M305)),0,(-W305+Poussee)/m*SIN(M305)+U305/m*COS(M305)-Poids/m)</f>
        <v>-10.2689675773872</v>
      </c>
      <c r="F306" s="397" t="n">
        <f aca="false">SQRT(acc_x^2+acc_z^2)</f>
        <v>10.276386082861</v>
      </c>
      <c r="G306" s="396" t="n">
        <f aca="false">G305+acc_x*pas</f>
        <v>22.776222050996</v>
      </c>
      <c r="H306" s="398" t="n">
        <f aca="false">H305+acc_z*pas</f>
        <v>25.7951833825571</v>
      </c>
      <c r="I306" s="397" t="n">
        <f aca="false">SQRT(vit_x^2+vit_z^2)</f>
        <v>34.4114483370873</v>
      </c>
      <c r="J306" s="396" t="n">
        <f aca="false">J305+0.5*(vit_x+G305)*pas*(K305&gt;=0)</f>
        <v>328.162310563446</v>
      </c>
      <c r="K306" s="398" t="n">
        <f aca="false">K305+0.5*(vit_z+H305)*pas</f>
        <v>1157.73087398174</v>
      </c>
      <c r="L306" s="397" t="n">
        <f aca="false">SQRT(pos_x^2+pos_z^2)</f>
        <v>1203.34171316583</v>
      </c>
      <c r="M306" s="396" t="n">
        <f aca="false">IF(AND(L305&gt;L_rampe,G306&gt;0),ATAN2(G306,H306),$M$4)</f>
        <v>0.847473423838853</v>
      </c>
      <c r="N306" s="397" t="n">
        <f aca="false">DEGREES(Beta)</f>
        <v>48.5566504354679</v>
      </c>
      <c r="P306" s="399" t="n">
        <f aca="false">MATCH(t-pas/2-T_ini,CdP_t)</f>
        <v>23</v>
      </c>
      <c r="Q306" s="397" t="n">
        <f aca="false">(INDEX(CdP,2,i_P+1)-INDEX(CdP,2,i_P+0))/(INDEX(CdP,1,i_P+1)-INDEX(CdP,1,i_P+0))*(t-pas/2-T_ini-INDEX(CdP,1,i_P+0))+INDEX(CdP,2,i_P+0)</f>
        <v>0</v>
      </c>
      <c r="R306" s="396" t="n">
        <f aca="false">Poussee/(g*ISP)</f>
        <v>0</v>
      </c>
      <c r="S306" s="398" t="n">
        <f aca="false">S305-Débit*pas</f>
        <v>8.45</v>
      </c>
      <c r="T306" s="397" t="n">
        <f aca="false">m*g</f>
        <v>82.8945</v>
      </c>
      <c r="U306" s="400" t="n">
        <f aca="false">IF(pos_xz&lt;L_rampe,Poids*COS(Beta),0)</f>
        <v>0</v>
      </c>
      <c r="V306" s="396" t="n">
        <f aca="false">Rho_moyen*(20000-Alt_rampe-pos_z)/(20000+Alt_rampe+pos_z)</f>
        <v>1.09093833440129</v>
      </c>
      <c r="W306" s="397" t="n">
        <f aca="false">1/2*Rho*Sref*Cx*vit_xz^2</f>
        <v>4.86108990536886</v>
      </c>
      <c r="Y306" s="401" t="str">
        <f aca="false">IF(AND(pos_z&lt;=0,K305&gt;0),"Impact balistique","") &amp; IF(AND(H307&lt;0,vit_z&gt;=0),"Apogée","") &amp; IF(AND(Poussee=0,Q305&gt;0),"Fin de propulsion","") &amp; IF(AND(L307&gt;L_rampe,pos_xz&lt;=L_rampe),"Sortie de rampe","")</f>
        <v/>
      </c>
      <c r="Z306" s="402" t="str">
        <f aca="false">IF(ABS(t-T_para)&lt;pas/2,"Para","")</f>
        <v/>
      </c>
      <c r="AA306" s="403" t="str">
        <f aca="false">IF(ABS(t-T_satellite)&lt;pas/2,"Satellite","")</f>
        <v/>
      </c>
      <c r="AC306" s="399" t="e">
        <f aca="false">IF(ABS(t-ROUND(t,0))&lt;0.001,t,NA())</f>
        <v>#N/A</v>
      </c>
      <c r="AD306" s="404" t="e">
        <f aca="false">IF(ABS(t-ROUND(t,0))&lt;0.001,pos_x,NA())</f>
        <v>#N/A</v>
      </c>
      <c r="AE306" s="405" t="n">
        <f aca="false">IF(t&lt;T_para, pos_z, NA())</f>
        <v>1157.73087398174</v>
      </c>
      <c r="AG306" s="396" t="n">
        <f aca="false">IF(AND(L305&lt;L_rampe,Poussee&lt;Poids*SIN(M305)),0,(-W305+Poussee)/m-Poids*SIN(M305)/m)</f>
        <v>-8.07490711674449</v>
      </c>
      <c r="AH306" s="397" t="n">
        <f aca="false">IF(AND(L305&lt;L_rampe,Poussee&lt;Poids*SIN(M305)), g*SIN(M305), (-W305+Poussee)/m)</f>
        <v>-0.602550459033927</v>
      </c>
    </row>
    <row r="307" customFormat="false" ht="12.75" hidden="false" customHeight="false" outlineLevel="0" collapsed="false">
      <c r="A307" s="396" t="n">
        <f aca="false">IF(B306+0.01&lt;=T_ini+ROUNDUP(Temps_fin_propu,0), 0.01, IF(K306&gt;0, 0.1, 0.0001))</f>
        <v>0.1</v>
      </c>
      <c r="B307" s="397" t="n">
        <f aca="false">B306+pas</f>
        <v>12.3</v>
      </c>
      <c r="D307" s="396" t="n">
        <f aca="false">IF(AND(L306&lt;L_rampe,Poussee&lt;Poids*SIN(M306)),0,(-W306+Poussee)/m*COS(M306)-U306/m*SIN(M306))</f>
        <v>-0.380763824800204</v>
      </c>
      <c r="E307" s="398" t="n">
        <f aca="false">IF(AND(L306&lt;L_rampe,Poussee&lt;Poids*SIN(M306)),0,(-W306+Poussee)/m*SIN(M306)+U306/m*COS(M306)-Poids/m)</f>
        <v>-10.2412336200523</v>
      </c>
      <c r="F307" s="397" t="n">
        <f aca="false">SQRT(acc_x^2+acc_z^2)</f>
        <v>10.2483094777024</v>
      </c>
      <c r="G307" s="396" t="n">
        <f aca="false">G306+acc_x*pas</f>
        <v>22.738145668516</v>
      </c>
      <c r="H307" s="398" t="n">
        <f aca="false">H306+acc_z*pas</f>
        <v>24.7710600205518</v>
      </c>
      <c r="I307" s="397" t="n">
        <f aca="false">SQRT(vit_x^2+vit_z^2)</f>
        <v>33.6248224230915</v>
      </c>
      <c r="J307" s="396" t="n">
        <f aca="false">J306+0.5*(vit_x+G306)*pas*(K306&gt;=0)</f>
        <v>330.438028949422</v>
      </c>
      <c r="K307" s="398" t="n">
        <f aca="false">K306+0.5*(vit_z+H306)*pas</f>
        <v>1160.2591861519</v>
      </c>
      <c r="L307" s="397" t="n">
        <f aca="false">SQRT(pos_x^2+pos_z^2)</f>
        <v>1206.39573524853</v>
      </c>
      <c r="M307" s="396" t="n">
        <f aca="false">IF(AND(L306&gt;L_rampe,G307&gt;0),ATAN2(G307,H307),$M$4)</f>
        <v>0.82816198032079</v>
      </c>
      <c r="N307" s="397" t="n">
        <f aca="false">DEGREES(Beta)</f>
        <v>47.4501862255776</v>
      </c>
      <c r="P307" s="399" t="n">
        <f aca="false">MATCH(t-pas/2-T_ini,CdP_t)</f>
        <v>23</v>
      </c>
      <c r="Q307" s="397" t="n">
        <f aca="false">(INDEX(CdP,2,i_P+1)-INDEX(CdP,2,i_P+0))/(INDEX(CdP,1,i_P+1)-INDEX(CdP,1,i_P+0))*(t-pas/2-T_ini-INDEX(CdP,1,i_P+0))+INDEX(CdP,2,i_P+0)</f>
        <v>0</v>
      </c>
      <c r="R307" s="396" t="n">
        <f aca="false">Poussee/(g*ISP)</f>
        <v>0</v>
      </c>
      <c r="S307" s="398" t="n">
        <f aca="false">S306-Débit*pas</f>
        <v>8.45</v>
      </c>
      <c r="T307" s="397" t="n">
        <f aca="false">m*g</f>
        <v>82.8945</v>
      </c>
      <c r="U307" s="400" t="n">
        <f aca="false">IF(pos_xz&lt;L_rampe,Poids*COS(Beta),0)</f>
        <v>0</v>
      </c>
      <c r="V307" s="396" t="n">
        <f aca="false">Rho_moyen*(20000-Alt_rampe-pos_z)/(20000+Alt_rampe+pos_z)</f>
        <v>1.09066161685144</v>
      </c>
      <c r="W307" s="397" t="n">
        <f aca="false">1/2*Rho*Sref*Cx*vit_xz^2</f>
        <v>4.64020935394338</v>
      </c>
      <c r="Y307" s="401" t="str">
        <f aca="false">IF(AND(pos_z&lt;=0,K306&gt;0),"Impact balistique","") &amp; IF(AND(H308&lt;0,vit_z&gt;=0),"Apogée","") &amp; IF(AND(Poussee=0,Q306&gt;0),"Fin de propulsion","") &amp; IF(AND(L308&gt;L_rampe,pos_xz&lt;=L_rampe),"Sortie de rampe","")</f>
        <v/>
      </c>
      <c r="Z307" s="402" t="str">
        <f aca="false">IF(ABS(t-T_para)&lt;pas/2,"Para","")</f>
        <v/>
      </c>
      <c r="AA307" s="403" t="str">
        <f aca="false">IF(ABS(t-T_satellite)&lt;pas/2,"Satellite","")</f>
        <v/>
      </c>
      <c r="AC307" s="399" t="e">
        <f aca="false">IF(ABS(t-ROUND(t,0))&lt;0.001,t,NA())</f>
        <v>#N/A</v>
      </c>
      <c r="AD307" s="404" t="e">
        <f aca="false">IF(ABS(t-ROUND(t,0))&lt;0.001,pos_x,NA())</f>
        <v>#N/A</v>
      </c>
      <c r="AE307" s="405" t="n">
        <f aca="false">IF(t&lt;T_para, pos_z, NA())</f>
        <v>1160.2591861519</v>
      </c>
      <c r="AG307" s="396" t="n">
        <f aca="false">IF(AND(L306&lt;L_rampe,Poussee&lt;Poids*SIN(M306)),0,(-W306+Poussee)/m-Poids*SIN(M306)/m)</f>
        <v>-7.92895602773654</v>
      </c>
      <c r="AH307" s="397" t="n">
        <f aca="false">IF(AND(L306&lt;L_rampe,Poussee&lt;Poids*SIN(M306)), g*SIN(M306), (-W306+Poussee)/m)</f>
        <v>-0.575276911877971</v>
      </c>
    </row>
    <row r="308" customFormat="false" ht="12.75" hidden="false" customHeight="false" outlineLevel="0" collapsed="false">
      <c r="A308" s="396" t="n">
        <f aca="false">IF(B307+0.01&lt;=T_ini+ROUNDUP(Temps_fin_propu,0), 0.01, IF(K307&gt;0, 0.1, 0.0001))</f>
        <v>0.1</v>
      </c>
      <c r="B308" s="397" t="n">
        <f aca="false">B307+pas</f>
        <v>12.4</v>
      </c>
      <c r="D308" s="396" t="n">
        <f aca="false">IF(AND(L307&lt;L_rampe,Poussee&lt;Poids*SIN(M307)),0,(-W307+Poussee)/m*COS(M307)-U307/m*SIN(M307))</f>
        <v>-0.371343572495611</v>
      </c>
      <c r="E308" s="398" t="n">
        <f aca="false">IF(AND(L307&lt;L_rampe,Poussee&lt;Poids*SIN(M307)),0,(-W307+Poussee)/m*SIN(M307)+U307/m*COS(M307)-Poids/m)</f>
        <v>-10.2145437150696</v>
      </c>
      <c r="F308" s="397" t="n">
        <f aca="false">SQRT(acc_x^2+acc_z^2)</f>
        <v>10.2212914720157</v>
      </c>
      <c r="G308" s="396" t="n">
        <f aca="false">G307+acc_x*pas</f>
        <v>22.7010113112665</v>
      </c>
      <c r="H308" s="398" t="n">
        <f aca="false">H307+acc_z*pas</f>
        <v>23.7496056490449</v>
      </c>
      <c r="I308" s="397" t="n">
        <f aca="false">SQRT(vit_x^2+vit_z^2)</f>
        <v>32.8539142727224</v>
      </c>
      <c r="J308" s="396" t="n">
        <f aca="false">J307+0.5*(vit_x+G307)*pas*(K307&gt;=0)</f>
        <v>332.709986798411</v>
      </c>
      <c r="K308" s="398" t="n">
        <f aca="false">K307+0.5*(vit_z+H307)*pas</f>
        <v>1162.68521943538</v>
      </c>
      <c r="L308" s="397" t="n">
        <f aca="false">SQRT(pos_x^2+pos_z^2)</f>
        <v>1209.35224596016</v>
      </c>
      <c r="M308" s="396" t="n">
        <f aca="false">IF(AND(L307&gt;L_rampe,G308&gt;0),ATAN2(G308,H308),$M$4)</f>
        <v>0.807968719797516</v>
      </c>
      <c r="N308" s="397" t="n">
        <f aca="false">DEGREES(Beta)</f>
        <v>46.2931976229858</v>
      </c>
      <c r="P308" s="399" t="n">
        <f aca="false">MATCH(t-pas/2-T_ini,CdP_t)</f>
        <v>23</v>
      </c>
      <c r="Q308" s="397" t="n">
        <f aca="false">(INDEX(CdP,2,i_P+1)-INDEX(CdP,2,i_P+0))/(INDEX(CdP,1,i_P+1)-INDEX(CdP,1,i_P+0))*(t-pas/2-T_ini-INDEX(CdP,1,i_P+0))+INDEX(CdP,2,i_P+0)</f>
        <v>0</v>
      </c>
      <c r="R308" s="396" t="n">
        <f aca="false">Poussee/(g*ISP)</f>
        <v>0</v>
      </c>
      <c r="S308" s="398" t="n">
        <f aca="false">S307-Débit*pas</f>
        <v>8.45</v>
      </c>
      <c r="T308" s="397" t="n">
        <f aca="false">m*g</f>
        <v>82.8945</v>
      </c>
      <c r="U308" s="400" t="n">
        <f aca="false">IF(pos_xz&lt;L_rampe,Poids*COS(Beta),0)</f>
        <v>0</v>
      </c>
      <c r="V308" s="396" t="n">
        <f aca="false">Rho_moyen*(20000-Alt_rampe-pos_z)/(20000+Alt_rampe+pos_z)</f>
        <v>1.09039615563527</v>
      </c>
      <c r="W308" s="397" t="n">
        <f aca="false">1/2*Rho*Sref*Cx*vit_xz^2</f>
        <v>4.42880029781372</v>
      </c>
      <c r="Y308" s="401" t="str">
        <f aca="false">IF(AND(pos_z&lt;=0,K307&gt;0),"Impact balistique","") &amp; IF(AND(H309&lt;0,vit_z&gt;=0),"Apogée","") &amp; IF(AND(Poussee=0,Q307&gt;0),"Fin de propulsion","") &amp; IF(AND(L309&gt;L_rampe,pos_xz&lt;=L_rampe),"Sortie de rampe","")</f>
        <v/>
      </c>
      <c r="Z308" s="402" t="str">
        <f aca="false">IF(ABS(t-T_para)&lt;pas/2,"Para","")</f>
        <v/>
      </c>
      <c r="AA308" s="403" t="str">
        <f aca="false">IF(ABS(t-T_satellite)&lt;pas/2,"Satellite","")</f>
        <v/>
      </c>
      <c r="AC308" s="399" t="e">
        <f aca="false">IF(ABS(t-ROUND(t,0))&lt;0.001,t,NA())</f>
        <v>#N/A</v>
      </c>
      <c r="AD308" s="404" t="e">
        <f aca="false">IF(ABS(t-ROUND(t,0))&lt;0.001,pos_x,NA())</f>
        <v>#N/A</v>
      </c>
      <c r="AE308" s="405" t="n">
        <f aca="false">IF(t&lt;T_para, pos_z, NA())</f>
        <v>1162.68521943538</v>
      </c>
      <c r="AG308" s="396" t="n">
        <f aca="false">IF(AND(L307&lt;L_rampe,Poussee&lt;Poids*SIN(M307)),0,(-W307+Poussee)/m-Poids*SIN(M307)/m)</f>
        <v>-7.77606306445356</v>
      </c>
      <c r="AH308" s="397" t="n">
        <f aca="false">IF(AND(L307&lt;L_rampe,Poussee&lt;Poids*SIN(M307)), g*SIN(M307), (-W307+Poussee)/m)</f>
        <v>-0.549137201650104</v>
      </c>
    </row>
    <row r="309" customFormat="false" ht="12.75" hidden="false" customHeight="false" outlineLevel="0" collapsed="false">
      <c r="A309" s="396" t="n">
        <f aca="false">IF(B308+0.01&lt;=T_ini+ROUNDUP(Temps_fin_propu,0), 0.01, IF(K308&gt;0, 0.1, 0.0001))</f>
        <v>0.1</v>
      </c>
      <c r="B309" s="397" t="n">
        <f aca="false">B308+pas</f>
        <v>12.5</v>
      </c>
      <c r="D309" s="396" t="n">
        <f aca="false">IF(AND(L308&lt;L_rampe,Poussee&lt;Poids*SIN(M308)),0,(-W308+Poussee)/m*COS(M308)-U308/m*SIN(M308))</f>
        <v>-0.362149153328623</v>
      </c>
      <c r="E309" s="398" t="n">
        <f aca="false">IF(AND(L308&lt;L_rampe,Poussee&lt;Poids*SIN(M308)),0,(-W308+Poussee)/m*SIN(M308)+U308/m*COS(M308)-Poids/m)</f>
        <v>-10.1888773750983</v>
      </c>
      <c r="F309" s="397" t="n">
        <f aca="false">SQRT(acc_x^2+acc_z^2)</f>
        <v>10.1953113819072</v>
      </c>
      <c r="G309" s="396" t="n">
        <f aca="false">G308+acc_x*pas</f>
        <v>22.6647963959336</v>
      </c>
      <c r="H309" s="398" t="n">
        <f aca="false">H308+acc_z*pas</f>
        <v>22.730717911535</v>
      </c>
      <c r="I309" s="397" t="n">
        <f aca="false">SQRT(vit_x^2+vit_z^2)</f>
        <v>32.0995098473934</v>
      </c>
      <c r="J309" s="396" t="n">
        <f aca="false">J308+0.5*(vit_x+G308)*pas*(K308&gt;=0)</f>
        <v>334.978277183771</v>
      </c>
      <c r="K309" s="398" t="n">
        <f aca="false">K308+0.5*(vit_z+H308)*pas</f>
        <v>1165.00923561341</v>
      </c>
      <c r="L309" s="397" t="n">
        <f aca="false">SQRT(pos_x^2+pos_z^2)</f>
        <v>1212.21160085587</v>
      </c>
      <c r="M309" s="396" t="n">
        <f aca="false">IF(AND(L308&gt;L_rampe,G309&gt;0),ATAN2(G309,H309),$M$4)</f>
        <v>0.786850321617693</v>
      </c>
      <c r="N309" s="397" t="n">
        <f aca="false">DEGREES(Beta)</f>
        <v>45.0832025372052</v>
      </c>
      <c r="P309" s="399" t="n">
        <f aca="false">MATCH(t-pas/2-T_ini,CdP_t)</f>
        <v>23</v>
      </c>
      <c r="Q309" s="397" t="n">
        <f aca="false">(INDEX(CdP,2,i_P+1)-INDEX(CdP,2,i_P+0))/(INDEX(CdP,1,i_P+1)-INDEX(CdP,1,i_P+0))*(t-pas/2-T_ini-INDEX(CdP,1,i_P+0))+INDEX(CdP,2,i_P+0)</f>
        <v>0</v>
      </c>
      <c r="R309" s="396" t="n">
        <f aca="false">Poussee/(g*ISP)</f>
        <v>0</v>
      </c>
      <c r="S309" s="398" t="n">
        <f aca="false">S308-Débit*pas</f>
        <v>8.45</v>
      </c>
      <c r="T309" s="397" t="n">
        <f aca="false">m*g</f>
        <v>82.8945</v>
      </c>
      <c r="U309" s="400" t="n">
        <f aca="false">IF(pos_xz&lt;L_rampe,Poids*COS(Beta),0)</f>
        <v>0</v>
      </c>
      <c r="V309" s="396" t="n">
        <f aca="false">Rho_moyen*(20000-Alt_rampe-pos_z)/(20000+Alt_rampe+pos_z)</f>
        <v>1.0901419143985</v>
      </c>
      <c r="W309" s="397" t="n">
        <f aca="false">1/2*Rho*Sref*Cx*vit_xz^2</f>
        <v>4.22675803130205</v>
      </c>
      <c r="Y309" s="401" t="str">
        <f aca="false">IF(AND(pos_z&lt;=0,K308&gt;0),"Impact balistique","") &amp; IF(AND(H310&lt;0,vit_z&gt;=0),"Apogée","") &amp; IF(AND(Poussee=0,Q308&gt;0),"Fin de propulsion","") &amp; IF(AND(L310&gt;L_rampe,pos_xz&lt;=L_rampe),"Sortie de rampe","")</f>
        <v/>
      </c>
      <c r="Z309" s="402" t="str">
        <f aca="false">IF(ABS(t-T_para)&lt;pas/2,"Para","")</f>
        <v/>
      </c>
      <c r="AA309" s="403" t="str">
        <f aca="false">IF(ABS(t-T_satellite)&lt;pas/2,"Satellite","")</f>
        <v/>
      </c>
      <c r="AC309" s="399" t="e">
        <f aca="false">IF(ABS(t-ROUND(t,0))&lt;0.001,t,NA())</f>
        <v>#N/A</v>
      </c>
      <c r="AD309" s="404" t="e">
        <f aca="false">IF(ABS(t-ROUND(t,0))&lt;0.001,pos_x,NA())</f>
        <v>#N/A</v>
      </c>
      <c r="AE309" s="405" t="n">
        <f aca="false">IF(t&lt;T_para, pos_z, NA())</f>
        <v>1165.00923561341</v>
      </c>
      <c r="AG309" s="396" t="n">
        <f aca="false">IF(AND(L308&lt;L_rampe,Poussee&lt;Poids*SIN(M308)),0,(-W308+Poussee)/m-Poids*SIN(M308)/m)</f>
        <v>-7.61562137205902</v>
      </c>
      <c r="AH309" s="397" t="n">
        <f aca="false">IF(AND(L308&lt;L_rampe,Poussee&lt;Poids*SIN(M308)), g*SIN(M308), (-W308+Poussee)/m)</f>
        <v>-0.524118378439493</v>
      </c>
    </row>
    <row r="310" customFormat="false" ht="12.75" hidden="false" customHeight="false" outlineLevel="0" collapsed="false">
      <c r="A310" s="396" t="n">
        <f aca="false">IF(B309+0.01&lt;=T_ini+ROUNDUP(Temps_fin_propu,0), 0.01, IF(K309&gt;0, 0.1, 0.0001))</f>
        <v>0.1</v>
      </c>
      <c r="B310" s="397" t="n">
        <f aca="false">B309+pas</f>
        <v>12.6</v>
      </c>
      <c r="D310" s="396" t="n">
        <f aca="false">IF(AND(L309&lt;L_rampe,Poussee&lt;Poids*SIN(M309)),0,(-W309+Poussee)/m*COS(M309)-U309/m*SIN(M309))</f>
        <v>-0.353186503045207</v>
      </c>
      <c r="E310" s="398" t="n">
        <f aca="false">IF(AND(L309&lt;L_rampe,Poussee&lt;Poids*SIN(M309)),0,(-W309+Poussee)/m*SIN(M309)+U309/m*COS(M309)-Poids/m)</f>
        <v>-10.1642137608755</v>
      </c>
      <c r="F310" s="397" t="n">
        <f aca="false">SQRT(acc_x^2+acc_z^2)</f>
        <v>10.1703481790303</v>
      </c>
      <c r="G310" s="396" t="n">
        <f aca="false">G309+acc_x*pas</f>
        <v>22.6294777456291</v>
      </c>
      <c r="H310" s="398" t="n">
        <f aca="false">H309+acc_z*pas</f>
        <v>21.7142965354475</v>
      </c>
      <c r="I310" s="397" t="n">
        <f aca="false">SQRT(vit_x^2+vit_z^2)</f>
        <v>31.3624606347982</v>
      </c>
      <c r="J310" s="396" t="n">
        <f aca="false">J309+0.5*(vit_x+G309)*pas*(K309&gt;=0)</f>
        <v>337.242990890849</v>
      </c>
      <c r="K310" s="398" t="n">
        <f aca="false">K309+0.5*(vit_z+H309)*pas</f>
        <v>1167.23148633575</v>
      </c>
      <c r="L310" s="397" t="n">
        <f aca="false">SQRT(pos_x^2+pos_z^2)</f>
        <v>1214.97414688485</v>
      </c>
      <c r="M310" s="396" t="n">
        <f aca="false">IF(AND(L309&gt;L_rampe,G310&gt;0),ATAN2(G310,H310),$M$4)</f>
        <v>0.764762768223035</v>
      </c>
      <c r="N310" s="397" t="n">
        <f aca="false">DEGREES(Beta)</f>
        <v>43.8176789479215</v>
      </c>
      <c r="P310" s="399" t="n">
        <f aca="false">MATCH(t-pas/2-T_ini,CdP_t)</f>
        <v>23</v>
      </c>
      <c r="Q310" s="397" t="n">
        <f aca="false">(INDEX(CdP,2,i_P+1)-INDEX(CdP,2,i_P+0))/(INDEX(CdP,1,i_P+1)-INDEX(CdP,1,i_P+0))*(t-pas/2-T_ini-INDEX(CdP,1,i_P+0))+INDEX(CdP,2,i_P+0)</f>
        <v>0</v>
      </c>
      <c r="R310" s="396" t="n">
        <f aca="false">Poussee/(g*ISP)</f>
        <v>0</v>
      </c>
      <c r="S310" s="398" t="n">
        <f aca="false">S309-Débit*pas</f>
        <v>8.45</v>
      </c>
      <c r="T310" s="397" t="n">
        <f aca="false">m*g</f>
        <v>82.8945</v>
      </c>
      <c r="U310" s="400" t="n">
        <f aca="false">IF(pos_xz&lt;L_rampe,Poids*COS(Beta),0)</f>
        <v>0</v>
      </c>
      <c r="V310" s="396" t="n">
        <f aca="false">Rho_moyen*(20000-Alt_rampe-pos_z)/(20000+Alt_rampe+pos_z)</f>
        <v>1.08989885824848</v>
      </c>
      <c r="W310" s="397" t="n">
        <f aca="false">1/2*Rho*Sref*Cx*vit_xz^2</f>
        <v>4.03398243520417</v>
      </c>
      <c r="Y310" s="401" t="str">
        <f aca="false">IF(AND(pos_z&lt;=0,K309&gt;0),"Impact balistique","") &amp; IF(AND(H311&lt;0,vit_z&gt;=0),"Apogée","") &amp; IF(AND(Poussee=0,Q309&gt;0),"Fin de propulsion","") &amp; IF(AND(L311&gt;L_rampe,pos_xz&lt;=L_rampe),"Sortie de rampe","")</f>
        <v/>
      </c>
      <c r="Z310" s="402" t="str">
        <f aca="false">IF(ABS(t-T_para)&lt;pas/2,"Para","")</f>
        <v/>
      </c>
      <c r="AA310" s="403" t="str">
        <f aca="false">IF(ABS(t-T_satellite)&lt;pas/2,"Satellite","")</f>
        <v/>
      </c>
      <c r="AC310" s="399" t="e">
        <f aca="false">IF(ABS(t-ROUND(t,0))&lt;0.001,t,NA())</f>
        <v>#N/A</v>
      </c>
      <c r="AD310" s="404" t="e">
        <f aca="false">IF(ABS(t-ROUND(t,0))&lt;0.001,pos_x,NA())</f>
        <v>#N/A</v>
      </c>
      <c r="AE310" s="405" t="n">
        <f aca="false">IF(t&lt;T_para, pos_z, NA())</f>
        <v>1167.23148633575</v>
      </c>
      <c r="AG310" s="396" t="n">
        <f aca="false">IF(AND(L309&lt;L_rampe,Poussee&lt;Poids*SIN(M309)),0,(-W309+Poussee)/m-Poids*SIN(M309)/m)</f>
        <v>-7.44699146836747</v>
      </c>
      <c r="AH310" s="397" t="n">
        <f aca="false">IF(AND(L309&lt;L_rampe,Poussee&lt;Poids*SIN(M309)), g*SIN(M309), (-W309+Poussee)/m)</f>
        <v>-0.500208051041663</v>
      </c>
    </row>
    <row r="311" customFormat="false" ht="12.75" hidden="false" customHeight="false" outlineLevel="0" collapsed="false">
      <c r="A311" s="396" t="n">
        <f aca="false">IF(B310+0.01&lt;=T_ini+ROUNDUP(Temps_fin_propu,0), 0.01, IF(K310&gt;0, 0.1, 0.0001))</f>
        <v>0.1</v>
      </c>
      <c r="B311" s="397" t="n">
        <f aca="false">B310+pas</f>
        <v>12.7</v>
      </c>
      <c r="D311" s="396" t="n">
        <f aca="false">IF(AND(L310&lt;L_rampe,Poussee&lt;Poids*SIN(M310)),0,(-W310+Poussee)/m*COS(M310)-U310/m*SIN(M310))</f>
        <v>-0.34446229908144</v>
      </c>
      <c r="E311" s="398" t="n">
        <f aca="false">IF(AND(L310&lt;L_rampe,Poussee&lt;Poids*SIN(M310)),0,(-W310+Poussee)/m*SIN(M310)+U310/m*COS(M310)-Poids/m)</f>
        <v>-10.1405315567427</v>
      </c>
      <c r="F311" s="397" t="n">
        <f aca="false">SQRT(acc_x^2+acc_z^2)</f>
        <v>10.1463803658636</v>
      </c>
      <c r="G311" s="396" t="n">
        <f aca="false">G310+acc_x*pas</f>
        <v>22.5950315157209</v>
      </c>
      <c r="H311" s="398" t="n">
        <f aca="false">H310+acc_z*pas</f>
        <v>20.7002433797732</v>
      </c>
      <c r="I311" s="397" t="n">
        <f aca="false">SQRT(vit_x^2+vit_z^2)</f>
        <v>30.6436865467957</v>
      </c>
      <c r="J311" s="396" t="n">
        <f aca="false">J310+0.5*(vit_x+G310)*pas*(K310&gt;=0)</f>
        <v>339.504216353916</v>
      </c>
      <c r="K311" s="398" t="n">
        <f aca="false">K310+0.5*(vit_z+H310)*pas</f>
        <v>1169.35221333152</v>
      </c>
      <c r="L311" s="397" t="n">
        <f aca="false">SQRT(pos_x^2+pos_z^2)</f>
        <v>1217.64022262136</v>
      </c>
      <c r="M311" s="396" t="n">
        <f aca="false">IF(AND(L310&gt;L_rampe,G311&gt;0),ATAN2(G311,H311),$M$4)</f>
        <v>0.741661755137192</v>
      </c>
      <c r="N311" s="397" t="n">
        <f aca="false">DEGREES(Beta)</f>
        <v>42.4940883956262</v>
      </c>
      <c r="P311" s="399" t="n">
        <f aca="false">MATCH(t-pas/2-T_ini,CdP_t)</f>
        <v>23</v>
      </c>
      <c r="Q311" s="397" t="n">
        <f aca="false">(INDEX(CdP,2,i_P+1)-INDEX(CdP,2,i_P+0))/(INDEX(CdP,1,i_P+1)-INDEX(CdP,1,i_P+0))*(t-pas/2-T_ini-INDEX(CdP,1,i_P+0))+INDEX(CdP,2,i_P+0)</f>
        <v>0</v>
      </c>
      <c r="R311" s="396" t="n">
        <f aca="false">Poussee/(g*ISP)</f>
        <v>0</v>
      </c>
      <c r="S311" s="398" t="n">
        <f aca="false">S310-Débit*pas</f>
        <v>8.45</v>
      </c>
      <c r="T311" s="397" t="n">
        <f aca="false">m*g</f>
        <v>82.8945</v>
      </c>
      <c r="U311" s="400" t="n">
        <f aca="false">IF(pos_xz&lt;L_rampe,Poids*COS(Beta),0)</f>
        <v>0</v>
      </c>
      <c r="V311" s="396" t="n">
        <f aca="false">Rho_moyen*(20000-Alt_rampe-pos_z)/(20000+Alt_rampe+pos_z)</f>
        <v>1.08966695372672</v>
      </c>
      <c r="W311" s="397" t="n">
        <f aca="false">1/2*Rho*Sref*Cx*vit_xz^2</f>
        <v>3.85037784462053</v>
      </c>
      <c r="Y311" s="401" t="str">
        <f aca="false">IF(AND(pos_z&lt;=0,K310&gt;0),"Impact balistique","") &amp; IF(AND(H312&lt;0,vit_z&gt;=0),"Apogée","") &amp; IF(AND(Poussee=0,Q310&gt;0),"Fin de propulsion","") &amp; IF(AND(L312&gt;L_rampe,pos_xz&lt;=L_rampe),"Sortie de rampe","")</f>
        <v/>
      </c>
      <c r="Z311" s="402" t="str">
        <f aca="false">IF(ABS(t-T_para)&lt;pas/2,"Para","")</f>
        <v/>
      </c>
      <c r="AA311" s="403" t="str">
        <f aca="false">IF(ABS(t-T_satellite)&lt;pas/2,"Satellite","")</f>
        <v/>
      </c>
      <c r="AC311" s="399" t="e">
        <f aca="false">IF(ABS(t-ROUND(t,0))&lt;0.001,t,NA())</f>
        <v>#N/A</v>
      </c>
      <c r="AD311" s="404" t="e">
        <f aca="false">IF(ABS(t-ROUND(t,0))&lt;0.001,pos_x,NA())</f>
        <v>#N/A</v>
      </c>
      <c r="AE311" s="405" t="n">
        <f aca="false">IF(t&lt;T_para, pos_z, NA())</f>
        <v>1169.35221333152</v>
      </c>
      <c r="AG311" s="396" t="n">
        <f aca="false">IF(AND(L310&lt;L_rampe,Poussee&lt;Poids*SIN(M310)),0,(-W310+Poussee)/m-Poids*SIN(M310)/m)</f>
        <v>-7.26950330320954</v>
      </c>
      <c r="AH311" s="397" t="n">
        <f aca="false">IF(AND(L310&lt;L_rampe,Poussee&lt;Poids*SIN(M310)), g*SIN(M310), (-W310+Poussee)/m)</f>
        <v>-0.477394371030079</v>
      </c>
    </row>
    <row r="312" customFormat="false" ht="12.75" hidden="false" customHeight="false" outlineLevel="0" collapsed="false">
      <c r="A312" s="396" t="n">
        <f aca="false">IF(B311+0.01&lt;=T_ini+ROUNDUP(Temps_fin_propu,0), 0.01, IF(K311&gt;0, 0.1, 0.0001))</f>
        <v>0.1</v>
      </c>
      <c r="B312" s="397" t="n">
        <f aca="false">B311+pas</f>
        <v>12.8</v>
      </c>
      <c r="D312" s="396" t="n">
        <f aca="false">IF(AND(L311&lt;L_rampe,Poussee&lt;Poids*SIN(M311)),0,(-W311+Poussee)/m*COS(M311)-U311/m*SIN(M311))</f>
        <v>-0.33598398814159</v>
      </c>
      <c r="E312" s="398" t="n">
        <f aca="false">IF(AND(L311&lt;L_rampe,Poussee&lt;Poids*SIN(M311)),0,(-W311+Poussee)/m*SIN(M311)+U311/m*COS(M311)-Poids/m)</f>
        <v>-10.1178088349378</v>
      </c>
      <c r="F312" s="397" t="n">
        <f aca="false">SQRT(acc_x^2+acc_z^2)</f>
        <v>10.123385839759</v>
      </c>
      <c r="G312" s="396" t="n">
        <f aca="false">G311+acc_x*pas</f>
        <v>22.5614331169068</v>
      </c>
      <c r="H312" s="398" t="n">
        <f aca="false">H311+acc_z*pas</f>
        <v>19.6884624962794</v>
      </c>
      <c r="I312" s="397" t="n">
        <f aca="false">SQRT(vit_x^2+vit_z^2)</f>
        <v>29.9441783950747</v>
      </c>
      <c r="J312" s="396" t="n">
        <f aca="false">J311+0.5*(vit_x+G311)*pas*(K311&gt;=0)</f>
        <v>341.762039585548</v>
      </c>
      <c r="K312" s="398" t="n">
        <f aca="false">K311+0.5*(vit_z+H311)*pas</f>
        <v>1171.37164862532</v>
      </c>
      <c r="L312" s="397" t="n">
        <f aca="false">SQRT(pos_x^2+pos_z^2)</f>
        <v>1220.21015849929</v>
      </c>
      <c r="M312" s="396" t="n">
        <f aca="false">IF(AND(L311&gt;L_rampe,G312&gt;0),ATAN2(G312,H312),$M$4)</f>
        <v>0.71750320917099</v>
      </c>
      <c r="N312" s="397" t="n">
        <f aca="false">DEGREES(Beta)</f>
        <v>41.10990567259</v>
      </c>
      <c r="P312" s="399" t="n">
        <f aca="false">MATCH(t-pas/2-T_ini,CdP_t)</f>
        <v>23</v>
      </c>
      <c r="Q312" s="397" t="n">
        <f aca="false">(INDEX(CdP,2,i_P+1)-INDEX(CdP,2,i_P+0))/(INDEX(CdP,1,i_P+1)-INDEX(CdP,1,i_P+0))*(t-pas/2-T_ini-INDEX(CdP,1,i_P+0))+INDEX(CdP,2,i_P+0)</f>
        <v>0</v>
      </c>
      <c r="R312" s="396" t="n">
        <f aca="false">Poussee/(g*ISP)</f>
        <v>0</v>
      </c>
      <c r="S312" s="398" t="n">
        <f aca="false">S311-Débit*pas</f>
        <v>8.45</v>
      </c>
      <c r="T312" s="397" t="n">
        <f aca="false">m*g</f>
        <v>82.8945</v>
      </c>
      <c r="U312" s="400" t="n">
        <f aca="false">IF(pos_xz&lt;L_rampe,Poids*COS(Beta),0)</f>
        <v>0</v>
      </c>
      <c r="V312" s="396" t="n">
        <f aca="false">Rho_moyen*(20000-Alt_rampe-pos_z)/(20000+Alt_rampe+pos_z)</f>
        <v>1.08944616878102</v>
      </c>
      <c r="W312" s="397" t="n">
        <f aca="false">1/2*Rho*Sref*Cx*vit_xz^2</f>
        <v>3.67585291864001</v>
      </c>
      <c r="Y312" s="401" t="str">
        <f aca="false">IF(AND(pos_z&lt;=0,K311&gt;0),"Impact balistique","") &amp; IF(AND(H313&lt;0,vit_z&gt;=0),"Apogée","") &amp; IF(AND(Poussee=0,Q311&gt;0),"Fin de propulsion","") &amp; IF(AND(L313&gt;L_rampe,pos_xz&lt;=L_rampe),"Sortie de rampe","")</f>
        <v/>
      </c>
      <c r="Z312" s="402" t="str">
        <f aca="false">IF(ABS(t-T_para)&lt;pas/2,"Para","")</f>
        <v/>
      </c>
      <c r="AA312" s="403" t="str">
        <f aca="false">IF(ABS(t-T_satellite)&lt;pas/2,"Satellite","")</f>
        <v/>
      </c>
      <c r="AC312" s="399" t="e">
        <f aca="false">IF(ABS(t-ROUND(t,0))&lt;0.001,t,NA())</f>
        <v>#N/A</v>
      </c>
      <c r="AD312" s="404" t="e">
        <f aca="false">IF(ABS(t-ROUND(t,0))&lt;0.001,pos_x,NA())</f>
        <v>#N/A</v>
      </c>
      <c r="AE312" s="405" t="n">
        <f aca="false">IF(t&lt;T_para, pos_z, NA())</f>
        <v>1171.37164862532</v>
      </c>
      <c r="AG312" s="396" t="n">
        <f aca="false">IF(AND(L311&lt;L_rampe,Poussee&lt;Poids*SIN(M311)),0,(-W311+Poussee)/m-Poids*SIN(M311)/m)</f>
        <v>-7.08245967150986</v>
      </c>
      <c r="AH312" s="397" t="n">
        <f aca="false">IF(AND(L311&lt;L_rampe,Poussee&lt;Poids*SIN(M311)), g*SIN(M311), (-W311+Poussee)/m)</f>
        <v>-0.455666017114856</v>
      </c>
    </row>
    <row r="313" customFormat="false" ht="12.75" hidden="false" customHeight="false" outlineLevel="0" collapsed="false">
      <c r="A313" s="396" t="n">
        <f aca="false">IF(B312+0.01&lt;=T_ini+ROUNDUP(Temps_fin_propu,0), 0.01, IF(K312&gt;0, 0.1, 0.0001))</f>
        <v>0.1</v>
      </c>
      <c r="B313" s="397" t="n">
        <f aca="false">B312+pas</f>
        <v>12.9</v>
      </c>
      <c r="D313" s="396" t="n">
        <f aca="false">IF(AND(L312&lt;L_rampe,Poussee&lt;Poids*SIN(M312)),0,(-W312+Poussee)/m*COS(M312)-U312/m*SIN(M312))</f>
        <v>-0.327759809212965</v>
      </c>
      <c r="E313" s="398" t="n">
        <f aca="false">IF(AND(L312&lt;L_rampe,Poussee&lt;Poids*SIN(M312)),0,(-W312+Poussee)/m*SIN(M312)+U312/m*COS(M312)-Poids/m)</f>
        <v>-10.0960229081211</v>
      </c>
      <c r="F313" s="397" t="n">
        <f aca="false">SQRT(acc_x^2+acc_z^2)</f>
        <v>10.1013417452258</v>
      </c>
      <c r="G313" s="396" t="n">
        <f aca="false">G312+acc_x*pas</f>
        <v>22.5286571359855</v>
      </c>
      <c r="H313" s="398" t="n">
        <f aca="false">H312+acc_z*pas</f>
        <v>18.6788602054673</v>
      </c>
      <c r="I313" s="397" t="n">
        <f aca="false">SQRT(vit_x^2+vit_z^2)</f>
        <v>29.2649997595452</v>
      </c>
      <c r="J313" s="396" t="n">
        <f aca="false">J312+0.5*(vit_x+G312)*pas*(K312&gt;=0)</f>
        <v>344.016544098192</v>
      </c>
      <c r="K313" s="398" t="n">
        <f aca="false">K312+0.5*(vit_z+H312)*pas</f>
        <v>1173.29001476041</v>
      </c>
      <c r="L313" s="397" t="n">
        <f aca="false">SQRT(pos_x^2+pos_z^2)</f>
        <v>1222.68427705182</v>
      </c>
      <c r="M313" s="396" t="n">
        <f aca="false">IF(AND(L312&gt;L_rampe,G313&gt;0),ATAN2(G313,H313),$M$4)</f>
        <v>0.692243930333798</v>
      </c>
      <c r="N313" s="397" t="n">
        <f aca="false">DEGREES(Beta)</f>
        <v>39.6626556016748</v>
      </c>
      <c r="P313" s="399" t="n">
        <f aca="false">MATCH(t-pas/2-T_ini,CdP_t)</f>
        <v>23</v>
      </c>
      <c r="Q313" s="397" t="n">
        <f aca="false">(INDEX(CdP,2,i_P+1)-INDEX(CdP,2,i_P+0))/(INDEX(CdP,1,i_P+1)-INDEX(CdP,1,i_P+0))*(t-pas/2-T_ini-INDEX(CdP,1,i_P+0))+INDEX(CdP,2,i_P+0)</f>
        <v>0</v>
      </c>
      <c r="R313" s="396" t="n">
        <f aca="false">Poussee/(g*ISP)</f>
        <v>0</v>
      </c>
      <c r="S313" s="398" t="n">
        <f aca="false">S312-Débit*pas</f>
        <v>8.45</v>
      </c>
      <c r="T313" s="397" t="n">
        <f aca="false">m*g</f>
        <v>82.8945</v>
      </c>
      <c r="U313" s="400" t="n">
        <f aca="false">IF(pos_xz&lt;L_rampe,Poids*COS(Beta),0)</f>
        <v>0</v>
      </c>
      <c r="V313" s="396" t="n">
        <f aca="false">Rho_moyen*(20000-Alt_rampe-pos_z)/(20000+Alt_rampe+pos_z)</f>
        <v>1.08923647273716</v>
      </c>
      <c r="W313" s="397" t="n">
        <f aca="false">1/2*Rho*Sref*Cx*vit_xz^2</f>
        <v>3.51032051127372</v>
      </c>
      <c r="Y313" s="401" t="str">
        <f aca="false">IF(AND(pos_z&lt;=0,K312&gt;0),"Impact balistique","") &amp; IF(AND(H314&lt;0,vit_z&gt;=0),"Apogée","") &amp; IF(AND(Poussee=0,Q312&gt;0),"Fin de propulsion","") &amp; IF(AND(L314&gt;L_rampe,pos_xz&lt;=L_rampe),"Sortie de rampe","")</f>
        <v/>
      </c>
      <c r="Z313" s="402" t="str">
        <f aca="false">IF(ABS(t-T_para)&lt;pas/2,"Para","")</f>
        <v/>
      </c>
      <c r="AA313" s="403" t="str">
        <f aca="false">IF(ABS(t-T_satellite)&lt;pas/2,"Satellite","")</f>
        <v/>
      </c>
      <c r="AC313" s="399" t="e">
        <f aca="false">IF(ABS(t-ROUND(t,0))&lt;0.001,t,NA())</f>
        <v>#N/A</v>
      </c>
      <c r="AD313" s="404" t="e">
        <f aca="false">IF(ABS(t-ROUND(t,0))&lt;0.001,pos_x,NA())</f>
        <v>#N/A</v>
      </c>
      <c r="AE313" s="405" t="n">
        <f aca="false">IF(t&lt;T_para, pos_z, NA())</f>
        <v>1173.29001476041</v>
      </c>
      <c r="AG313" s="396" t="n">
        <f aca="false">IF(AND(L312&lt;L_rampe,Poussee&lt;Poids*SIN(M312)),0,(-W312+Poussee)/m-Poids*SIN(M312)/m)</f>
        <v>-6.88514130132219</v>
      </c>
      <c r="AH313" s="397" t="n">
        <f aca="false">IF(AND(L312&lt;L_rampe,Poussee&lt;Poids*SIN(M312)), g*SIN(M312), (-W312+Poussee)/m)</f>
        <v>-0.435012179720712</v>
      </c>
    </row>
    <row r="314" customFormat="false" ht="12.75" hidden="false" customHeight="false" outlineLevel="0" collapsed="false">
      <c r="A314" s="396" t="n">
        <f aca="false">IF(B313+0.01&lt;=T_ini+ROUNDUP(Temps_fin_propu,0), 0.01, IF(K313&gt;0, 0.1, 0.0001))</f>
        <v>0.1</v>
      </c>
      <c r="B314" s="397" t="n">
        <f aca="false">B313+pas</f>
        <v>13</v>
      </c>
      <c r="D314" s="396" t="n">
        <f aca="false">IF(AND(L313&lt;L_rampe,Poussee&lt;Poids*SIN(M313)),0,(-W313+Poussee)/m*COS(M313)-U313/m*SIN(M313))</f>
        <v>-0.319798810039999</v>
      </c>
      <c r="E314" s="398" t="n">
        <f aca="false">IF(AND(L313&lt;L_rampe,Poussee&lt;Poids*SIN(M313)),0,(-W313+Poussee)/m*SIN(M313)+U313/m*COS(M313)-Poids/m)</f>
        <v>-10.0751501698728</v>
      </c>
      <c r="F314" s="397" t="n">
        <f aca="false">SQRT(acc_x^2+acc_z^2)</f>
        <v>10.0802243141902</v>
      </c>
      <c r="G314" s="396" t="n">
        <f aca="false">G313+acc_x*pas</f>
        <v>22.4966772549815</v>
      </c>
      <c r="H314" s="398" t="n">
        <f aca="false">H313+acc_z*pas</f>
        <v>17.67134518848</v>
      </c>
      <c r="I314" s="397" t="n">
        <f aca="false">SQRT(vit_x^2+vit_z^2)</f>
        <v>28.6072880274453</v>
      </c>
      <c r="J314" s="396" t="n">
        <f aca="false">J313+0.5*(vit_x+G313)*pas*(K313&gt;=0)</f>
        <v>346.267810817741</v>
      </c>
      <c r="K314" s="398" t="n">
        <f aca="false">K313+0.5*(vit_z+H313)*pas</f>
        <v>1175.1075250301</v>
      </c>
      <c r="L314" s="397" t="n">
        <f aca="false">SQRT(pos_x^2+pos_z^2)</f>
        <v>1225.06289315728</v>
      </c>
      <c r="M314" s="396" t="n">
        <f aca="false">IF(AND(L313&gt;L_rampe,G314&gt;0),ATAN2(G314,H314),$M$4)</f>
        <v>0.665842372447809</v>
      </c>
      <c r="N314" s="397" t="n">
        <f aca="false">DEGREES(Beta)</f>
        <v>38.1499577622373</v>
      </c>
      <c r="P314" s="399" t="n">
        <f aca="false">MATCH(t-pas/2-T_ini,CdP_t)</f>
        <v>23</v>
      </c>
      <c r="Q314" s="397" t="n">
        <f aca="false">(INDEX(CdP,2,i_P+1)-INDEX(CdP,2,i_P+0))/(INDEX(CdP,1,i_P+1)-INDEX(CdP,1,i_P+0))*(t-pas/2-T_ini-INDEX(CdP,1,i_P+0))+INDEX(CdP,2,i_P+0)</f>
        <v>0</v>
      </c>
      <c r="R314" s="396" t="n">
        <f aca="false">Poussee/(g*ISP)</f>
        <v>0</v>
      </c>
      <c r="S314" s="398" t="n">
        <f aca="false">S313-Débit*pas</f>
        <v>8.45</v>
      </c>
      <c r="T314" s="397" t="n">
        <f aca="false">m*g</f>
        <v>82.8945</v>
      </c>
      <c r="U314" s="400" t="n">
        <f aca="false">IF(pos_xz&lt;L_rampe,Poids*COS(Beta),0)</f>
        <v>0</v>
      </c>
      <c r="V314" s="396" t="n">
        <f aca="false">Rho_moyen*(20000-Alt_rampe-pos_z)/(20000+Alt_rampe+pos_z)</f>
        <v>1.08903783626975</v>
      </c>
      <c r="W314" s="397" t="n">
        <f aca="false">1/2*Rho*Sref*Cx*vit_xz^2</f>
        <v>3.35369754300624</v>
      </c>
      <c r="Y314" s="401" t="str">
        <f aca="false">IF(AND(pos_z&lt;=0,K313&gt;0),"Impact balistique","") &amp; IF(AND(H315&lt;0,vit_z&gt;=0),"Apogée","") &amp; IF(AND(Poussee=0,Q313&gt;0),"Fin de propulsion","") &amp; IF(AND(L315&gt;L_rampe,pos_xz&lt;=L_rampe),"Sortie de rampe","")</f>
        <v/>
      </c>
      <c r="Z314" s="402" t="str">
        <f aca="false">IF(ABS(t-T_para)&lt;pas/2,"Para","")</f>
        <v/>
      </c>
      <c r="AA314" s="403" t="str">
        <f aca="false">IF(ABS(t-T_satellite)&lt;pas/2,"Satellite","")</f>
        <v/>
      </c>
      <c r="AC314" s="399" t="n">
        <f aca="false">IF(ABS(t-ROUND(t,0))&lt;0.001,t,NA())</f>
        <v>13</v>
      </c>
      <c r="AD314" s="404" t="n">
        <f aca="false">IF(ABS(t-ROUND(t,0))&lt;0.001,pos_x,NA())</f>
        <v>346.267810817741</v>
      </c>
      <c r="AE314" s="405" t="n">
        <f aca="false">IF(t&lt;T_para, pos_z, NA())</f>
        <v>1175.1075250301</v>
      </c>
      <c r="AG314" s="396" t="n">
        <f aca="false">IF(AND(L313&lt;L_rampe,Poussee&lt;Poids*SIN(M313)),0,(-W313+Poussee)/m-Poids*SIN(M313)/m)</f>
        <v>-6.67681397305666</v>
      </c>
      <c r="AH314" s="397" t="n">
        <f aca="false">IF(AND(L313&lt;L_rampe,Poussee&lt;Poids*SIN(M313)), g*SIN(M313), (-W313+Poussee)/m)</f>
        <v>-0.415422545712866</v>
      </c>
    </row>
    <row r="315" customFormat="false" ht="12.75" hidden="false" customHeight="false" outlineLevel="0" collapsed="false">
      <c r="A315" s="396" t="n">
        <f aca="false">IF(B314+0.01&lt;=T_ini+ROUNDUP(Temps_fin_propu,0), 0.01, IF(K314&gt;0, 0.1, 0.0001))</f>
        <v>0.1</v>
      </c>
      <c r="B315" s="397" t="n">
        <f aca="false">B314+pas</f>
        <v>13.1</v>
      </c>
      <c r="D315" s="396" t="n">
        <f aca="false">IF(AND(L314&lt;L_rampe,Poussee&lt;Poids*SIN(M314)),0,(-W314+Poussee)/m*COS(M314)-U314/m*SIN(M314))</f>
        <v>-0.312110854692027</v>
      </c>
      <c r="E315" s="398" t="n">
        <f aca="false">IF(AND(L314&lt;L_rampe,Poussee&lt;Poids*SIN(M314)),0,(-W314+Poussee)/m*SIN(M314)+U314/m*COS(M314)-Poids/m)</f>
        <v>-10.0551659232971</v>
      </c>
      <c r="F315" s="397" t="n">
        <f aca="false">SQRT(acc_x^2+acc_z^2)</f>
        <v>10.0600086943626</v>
      </c>
      <c r="G315" s="396" t="n">
        <f aca="false">G314+acc_x*pas</f>
        <v>22.4654661695123</v>
      </c>
      <c r="H315" s="398" t="n">
        <f aca="false">H314+acc_z*pas</f>
        <v>16.6658285961503</v>
      </c>
      <c r="I315" s="397" t="n">
        <f aca="false">SQRT(vit_x^2+vit_z^2)</f>
        <v>27.9722543426475</v>
      </c>
      <c r="J315" s="396" t="n">
        <f aca="false">J314+0.5*(vit_x+G314)*pas*(K314&gt;=0)</f>
        <v>348.515917988965</v>
      </c>
      <c r="K315" s="398" t="n">
        <f aca="false">K314+0.5*(vit_z+H314)*pas</f>
        <v>1176.82438371933</v>
      </c>
      <c r="L315" s="397" t="n">
        <f aca="false">SQRT(pos_x^2+pos_z^2)</f>
        <v>1227.34631429278</v>
      </c>
      <c r="M315" s="396" t="n">
        <f aca="false">IF(AND(L314&gt;L_rampe,G315&gt;0),ATAN2(G315,H315),$M$4)</f>
        <v>0.638259575724709</v>
      </c>
      <c r="N315" s="397" t="n">
        <f aca="false">DEGREES(Beta)</f>
        <v>36.5695799228364</v>
      </c>
      <c r="P315" s="399" t="n">
        <f aca="false">MATCH(t-pas/2-T_ini,CdP_t)</f>
        <v>23</v>
      </c>
      <c r="Q315" s="397" t="n">
        <f aca="false">(INDEX(CdP,2,i_P+1)-INDEX(CdP,2,i_P+0))/(INDEX(CdP,1,i_P+1)-INDEX(CdP,1,i_P+0))*(t-pas/2-T_ini-INDEX(CdP,1,i_P+0))+INDEX(CdP,2,i_P+0)</f>
        <v>0</v>
      </c>
      <c r="R315" s="396" t="n">
        <f aca="false">Poussee/(g*ISP)</f>
        <v>0</v>
      </c>
      <c r="S315" s="398" t="n">
        <f aca="false">S314-Débit*pas</f>
        <v>8.45</v>
      </c>
      <c r="T315" s="397" t="n">
        <f aca="false">m*g</f>
        <v>82.8945</v>
      </c>
      <c r="U315" s="400" t="n">
        <f aca="false">IF(pos_xz&lt;L_rampe,Poids*COS(Beta),0)</f>
        <v>0</v>
      </c>
      <c r="V315" s="396" t="n">
        <f aca="false">Rho_moyen*(20000-Alt_rampe-pos_z)/(20000+Alt_rampe+pos_z)</f>
        <v>1.08885023137232</v>
      </c>
      <c r="W315" s="397" t="n">
        <f aca="false">1/2*Rho*Sref*Cx*vit_xz^2</f>
        <v>3.20590487230038</v>
      </c>
      <c r="Y315" s="401" t="str">
        <f aca="false">IF(AND(pos_z&lt;=0,K314&gt;0),"Impact balistique","") &amp; IF(AND(H316&lt;0,vit_z&gt;=0),"Apogée","") &amp; IF(AND(Poussee=0,Q314&gt;0),"Fin de propulsion","") &amp; IF(AND(L316&gt;L_rampe,pos_xz&lt;=L_rampe),"Sortie de rampe","")</f>
        <v/>
      </c>
      <c r="Z315" s="402" t="str">
        <f aca="false">IF(ABS(t-T_para)&lt;pas/2,"Para","")</f>
        <v/>
      </c>
      <c r="AA315" s="403" t="str">
        <f aca="false">IF(ABS(t-T_satellite)&lt;pas/2,"Satellite","")</f>
        <v/>
      </c>
      <c r="AC315" s="399" t="e">
        <f aca="false">IF(ABS(t-ROUND(t,0))&lt;0.001,t,NA())</f>
        <v>#N/A</v>
      </c>
      <c r="AD315" s="404" t="e">
        <f aca="false">IF(ABS(t-ROUND(t,0))&lt;0.001,pos_x,NA())</f>
        <v>#N/A</v>
      </c>
      <c r="AE315" s="405" t="n">
        <f aca="false">IF(t&lt;T_para, pos_z, NA())</f>
        <v>1176.82438371933</v>
      </c>
      <c r="AG315" s="396" t="n">
        <f aca="false">IF(AND(L314&lt;L_rampe,Poussee&lt;Poids*SIN(M314)),0,(-W314+Poussee)/m-Poids*SIN(M314)/m)</f>
        <v>-6.45673805033879</v>
      </c>
      <c r="AH315" s="397" t="n">
        <f aca="false">IF(AND(L314&lt;L_rampe,Poussee&lt;Poids*SIN(M314)), g*SIN(M314), (-W314+Poussee)/m)</f>
        <v>-0.396887283196005</v>
      </c>
    </row>
    <row r="316" customFormat="false" ht="12.75" hidden="false" customHeight="false" outlineLevel="0" collapsed="false">
      <c r="A316" s="396" t="n">
        <f aca="false">IF(B315+0.01&lt;=T_ini+ROUNDUP(Temps_fin_propu,0), 0.01, IF(K315&gt;0, 0.1, 0.0001))</f>
        <v>0.1</v>
      </c>
      <c r="B316" s="397" t="n">
        <f aca="false">B315+pas</f>
        <v>13.2</v>
      </c>
      <c r="D316" s="396" t="n">
        <f aca="false">IF(AND(L315&lt;L_rampe,Poussee&lt;Poids*SIN(M315)),0,(-W315+Poussee)/m*COS(M315)-U315/m*SIN(M315))</f>
        <v>-0.304706619456661</v>
      </c>
      <c r="E316" s="398" t="n">
        <f aca="false">IF(AND(L315&lt;L_rampe,Poussee&lt;Poids*SIN(M315)),0,(-W315+Poussee)/m*SIN(M315)+U315/m*COS(M315)-Poids/m)</f>
        <v>-10.0360441984003</v>
      </c>
      <c r="F316" s="397" t="n">
        <f aca="false">SQRT(acc_x^2+acc_z^2)</f>
        <v>10.0406687663813</v>
      </c>
      <c r="G316" s="396" t="n">
        <f aca="false">G315+acc_x*pas</f>
        <v>22.4349955075666</v>
      </c>
      <c r="H316" s="398" t="n">
        <f aca="false">H315+acc_z*pas</f>
        <v>15.6622241763103</v>
      </c>
      <c r="I316" s="397" t="n">
        <f aca="false">SQRT(vit_x^2+vit_z^2)</f>
        <v>27.3611821669593</v>
      </c>
      <c r="J316" s="396" t="n">
        <f aca="false">J315+0.5*(vit_x+G315)*pas*(K315&gt;=0)</f>
        <v>350.760941072819</v>
      </c>
      <c r="K316" s="398" t="n">
        <f aca="false">K315+0.5*(vit_z+H315)*pas</f>
        <v>1178.44078635796</v>
      </c>
      <c r="L316" s="397" t="n">
        <f aca="false">SQRT(pos_x^2+pos_z^2)</f>
        <v>1229.53484079722</v>
      </c>
      <c r="M316" s="396" t="n">
        <f aca="false">IF(AND(L315&gt;L_rampe,G316&gt;0),ATAN2(G316,H316),$M$4)</f>
        <v>0.609460261137549</v>
      </c>
      <c r="N316" s="397" t="n">
        <f aca="false">DEGREES(Beta)</f>
        <v>34.9195007441226</v>
      </c>
      <c r="P316" s="399" t="n">
        <f aca="false">MATCH(t-pas/2-T_ini,CdP_t)</f>
        <v>23</v>
      </c>
      <c r="Q316" s="397" t="n">
        <f aca="false">(INDEX(CdP,2,i_P+1)-INDEX(CdP,2,i_P+0))/(INDEX(CdP,1,i_P+1)-INDEX(CdP,1,i_P+0))*(t-pas/2-T_ini-INDEX(CdP,1,i_P+0))+INDEX(CdP,2,i_P+0)</f>
        <v>0</v>
      </c>
      <c r="R316" s="396" t="n">
        <f aca="false">Poussee/(g*ISP)</f>
        <v>0</v>
      </c>
      <c r="S316" s="398" t="n">
        <f aca="false">S315-Débit*pas</f>
        <v>8.45</v>
      </c>
      <c r="T316" s="397" t="n">
        <f aca="false">m*g</f>
        <v>82.8945</v>
      </c>
      <c r="U316" s="400" t="n">
        <f aca="false">IF(pos_xz&lt;L_rampe,Poids*COS(Beta),0)</f>
        <v>0</v>
      </c>
      <c r="V316" s="396" t="n">
        <f aca="false">Rho_moyen*(20000-Alt_rampe-pos_z)/(20000+Alt_rampe+pos_z)</f>
        <v>1.08867363132621</v>
      </c>
      <c r="W316" s="397" t="n">
        <f aca="false">1/2*Rho*Sref*Cx*vit_xz^2</f>
        <v>3.06686716636104</v>
      </c>
      <c r="Y316" s="401" t="str">
        <f aca="false">IF(AND(pos_z&lt;=0,K315&gt;0),"Impact balistique","") &amp; IF(AND(H317&lt;0,vit_z&gt;=0),"Apogée","") &amp; IF(AND(Poussee=0,Q315&gt;0),"Fin de propulsion","") &amp; IF(AND(L317&gt;L_rampe,pos_xz&lt;=L_rampe),"Sortie de rampe","")</f>
        <v/>
      </c>
      <c r="Z316" s="402" t="str">
        <f aca="false">IF(ABS(t-T_para)&lt;pas/2,"Para","")</f>
        <v/>
      </c>
      <c r="AA316" s="403" t="str">
        <f aca="false">IF(ABS(t-T_satellite)&lt;pas/2,"Satellite","")</f>
        <v/>
      </c>
      <c r="AC316" s="399" t="e">
        <f aca="false">IF(ABS(t-ROUND(t,0))&lt;0.001,t,NA())</f>
        <v>#N/A</v>
      </c>
      <c r="AD316" s="404" t="e">
        <f aca="false">IF(ABS(t-ROUND(t,0))&lt;0.001,pos_x,NA())</f>
        <v>#N/A</v>
      </c>
      <c r="AE316" s="405" t="n">
        <f aca="false">IF(t&lt;T_para, pos_z, NA())</f>
        <v>1178.44078635796</v>
      </c>
      <c r="AG316" s="396" t="n">
        <f aca="false">IF(AND(L315&lt;L_rampe,Poussee&lt;Poids*SIN(M315)),0,(-W315+Poussee)/m-Poids*SIN(M315)/m)</f>
        <v>-6.22418080832023</v>
      </c>
      <c r="AH316" s="397" t="n">
        <f aca="false">IF(AND(L315&lt;L_rampe,Poussee&lt;Poids*SIN(M315)), g*SIN(M315), (-W315+Poussee)/m)</f>
        <v>-0.379397026307737</v>
      </c>
    </row>
    <row r="317" customFormat="false" ht="12.75" hidden="false" customHeight="false" outlineLevel="0" collapsed="false">
      <c r="A317" s="396" t="n">
        <f aca="false">IF(B316+0.01&lt;=T_ini+ROUNDUP(Temps_fin_propu,0), 0.01, IF(K316&gt;0, 0.1, 0.0001))</f>
        <v>0.1</v>
      </c>
      <c r="B317" s="397" t="n">
        <f aca="false">B316+pas</f>
        <v>13.3</v>
      </c>
      <c r="D317" s="396" t="n">
        <f aca="false">IF(AND(L316&lt;L_rampe,Poussee&lt;Poids*SIN(M316)),0,(-W316+Poussee)/m*COS(M316)-U316/m*SIN(M316))</f>
        <v>-0.297597573899411</v>
      </c>
      <c r="E317" s="398" t="n">
        <f aca="false">IF(AND(L316&lt;L_rampe,Poussee&lt;Poids*SIN(M316)),0,(-W316+Poussee)/m*SIN(M316)+U316/m*COS(M316)-Poids/m)</f>
        <v>-10.01775755962</v>
      </c>
      <c r="F317" s="397" t="n">
        <f aca="false">SQRT(acc_x^2+acc_z^2)</f>
        <v>10.0221769511077</v>
      </c>
      <c r="G317" s="396" t="n">
        <f aca="false">G316+acc_x*pas</f>
        <v>22.4052357501767</v>
      </c>
      <c r="H317" s="398" t="n">
        <f aca="false">H316+acc_z*pas</f>
        <v>14.6604484203483</v>
      </c>
      <c r="I317" s="397" t="n">
        <f aca="false">SQRT(vit_x^2+vit_z^2)</f>
        <v>26.7754241218825</v>
      </c>
      <c r="J317" s="396" t="n">
        <f aca="false">J316+0.5*(vit_x+G316)*pas*(K316&gt;=0)</f>
        <v>353.002952635706</v>
      </c>
      <c r="K317" s="398" t="n">
        <f aca="false">K316+0.5*(vit_z+H316)*pas</f>
        <v>1179.95691998779</v>
      </c>
      <c r="L317" s="397" t="n">
        <f aca="false">SQRT(pos_x^2+pos_z^2)</f>
        <v>1231.6287661453</v>
      </c>
      <c r="M317" s="396" t="n">
        <f aca="false">IF(AND(L316&gt;L_rampe,G317&gt;0),ATAN2(G317,H317),$M$4)</f>
        <v>0.57941409081856</v>
      </c>
      <c r="N317" s="397" t="n">
        <f aca="false">DEGREES(Beta)</f>
        <v>33.1979819943132</v>
      </c>
      <c r="P317" s="399" t="n">
        <f aca="false">MATCH(t-pas/2-T_ini,CdP_t)</f>
        <v>23</v>
      </c>
      <c r="Q317" s="397" t="n">
        <f aca="false">(INDEX(CdP,2,i_P+1)-INDEX(CdP,2,i_P+0))/(INDEX(CdP,1,i_P+1)-INDEX(CdP,1,i_P+0))*(t-pas/2-T_ini-INDEX(CdP,1,i_P+0))+INDEX(CdP,2,i_P+0)</f>
        <v>0</v>
      </c>
      <c r="R317" s="396" t="n">
        <f aca="false">Poussee/(g*ISP)</f>
        <v>0</v>
      </c>
      <c r="S317" s="398" t="n">
        <f aca="false">S316-Débit*pas</f>
        <v>8.45</v>
      </c>
      <c r="T317" s="397" t="n">
        <f aca="false">m*g</f>
        <v>82.8945</v>
      </c>
      <c r="U317" s="400" t="n">
        <f aca="false">IF(pos_xz&lt;L_rampe,Poids*COS(Beta),0)</f>
        <v>0</v>
      </c>
      <c r="V317" s="396" t="n">
        <f aca="false">Rho_moyen*(20000-Alt_rampe-pos_z)/(20000+Alt_rampe+pos_z)</f>
        <v>1.08850801066824</v>
      </c>
      <c r="W317" s="397" t="n">
        <f aca="false">1/2*Rho*Sref*Cx*vit_xz^2</f>
        <v>2.93651277043729</v>
      </c>
      <c r="Y317" s="401" t="str">
        <f aca="false">IF(AND(pos_z&lt;=0,K316&gt;0),"Impact balistique","") &amp; IF(AND(H318&lt;0,vit_z&gt;=0),"Apogée","") &amp; IF(AND(Poussee=0,Q316&gt;0),"Fin de propulsion","") &amp; IF(AND(L318&gt;L_rampe,pos_xz&lt;=L_rampe),"Sortie de rampe","")</f>
        <v/>
      </c>
      <c r="Z317" s="402" t="str">
        <f aca="false">IF(ABS(t-T_para)&lt;pas/2,"Para","")</f>
        <v/>
      </c>
      <c r="AA317" s="403" t="str">
        <f aca="false">IF(ABS(t-T_satellite)&lt;pas/2,"Satellite","")</f>
        <v/>
      </c>
      <c r="AC317" s="399" t="e">
        <f aca="false">IF(ABS(t-ROUND(t,0))&lt;0.001,t,NA())</f>
        <v>#N/A</v>
      </c>
      <c r="AD317" s="404" t="e">
        <f aca="false">IF(ABS(t-ROUND(t,0))&lt;0.001,pos_x,NA())</f>
        <v>#N/A</v>
      </c>
      <c r="AE317" s="405" t="n">
        <f aca="false">IF(t&lt;T_para, pos_z, NA())</f>
        <v>1179.95691998779</v>
      </c>
      <c r="AG317" s="396" t="n">
        <f aca="false">IF(AND(L316&lt;L_rampe,Poussee&lt;Poids*SIN(M316)),0,(-W316+Poussee)/m-Poids*SIN(M316)/m)</f>
        <v>-5.97843192147318</v>
      </c>
      <c r="AH317" s="397" t="n">
        <f aca="false">IF(AND(L316&lt;L_rampe,Poussee&lt;Poids*SIN(M316)), g*SIN(M316), (-W316+Poussee)/m)</f>
        <v>-0.362942859924384</v>
      </c>
    </row>
    <row r="318" customFormat="false" ht="12.75" hidden="false" customHeight="false" outlineLevel="0" collapsed="false">
      <c r="A318" s="396" t="n">
        <f aca="false">IF(B317+0.01&lt;=T_ini+ROUNDUP(Temps_fin_propu,0), 0.01, IF(K317&gt;0, 0.1, 0.0001))</f>
        <v>0.1</v>
      </c>
      <c r="B318" s="397" t="n">
        <f aca="false">B317+pas</f>
        <v>13.4</v>
      </c>
      <c r="D318" s="396" t="n">
        <f aca="false">IF(AND(L317&lt;L_rampe,Poussee&lt;Poids*SIN(M317)),0,(-W317+Poussee)/m*COS(M317)-U317/m*SIN(M317))</f>
        <v>-0.290795943587986</v>
      </c>
      <c r="E318" s="398" t="n">
        <f aca="false">IF(AND(L317&lt;L_rampe,Poussee&lt;Poids*SIN(M317)),0,(-W317+Poussee)/m*SIN(M317)+U317/m*COS(M317)-Poids/m)</f>
        <v>-10.0002769057801</v>
      </c>
      <c r="F318" s="397" t="n">
        <f aca="false">SQRT(acc_x^2+acc_z^2)</f>
        <v>10.0045040093493</v>
      </c>
      <c r="G318" s="396" t="n">
        <f aca="false">G317+acc_x*pas</f>
        <v>22.3761561558179</v>
      </c>
      <c r="H318" s="398" t="n">
        <f aca="false">H317+acc_z*pas</f>
        <v>13.6604207297703</v>
      </c>
      <c r="I318" s="397" t="n">
        <f aca="false">SQRT(vit_x^2+vit_z^2)</f>
        <v>26.2163967551585</v>
      </c>
      <c r="J318" s="396" t="n">
        <f aca="false">J317+0.5*(vit_x+G317)*pas*(K317&gt;=0)</f>
        <v>355.242022231006</v>
      </c>
      <c r="K318" s="398" t="n">
        <f aca="false">K317+0.5*(vit_z+H317)*pas</f>
        <v>1181.3729634453</v>
      </c>
      <c r="L318" s="397" t="n">
        <f aca="false">SQRT(pos_x^2+pos_z^2)</f>
        <v>1233.62837723453</v>
      </c>
      <c r="M318" s="396" t="n">
        <f aca="false">IF(AND(L317&gt;L_rampe,G318&gt;0),ATAN2(G318,H318),$M$4)</f>
        <v>0.548097090458369</v>
      </c>
      <c r="N318" s="397" t="n">
        <f aca="false">DEGREES(Beta)</f>
        <v>31.4036500466647</v>
      </c>
      <c r="P318" s="399" t="n">
        <f aca="false">MATCH(t-pas/2-T_ini,CdP_t)</f>
        <v>23</v>
      </c>
      <c r="Q318" s="397" t="n">
        <f aca="false">(INDEX(CdP,2,i_P+1)-INDEX(CdP,2,i_P+0))/(INDEX(CdP,1,i_P+1)-INDEX(CdP,1,i_P+0))*(t-pas/2-T_ini-INDEX(CdP,1,i_P+0))+INDEX(CdP,2,i_P+0)</f>
        <v>0</v>
      </c>
      <c r="R318" s="396" t="n">
        <f aca="false">Poussee/(g*ISP)</f>
        <v>0</v>
      </c>
      <c r="S318" s="398" t="n">
        <f aca="false">S317-Débit*pas</f>
        <v>8.45</v>
      </c>
      <c r="T318" s="397" t="n">
        <f aca="false">m*g</f>
        <v>82.8945</v>
      </c>
      <c r="U318" s="400" t="n">
        <f aca="false">IF(pos_xz&lt;L_rampe,Poids*COS(Beta),0)</f>
        <v>0</v>
      </c>
      <c r="V318" s="396" t="n">
        <f aca="false">Rho_moyen*(20000-Alt_rampe-pos_z)/(20000+Alt_rampe+pos_z)</f>
        <v>1.0883533451568</v>
      </c>
      <c r="W318" s="397" t="n">
        <f aca="false">1/2*Rho*Sref*Cx*vit_xz^2</f>
        <v>2.81477357491934</v>
      </c>
      <c r="Y318" s="401" t="str">
        <f aca="false">IF(AND(pos_z&lt;=0,K317&gt;0),"Impact balistique","") &amp; IF(AND(H319&lt;0,vit_z&gt;=0),"Apogée","") &amp; IF(AND(Poussee=0,Q317&gt;0),"Fin de propulsion","") &amp; IF(AND(L319&gt;L_rampe,pos_xz&lt;=L_rampe),"Sortie de rampe","")</f>
        <v/>
      </c>
      <c r="Z318" s="402" t="str">
        <f aca="false">IF(ABS(t-T_para)&lt;pas/2,"Para","")</f>
        <v/>
      </c>
      <c r="AA318" s="403" t="str">
        <f aca="false">IF(ABS(t-T_satellite)&lt;pas/2,"Satellite","")</f>
        <v/>
      </c>
      <c r="AC318" s="399" t="e">
        <f aca="false">IF(ABS(t-ROUND(t,0))&lt;0.001,t,NA())</f>
        <v>#N/A</v>
      </c>
      <c r="AD318" s="404" t="e">
        <f aca="false">IF(ABS(t-ROUND(t,0))&lt;0.001,pos_x,NA())</f>
        <v>#N/A</v>
      </c>
      <c r="AE318" s="405" t="n">
        <f aca="false">IF(t&lt;T_para, pos_z, NA())</f>
        <v>1181.3729634453</v>
      </c>
      <c r="AG318" s="396" t="n">
        <f aca="false">IF(AND(L317&lt;L_rampe,Poussee&lt;Poids*SIN(M317)),0,(-W317+Poussee)/m-Poids*SIN(M317)/m)</f>
        <v>-5.71882240746774</v>
      </c>
      <c r="AH318" s="397" t="n">
        <f aca="false">IF(AND(L317&lt;L_rampe,Poussee&lt;Poids*SIN(M317)), g*SIN(M317), (-W317+Poussee)/m)</f>
        <v>-0.347516304193762</v>
      </c>
    </row>
    <row r="319" customFormat="false" ht="12.75" hidden="false" customHeight="false" outlineLevel="0" collapsed="false">
      <c r="A319" s="396" t="n">
        <f aca="false">IF(B318+0.01&lt;=T_ini+ROUNDUP(Temps_fin_propu,0), 0.01, IF(K318&gt;0, 0.1, 0.0001))</f>
        <v>0.1</v>
      </c>
      <c r="B319" s="397" t="n">
        <f aca="false">B318+pas</f>
        <v>13.5</v>
      </c>
      <c r="D319" s="396" t="n">
        <f aca="false">IF(AND(L318&lt;L_rampe,Poussee&lt;Poids*SIN(M318)),0,(-W318+Poussee)/m*COS(M318)-U318/m*SIN(M318))</f>
        <v>-0.284314650738351</v>
      </c>
      <c r="E319" s="398" t="n">
        <f aca="false">IF(AND(L318&lt;L_rampe,Poussee&lt;Poids*SIN(M318)),0,(-W318+Poussee)/m*SIN(M318)+U318/m*COS(M318)-Poids/m)</f>
        <v>-9.98357126584558</v>
      </c>
      <c r="F319" s="397" t="n">
        <f aca="false">SQRT(acc_x^2+acc_z^2)</f>
        <v>9.98761883738271</v>
      </c>
      <c r="G319" s="396" t="n">
        <f aca="false">G318+acc_x*pas</f>
        <v>22.347724690744</v>
      </c>
      <c r="H319" s="398" t="n">
        <f aca="false">H318+acc_z*pas</f>
        <v>12.6620636031857</v>
      </c>
      <c r="I319" s="397" t="n">
        <f aca="false">SQRT(vit_x^2+vit_z^2)</f>
        <v>25.6855728677484</v>
      </c>
      <c r="J319" s="396" t="n">
        <f aca="false">J318+0.5*(vit_x+G318)*pas*(K318&gt;=0)</f>
        <v>357.478216273334</v>
      </c>
      <c r="K319" s="398" t="n">
        <f aca="false">K318+0.5*(vit_z+H318)*pas</f>
        <v>1182.68908766194</v>
      </c>
      <c r="L319" s="397" t="n">
        <f aca="false">SQRT(pos_x^2+pos_z^2)</f>
        <v>1235.53395468704</v>
      </c>
      <c r="M319" s="396" t="n">
        <f aca="false">IF(AND(L318&gt;L_rampe,G319&gt;0),ATAN2(G319,H319),$M$4)</f>
        <v>0.515493218385687</v>
      </c>
      <c r="N319" s="397" t="n">
        <f aca="false">DEGREES(Beta)</f>
        <v>29.5355857811155</v>
      </c>
      <c r="P319" s="399" t="n">
        <f aca="false">MATCH(t-pas/2-T_ini,CdP_t)</f>
        <v>23</v>
      </c>
      <c r="Q319" s="397" t="n">
        <f aca="false">(INDEX(CdP,2,i_P+1)-INDEX(CdP,2,i_P+0))/(INDEX(CdP,1,i_P+1)-INDEX(CdP,1,i_P+0))*(t-pas/2-T_ini-INDEX(CdP,1,i_P+0))+INDEX(CdP,2,i_P+0)</f>
        <v>0</v>
      </c>
      <c r="R319" s="396" t="n">
        <f aca="false">Poussee/(g*ISP)</f>
        <v>0</v>
      </c>
      <c r="S319" s="398" t="n">
        <f aca="false">S318-Débit*pas</f>
        <v>8.45</v>
      </c>
      <c r="T319" s="397" t="n">
        <f aca="false">m*g</f>
        <v>82.8945</v>
      </c>
      <c r="U319" s="400" t="n">
        <f aca="false">IF(pos_xz&lt;L_rampe,Poids*COS(Beta),0)</f>
        <v>0</v>
      </c>
      <c r="V319" s="396" t="n">
        <f aca="false">Rho_moyen*(20000-Alt_rampe-pos_z)/(20000+Alt_rampe+pos_z)</f>
        <v>1.08820961173624</v>
      </c>
      <c r="W319" s="397" t="n">
        <f aca="false">1/2*Rho*Sref*Cx*vit_xz^2</f>
        <v>2.70158487947521</v>
      </c>
      <c r="Y319" s="401" t="str">
        <f aca="false">IF(AND(pos_z&lt;=0,K318&gt;0),"Impact balistique","") &amp; IF(AND(H320&lt;0,vit_z&gt;=0),"Apogée","") &amp; IF(AND(Poussee=0,Q318&gt;0),"Fin de propulsion","") &amp; IF(AND(L320&gt;L_rampe,pos_xz&lt;=L_rampe),"Sortie de rampe","")</f>
        <v/>
      </c>
      <c r="Z319" s="402" t="str">
        <f aca="false">IF(ABS(t-T_para)&lt;pas/2,"Para","")</f>
        <v/>
      </c>
      <c r="AA319" s="403" t="str">
        <f aca="false">IF(ABS(t-T_satellite)&lt;pas/2,"Satellite","")</f>
        <v/>
      </c>
      <c r="AC319" s="399" t="e">
        <f aca="false">IF(ABS(t-ROUND(t,0))&lt;0.001,t,NA())</f>
        <v>#N/A</v>
      </c>
      <c r="AD319" s="404" t="e">
        <f aca="false">IF(ABS(t-ROUND(t,0))&lt;0.001,pos_x,NA())</f>
        <v>#N/A</v>
      </c>
      <c r="AE319" s="405" t="n">
        <f aca="false">IF(t&lt;T_para, pos_z, NA())</f>
        <v>1182.68908766194</v>
      </c>
      <c r="AG319" s="396" t="n">
        <f aca="false">IF(AND(L318&lt;L_rampe,Poussee&lt;Poids*SIN(M318)),0,(-W318+Poussee)/m-Poids*SIN(M318)/m)</f>
        <v>-5.44474720277177</v>
      </c>
      <c r="AH319" s="397" t="n">
        <f aca="false">IF(AND(L318&lt;L_rampe,Poussee&lt;Poids*SIN(M318)), g*SIN(M318), (-W318+Poussee)/m)</f>
        <v>-0.333109298807022</v>
      </c>
    </row>
    <row r="320" customFormat="false" ht="12.75" hidden="false" customHeight="false" outlineLevel="0" collapsed="false">
      <c r="A320" s="396" t="n">
        <f aca="false">IF(B319+0.01&lt;=T_ini+ROUNDUP(Temps_fin_propu,0), 0.01, IF(K319&gt;0, 0.1, 0.0001))</f>
        <v>0.1</v>
      </c>
      <c r="B320" s="397" t="n">
        <f aca="false">B319+pas</f>
        <v>13.6</v>
      </c>
      <c r="D320" s="396" t="n">
        <f aca="false">IF(AND(L319&lt;L_rampe,Poussee&lt;Poids*SIN(M319)),0,(-W319+Poussee)/m*COS(M319)-U319/m*SIN(M319))</f>
        <v>-0.278167228965634</v>
      </c>
      <c r="E320" s="398" t="n">
        <f aca="false">IF(AND(L319&lt;L_rampe,Poussee&lt;Poids*SIN(M319)),0,(-W319+Poussee)/m*SIN(M319)+U319/m*COS(M319)-Poids/m)</f>
        <v>-9.96760759514563</v>
      </c>
      <c r="F320" s="397" t="n">
        <f aca="false">SQRT(acc_x^2+acc_z^2)</f>
        <v>9.97148826294627</v>
      </c>
      <c r="G320" s="396" t="n">
        <f aca="false">G319+acc_x*pas</f>
        <v>22.3199079678475</v>
      </c>
      <c r="H320" s="398" t="n">
        <f aca="false">H319+acc_z*pas</f>
        <v>11.6653028436712</v>
      </c>
      <c r="I320" s="397" t="n">
        <f aca="false">SQRT(vit_x^2+vit_z^2)</f>
        <v>25.1844710511804</v>
      </c>
      <c r="J320" s="396" t="n">
        <f aca="false">J319+0.5*(vit_x+G319)*pas*(K319&gt;=0)</f>
        <v>359.711597906264</v>
      </c>
      <c r="K320" s="398" t="n">
        <f aca="false">K319+0.5*(vit_z+H319)*pas</f>
        <v>1183.90545598429</v>
      </c>
      <c r="L320" s="397" t="n">
        <f aca="false">SQRT(pos_x^2+pos_z^2)</f>
        <v>1237.34577316837</v>
      </c>
      <c r="M320" s="396" t="n">
        <f aca="false">IF(AND(L319&gt;L_rampe,G320&gt;0),ATAN2(G320,H320),$M$4)</f>
        <v>0.481596051489373</v>
      </c>
      <c r="N320" s="397" t="n">
        <f aca="false">DEGREES(Beta)</f>
        <v>27.5934211805062</v>
      </c>
      <c r="P320" s="399" t="n">
        <f aca="false">MATCH(t-pas/2-T_ini,CdP_t)</f>
        <v>23</v>
      </c>
      <c r="Q320" s="397" t="n">
        <f aca="false">(INDEX(CdP,2,i_P+1)-INDEX(CdP,2,i_P+0))/(INDEX(CdP,1,i_P+1)-INDEX(CdP,1,i_P+0))*(t-pas/2-T_ini-INDEX(CdP,1,i_P+0))+INDEX(CdP,2,i_P+0)</f>
        <v>0</v>
      </c>
      <c r="R320" s="396" t="n">
        <f aca="false">Poussee/(g*ISP)</f>
        <v>0</v>
      </c>
      <c r="S320" s="398" t="n">
        <f aca="false">S319-Débit*pas</f>
        <v>8.45</v>
      </c>
      <c r="T320" s="397" t="n">
        <f aca="false">m*g</f>
        <v>82.8945</v>
      </c>
      <c r="U320" s="400" t="n">
        <f aca="false">IF(pos_xz&lt;L_rampe,Poids*COS(Beta),0)</f>
        <v>0</v>
      </c>
      <c r="V320" s="396" t="n">
        <f aca="false">Rho_moyen*(20000-Alt_rampe-pos_z)/(20000+Alt_rampe+pos_z)</f>
        <v>1.08807678849926</v>
      </c>
      <c r="W320" s="397" t="n">
        <f aca="false">1/2*Rho*Sref*Cx*vit_xz^2</f>
        <v>2.59688525347153</v>
      </c>
      <c r="Y320" s="401" t="str">
        <f aca="false">IF(AND(pos_z&lt;=0,K319&gt;0),"Impact balistique","") &amp; IF(AND(H321&lt;0,vit_z&gt;=0),"Apogée","") &amp; IF(AND(Poussee=0,Q319&gt;0),"Fin de propulsion","") &amp; IF(AND(L321&gt;L_rampe,pos_xz&lt;=L_rampe),"Sortie de rampe","")</f>
        <v/>
      </c>
      <c r="Z320" s="402" t="str">
        <f aca="false">IF(ABS(t-T_para)&lt;pas/2,"Para","")</f>
        <v/>
      </c>
      <c r="AA320" s="403" t="str">
        <f aca="false">IF(ABS(t-T_satellite)&lt;pas/2,"Satellite","")</f>
        <v/>
      </c>
      <c r="AC320" s="399" t="e">
        <f aca="false">IF(ABS(t-ROUND(t,0))&lt;0.001,t,NA())</f>
        <v>#N/A</v>
      </c>
      <c r="AD320" s="404" t="e">
        <f aca="false">IF(ABS(t-ROUND(t,0))&lt;0.001,pos_x,NA())</f>
        <v>#N/A</v>
      </c>
      <c r="AE320" s="405" t="n">
        <f aca="false">IF(t&lt;T_para, pos_z, NA())</f>
        <v>1183.90545598429</v>
      </c>
      <c r="AG320" s="396" t="n">
        <f aca="false">IF(AND(L319&lt;L_rampe,Poussee&lt;Poids*SIN(M319)),0,(-W319+Poussee)/m-Poids*SIN(M319)/m)</f>
        <v>-5.15569135538035</v>
      </c>
      <c r="AH320" s="397" t="n">
        <f aca="false">IF(AND(L319&lt;L_rampe,Poussee&lt;Poids*SIN(M319)), g*SIN(M319), (-W319+Poussee)/m)</f>
        <v>-0.319714186920143</v>
      </c>
    </row>
    <row r="321" customFormat="false" ht="12.75" hidden="false" customHeight="false" outlineLevel="0" collapsed="false">
      <c r="A321" s="396" t="n">
        <f aca="false">IF(B320+0.01&lt;=T_ini+ROUNDUP(Temps_fin_propu,0), 0.01, IF(K320&gt;0, 0.1, 0.0001))</f>
        <v>0.1</v>
      </c>
      <c r="B321" s="397" t="n">
        <f aca="false">B320+pas</f>
        <v>13.7</v>
      </c>
      <c r="D321" s="396" t="n">
        <f aca="false">IF(AND(L320&lt;L_rampe,Poussee&lt;Poids*SIN(M320)),0,(-W320+Poussee)/m*COS(M320)-U320/m*SIN(M320))</f>
        <v>-0.272367708495726</v>
      </c>
      <c r="E321" s="398" t="n">
        <f aca="false">IF(AND(L320&lt;L_rampe,Poussee&lt;Poids*SIN(M320)),0,(-W320+Poussee)/m*SIN(M320)+U320/m*COS(M320)-Poids/m)</f>
        <v>-9.95235057819308</v>
      </c>
      <c r="F321" s="397" t="n">
        <f aca="false">SQRT(acc_x^2+acc_z^2)</f>
        <v>9.95607684782974</v>
      </c>
      <c r="G321" s="396" t="n">
        <f aca="false">G320+acc_x*pas</f>
        <v>22.2926711969979</v>
      </c>
      <c r="H321" s="398" t="n">
        <f aca="false">H320+acc_z*pas</f>
        <v>10.6700677858519</v>
      </c>
      <c r="I321" s="397" t="n">
        <f aca="false">SQRT(vit_x^2+vit_z^2)</f>
        <v>24.714642130772</v>
      </c>
      <c r="J321" s="396" t="n">
        <f aca="false">J320+0.5*(vit_x+G320)*pas*(K320&gt;=0)</f>
        <v>361.942226864506</v>
      </c>
      <c r="K321" s="398" t="n">
        <f aca="false">K320+0.5*(vit_z+H320)*pas</f>
        <v>1185.02222451576</v>
      </c>
      <c r="L321" s="397" t="n">
        <f aca="false">SQRT(pos_x^2+pos_z^2)</f>
        <v>1239.06410172514</v>
      </c>
      <c r="M321" s="396" t="n">
        <f aca="false">IF(AND(L320&gt;L_rampe,G321&gt;0),ATAN2(G321,H321),$M$4)</f>
        <v>0.446410540588868</v>
      </c>
      <c r="N321" s="397" t="n">
        <f aca="false">DEGREES(Beta)</f>
        <v>25.5774399058957</v>
      </c>
      <c r="P321" s="399" t="n">
        <f aca="false">MATCH(t-pas/2-T_ini,CdP_t)</f>
        <v>23</v>
      </c>
      <c r="Q321" s="397" t="n">
        <f aca="false">(INDEX(CdP,2,i_P+1)-INDEX(CdP,2,i_P+0))/(INDEX(CdP,1,i_P+1)-INDEX(CdP,1,i_P+0))*(t-pas/2-T_ini-INDEX(CdP,1,i_P+0))+INDEX(CdP,2,i_P+0)</f>
        <v>0</v>
      </c>
      <c r="R321" s="396" t="n">
        <f aca="false">Poussee/(g*ISP)</f>
        <v>0</v>
      </c>
      <c r="S321" s="398" t="n">
        <f aca="false">S320-Débit*pas</f>
        <v>8.45</v>
      </c>
      <c r="T321" s="397" t="n">
        <f aca="false">m*g</f>
        <v>82.8945</v>
      </c>
      <c r="U321" s="400" t="n">
        <f aca="false">IF(pos_xz&lt;L_rampe,Poids*COS(Beta),0)</f>
        <v>0</v>
      </c>
      <c r="V321" s="396" t="n">
        <f aca="false">Rho_moyen*(20000-Alt_rampe-pos_z)/(20000+Alt_rampe+pos_z)</f>
        <v>1.08795485464708</v>
      </c>
      <c r="W321" s="397" t="n">
        <f aca="false">1/2*Rho*Sref*Cx*vit_xz^2</f>
        <v>2.50061639194061</v>
      </c>
      <c r="Y321" s="401" t="str">
        <f aca="false">IF(AND(pos_z&lt;=0,K320&gt;0),"Impact balistique","") &amp; IF(AND(H322&lt;0,vit_z&gt;=0),"Apogée","") &amp; IF(AND(Poussee=0,Q320&gt;0),"Fin de propulsion","") &amp; IF(AND(L322&gt;L_rampe,pos_xz&lt;=L_rampe),"Sortie de rampe","")</f>
        <v/>
      </c>
      <c r="Z321" s="402" t="str">
        <f aca="false">IF(ABS(t-T_para)&lt;pas/2,"Para","")</f>
        <v/>
      </c>
      <c r="AA321" s="403" t="str">
        <f aca="false">IF(ABS(t-T_satellite)&lt;pas/2,"Satellite","")</f>
        <v/>
      </c>
      <c r="AC321" s="399" t="e">
        <f aca="false">IF(ABS(t-ROUND(t,0))&lt;0.001,t,NA())</f>
        <v>#N/A</v>
      </c>
      <c r="AD321" s="404" t="e">
        <f aca="false">IF(ABS(t-ROUND(t,0))&lt;0.001,pos_x,NA())</f>
        <v>#N/A</v>
      </c>
      <c r="AE321" s="405" t="n">
        <f aca="false">IF(t&lt;T_para, pos_z, NA())</f>
        <v>1185.02222451576</v>
      </c>
      <c r="AG321" s="396" t="n">
        <f aca="false">IF(AND(L320&lt;L_rampe,Poussee&lt;Poids*SIN(M320)),0,(-W320+Poussee)/m-Poids*SIN(M320)/m)</f>
        <v>-4.85125954957548</v>
      </c>
      <c r="AH321" s="397" t="n">
        <f aca="false">IF(AND(L320&lt;L_rampe,Poussee&lt;Poids*SIN(M320)), g*SIN(M320), (-W320+Poussee)/m)</f>
        <v>-0.307323698635684</v>
      </c>
    </row>
    <row r="322" customFormat="false" ht="12.75" hidden="false" customHeight="false" outlineLevel="0" collapsed="false">
      <c r="A322" s="396" t="n">
        <f aca="false">IF(B321+0.01&lt;=T_ini+ROUNDUP(Temps_fin_propu,0), 0.01, IF(K321&gt;0, 0.1, 0.0001))</f>
        <v>0.1</v>
      </c>
      <c r="B322" s="397" t="n">
        <f aca="false">B321+pas</f>
        <v>13.8</v>
      </c>
      <c r="D322" s="396" t="n">
        <f aca="false">IF(AND(L321&lt;L_rampe,Poussee&lt;Poids*SIN(M321)),0,(-W321+Poussee)/m*COS(M321)-U321/m*SIN(M321))</f>
        <v>-0.266930468700591</v>
      </c>
      <c r="E322" s="398" t="n">
        <f aca="false">IF(AND(L321&lt;L_rampe,Poussee&lt;Poids*SIN(M321)),0,(-W321+Poussee)/m*SIN(M321)+U321/m*COS(M321)-Poids/m)</f>
        <v>-9.9377624457821</v>
      </c>
      <c r="F322" s="397" t="n">
        <f aca="false">SQRT(acc_x^2+acc_z^2)</f>
        <v>9.94134670474366</v>
      </c>
      <c r="G322" s="396" t="n">
        <f aca="false">G321+acc_x*pas</f>
        <v>22.2659781501278</v>
      </c>
      <c r="H322" s="398" t="n">
        <f aca="false">H321+acc_z*pas</f>
        <v>9.67629154127364</v>
      </c>
      <c r="I322" s="397" t="n">
        <f aca="false">SQRT(vit_x^2+vit_z^2)</f>
        <v>24.2776522953455</v>
      </c>
      <c r="J322" s="396" t="n">
        <f aca="false">J321+0.5*(vit_x+G321)*pas*(K321&gt;=0)</f>
        <v>364.170159331862</v>
      </c>
      <c r="K322" s="398" t="n">
        <f aca="false">K321+0.5*(vit_z+H321)*pas</f>
        <v>1186.03954248212</v>
      </c>
      <c r="L322" s="397" t="n">
        <f aca="false">SQRT(pos_x^2+pos_z^2)</f>
        <v>1240.68920414381</v>
      </c>
      <c r="M322" s="396" t="n">
        <f aca="false">IF(AND(L321&gt;L_rampe,G322&gt;0),ATAN2(G322,H322),$M$4)</f>
        <v>0.409954767982543</v>
      </c>
      <c r="N322" s="397" t="n">
        <f aca="false">DEGREES(Beta)</f>
        <v>23.4886779966646</v>
      </c>
      <c r="P322" s="399" t="n">
        <f aca="false">MATCH(t-pas/2-T_ini,CdP_t)</f>
        <v>23</v>
      </c>
      <c r="Q322" s="397" t="n">
        <f aca="false">(INDEX(CdP,2,i_P+1)-INDEX(CdP,2,i_P+0))/(INDEX(CdP,1,i_P+1)-INDEX(CdP,1,i_P+0))*(t-pas/2-T_ini-INDEX(CdP,1,i_P+0))+INDEX(CdP,2,i_P+0)</f>
        <v>0</v>
      </c>
      <c r="R322" s="396" t="n">
        <f aca="false">Poussee/(g*ISP)</f>
        <v>0</v>
      </c>
      <c r="S322" s="398" t="n">
        <f aca="false">S321-Débit*pas</f>
        <v>8.45</v>
      </c>
      <c r="T322" s="397" t="n">
        <f aca="false">m*g</f>
        <v>82.8945</v>
      </c>
      <c r="U322" s="400" t="n">
        <f aca="false">IF(pos_xz&lt;L_rampe,Poids*COS(Beta),0)</f>
        <v>0</v>
      </c>
      <c r="V322" s="396" t="n">
        <f aca="false">Rho_moyen*(20000-Alt_rampe-pos_z)/(20000+Alt_rampe+pos_z)</f>
        <v>1.08784379044727</v>
      </c>
      <c r="W322" s="397" t="n">
        <f aca="false">1/2*Rho*Sref*Cx*vit_xz^2</f>
        <v>2.41272296639557</v>
      </c>
      <c r="Y322" s="401" t="str">
        <f aca="false">IF(AND(pos_z&lt;=0,K321&gt;0),"Impact balistique","") &amp; IF(AND(H323&lt;0,vit_z&gt;=0),"Apogée","") &amp; IF(AND(Poussee=0,Q321&gt;0),"Fin de propulsion","") &amp; IF(AND(L323&gt;L_rampe,pos_xz&lt;=L_rampe),"Sortie de rampe","")</f>
        <v/>
      </c>
      <c r="Z322" s="402" t="str">
        <f aca="false">IF(ABS(t-T_para)&lt;pas/2,"Para","")</f>
        <v/>
      </c>
      <c r="AA322" s="403" t="str">
        <f aca="false">IF(ABS(t-T_satellite)&lt;pas/2,"Satellite","")</f>
        <v/>
      </c>
      <c r="AC322" s="399" t="e">
        <f aca="false">IF(ABS(t-ROUND(t,0))&lt;0.001,t,NA())</f>
        <v>#N/A</v>
      </c>
      <c r="AD322" s="404" t="e">
        <f aca="false">IF(ABS(t-ROUND(t,0))&lt;0.001,pos_x,NA())</f>
        <v>#N/A</v>
      </c>
      <c r="AE322" s="405" t="n">
        <f aca="false">IF(t&lt;T_para, pos_z, NA())</f>
        <v>1186.03954248212</v>
      </c>
      <c r="AG322" s="396" t="n">
        <f aca="false">IF(AND(L321&lt;L_rampe,Poussee&lt;Poids*SIN(M321)),0,(-W321+Poussee)/m-Poids*SIN(M321)/m)</f>
        <v>-4.53120832237162</v>
      </c>
      <c r="AH322" s="397" t="n">
        <f aca="false">IF(AND(L321&lt;L_rampe,Poussee&lt;Poids*SIN(M321)), g*SIN(M321), (-W321+Poussee)/m)</f>
        <v>-0.295930933957469</v>
      </c>
    </row>
    <row r="323" customFormat="false" ht="12.75" hidden="false" customHeight="false" outlineLevel="0" collapsed="false">
      <c r="A323" s="396" t="n">
        <f aca="false">IF(B322+0.01&lt;=T_ini+ROUNDUP(Temps_fin_propu,0), 0.01, IF(K322&gt;0, 0.1, 0.0001))</f>
        <v>0.1</v>
      </c>
      <c r="B323" s="397" t="n">
        <f aca="false">B322+pas</f>
        <v>13.9</v>
      </c>
      <c r="D323" s="396" t="n">
        <f aca="false">IF(AND(L322&lt;L_rampe,Poussee&lt;Poids*SIN(M322)),0,(-W322+Poussee)/m*COS(M322)-U322/m*SIN(M322))</f>
        <v>-0.261870055747845</v>
      </c>
      <c r="E323" s="398" t="n">
        <f aca="false">IF(AND(L322&lt;L_rampe,Poussee&lt;Poids*SIN(M322)),0,(-W322+Poussee)/m*SIN(M322)+U322/m*COS(M322)-Poids/m)</f>
        <v>-9.92380281558981</v>
      </c>
      <c r="F323" s="397" t="n">
        <f aca="false">SQRT(acc_x^2+acc_z^2)</f>
        <v>9.92725733769432</v>
      </c>
      <c r="G323" s="396" t="n">
        <f aca="false">G322+acc_x*pas</f>
        <v>22.239791144553</v>
      </c>
      <c r="H323" s="398" t="n">
        <f aca="false">H322+acc_z*pas</f>
        <v>8.68391125971466</v>
      </c>
      <c r="I323" s="397" t="n">
        <f aca="false">SQRT(vit_x^2+vit_z^2)</f>
        <v>23.8750628254658</v>
      </c>
      <c r="J323" s="396" t="n">
        <f aca="false">J322+0.5*(vit_x+G322)*pas*(K322&gt;=0)</f>
        <v>366.395447796596</v>
      </c>
      <c r="K323" s="398" t="n">
        <f aca="false">K322+0.5*(vit_z+H322)*pas</f>
        <v>1186.95755262217</v>
      </c>
      <c r="L323" s="397" t="n">
        <f aca="false">SQRT(pos_x^2+pos_z^2)</f>
        <v>1242.22133933244</v>
      </c>
      <c r="M323" s="396" t="n">
        <f aca="false">IF(AND(L322&gt;L_rampe,G323&gt;0),ATAN2(G323,H323),$M$4)</f>
        <v>0.372261619126446</v>
      </c>
      <c r="N323" s="397" t="n">
        <f aca="false">DEGREES(Beta)</f>
        <v>21.3290196506519</v>
      </c>
      <c r="P323" s="399" t="n">
        <f aca="false">MATCH(t-pas/2-T_ini,CdP_t)</f>
        <v>23</v>
      </c>
      <c r="Q323" s="397" t="n">
        <f aca="false">(INDEX(CdP,2,i_P+1)-INDEX(CdP,2,i_P+0))/(INDEX(CdP,1,i_P+1)-INDEX(CdP,1,i_P+0))*(t-pas/2-T_ini-INDEX(CdP,1,i_P+0))+INDEX(CdP,2,i_P+0)</f>
        <v>0</v>
      </c>
      <c r="R323" s="396" t="n">
        <f aca="false">Poussee/(g*ISP)</f>
        <v>0</v>
      </c>
      <c r="S323" s="398" t="n">
        <f aca="false">S322-Débit*pas</f>
        <v>8.45</v>
      </c>
      <c r="T323" s="397" t="n">
        <f aca="false">m*g</f>
        <v>82.8945</v>
      </c>
      <c r="U323" s="400" t="n">
        <f aca="false">IF(pos_xz&lt;L_rampe,Poids*COS(Beta),0)</f>
        <v>0</v>
      </c>
      <c r="V323" s="396" t="n">
        <f aca="false">Rho_moyen*(20000-Alt_rampe-pos_z)/(20000+Alt_rampe+pos_z)</f>
        <v>1.08774357718886</v>
      </c>
      <c r="W323" s="397" t="n">
        <f aca="false">1/2*Rho*Sref*Cx*vit_xz^2</f>
        <v>2.33315246986206</v>
      </c>
      <c r="Y323" s="401" t="str">
        <f aca="false">IF(AND(pos_z&lt;=0,K322&gt;0),"Impact balistique","") &amp; IF(AND(H324&lt;0,vit_z&gt;=0),"Apogée","") &amp; IF(AND(Poussee=0,Q322&gt;0),"Fin de propulsion","") &amp; IF(AND(L324&gt;L_rampe,pos_xz&lt;=L_rampe),"Sortie de rampe","")</f>
        <v/>
      </c>
      <c r="Z323" s="402" t="str">
        <f aca="false">IF(ABS(t-T_para)&lt;pas/2,"Para","")</f>
        <v/>
      </c>
      <c r="AA323" s="403" t="str">
        <f aca="false">IF(ABS(t-T_satellite)&lt;pas/2,"Satellite","")</f>
        <v/>
      </c>
      <c r="AC323" s="399" t="e">
        <f aca="false">IF(ABS(t-ROUND(t,0))&lt;0.001,t,NA())</f>
        <v>#N/A</v>
      </c>
      <c r="AD323" s="404" t="e">
        <f aca="false">IF(ABS(t-ROUND(t,0))&lt;0.001,pos_x,NA())</f>
        <v>#N/A</v>
      </c>
      <c r="AE323" s="405" t="n">
        <f aca="false">IF(t&lt;T_para, pos_z, NA())</f>
        <v>1186.95755262217</v>
      </c>
      <c r="AG323" s="396" t="n">
        <f aca="false">IF(AND(L322&lt;L_rampe,Poussee&lt;Poids*SIN(M322)),0,(-W322+Poussee)/m-Poids*SIN(M322)/m)</f>
        <v>-4.19547989822482</v>
      </c>
      <c r="AH323" s="397" t="n">
        <f aca="false">IF(AND(L322&lt;L_rampe,Poussee&lt;Poids*SIN(M322)), g*SIN(M322), (-W322+Poussee)/m)</f>
        <v>-0.28552934513557</v>
      </c>
    </row>
    <row r="324" customFormat="false" ht="12.75" hidden="false" customHeight="false" outlineLevel="0" collapsed="false">
      <c r="A324" s="396" t="n">
        <f aca="false">IF(B323+0.01&lt;=T_ini+ROUNDUP(Temps_fin_propu,0), 0.01, IF(K323&gt;0, 0.1, 0.0001))</f>
        <v>0.1</v>
      </c>
      <c r="B324" s="397" t="n">
        <f aca="false">B323+pas</f>
        <v>14</v>
      </c>
      <c r="D324" s="396" t="n">
        <f aca="false">IF(AND(L323&lt;L_rampe,Poussee&lt;Poids*SIN(M323)),0,(-W323+Poussee)/m*COS(M323)-U323/m*SIN(M323))</f>
        <v>-0.257200964572733</v>
      </c>
      <c r="E324" s="398" t="n">
        <f aca="false">IF(AND(L323&lt;L_rampe,Poussee&lt;Poids*SIN(M323)),0,(-W323+Poussee)/m*SIN(M323)+U323/m*COS(M323)-Poids/m)</f>
        <v>-9.91042856687571</v>
      </c>
      <c r="F324" s="397" t="n">
        <f aca="false">SQRT(acc_x^2+acc_z^2)</f>
        <v>9.91376551645859</v>
      </c>
      <c r="G324" s="396" t="n">
        <f aca="false">G323+acc_x*pas</f>
        <v>22.2140710480958</v>
      </c>
      <c r="H324" s="398" t="n">
        <f aca="false">H323+acc_z*pas</f>
        <v>7.69286840302709</v>
      </c>
      <c r="I324" s="397" t="n">
        <f aca="false">SQRT(vit_x^2+vit_z^2)</f>
        <v>23.5084065133335</v>
      </c>
      <c r="J324" s="396" t="n">
        <f aca="false">J323+0.5*(vit_x+G323)*pas*(K323&gt;=0)</f>
        <v>368.618140906229</v>
      </c>
      <c r="K324" s="398" t="n">
        <f aca="false">K323+0.5*(vit_z+H323)*pas</f>
        <v>1187.77639160531</v>
      </c>
      <c r="L324" s="397" t="n">
        <f aca="false">SQRT(pos_x^2+pos_z^2)</f>
        <v>1243.66076172728</v>
      </c>
      <c r="M324" s="396" t="n">
        <f aca="false">IF(AND(L323&gt;L_rampe,G324&gt;0),ATAN2(G324,H324),$M$4)</f>
        <v>0.333380260943485</v>
      </c>
      <c r="N324" s="397" t="n">
        <f aca="false">DEGREES(Beta)</f>
        <v>19.1012819250317</v>
      </c>
      <c r="P324" s="399" t="n">
        <f aca="false">MATCH(t-pas/2-T_ini,CdP_t)</f>
        <v>23</v>
      </c>
      <c r="Q324" s="397" t="n">
        <f aca="false">(INDEX(CdP,2,i_P+1)-INDEX(CdP,2,i_P+0))/(INDEX(CdP,1,i_P+1)-INDEX(CdP,1,i_P+0))*(t-pas/2-T_ini-INDEX(CdP,1,i_P+0))+INDEX(CdP,2,i_P+0)</f>
        <v>0</v>
      </c>
      <c r="R324" s="396" t="n">
        <f aca="false">Poussee/(g*ISP)</f>
        <v>0</v>
      </c>
      <c r="S324" s="398" t="n">
        <f aca="false">S323-Débit*pas</f>
        <v>8.45</v>
      </c>
      <c r="T324" s="397" t="n">
        <f aca="false">m*g</f>
        <v>82.8945</v>
      </c>
      <c r="U324" s="400" t="n">
        <f aca="false">IF(pos_xz&lt;L_rampe,Poids*COS(Beta),0)</f>
        <v>0</v>
      </c>
      <c r="V324" s="396" t="n">
        <f aca="false">Rho_moyen*(20000-Alt_rampe-pos_z)/(20000+Alt_rampe+pos_z)</f>
        <v>1.08765419713482</v>
      </c>
      <c r="W324" s="397" t="n">
        <f aca="false">1/2*Rho*Sref*Cx*vit_xz^2</f>
        <v>2.26185505559402</v>
      </c>
      <c r="Y324" s="401" t="str">
        <f aca="false">IF(AND(pos_z&lt;=0,K323&gt;0),"Impact balistique","") &amp; IF(AND(H325&lt;0,vit_z&gt;=0),"Apogée","") &amp; IF(AND(Poussee=0,Q323&gt;0),"Fin de propulsion","") &amp; IF(AND(L325&gt;L_rampe,pos_xz&lt;=L_rampe),"Sortie de rampe","")</f>
        <v/>
      </c>
      <c r="Z324" s="402" t="str">
        <f aca="false">IF(ABS(t-T_para)&lt;pas/2,"Para","")</f>
        <v/>
      </c>
      <c r="AA324" s="403" t="str">
        <f aca="false">IF(ABS(t-T_satellite)&lt;pas/2,"Satellite","")</f>
        <v/>
      </c>
      <c r="AC324" s="399" t="n">
        <f aca="false">IF(ABS(t-ROUND(t,0))&lt;0.001,t,NA())</f>
        <v>14</v>
      </c>
      <c r="AD324" s="404" t="n">
        <f aca="false">IF(ABS(t-ROUND(t,0))&lt;0.001,pos_x,NA())</f>
        <v>368.618140906229</v>
      </c>
      <c r="AE324" s="405" t="n">
        <f aca="false">IF(t&lt;T_para, pos_z, NA())</f>
        <v>1187.77639160531</v>
      </c>
      <c r="AG324" s="396" t="n">
        <f aca="false">IF(AND(L323&lt;L_rampe,Poussee&lt;Poids*SIN(M323)),0,(-W323+Poussee)/m-Poids*SIN(M323)/m)</f>
        <v>-3.84423608120807</v>
      </c>
      <c r="AH324" s="397" t="n">
        <f aca="false">IF(AND(L323&lt;L_rampe,Poussee&lt;Poids*SIN(M323)), g*SIN(M323), (-W323+Poussee)/m)</f>
        <v>-0.276112718326871</v>
      </c>
    </row>
    <row r="325" customFormat="false" ht="12.75" hidden="false" customHeight="false" outlineLevel="0" collapsed="false">
      <c r="A325" s="396" t="n">
        <f aca="false">IF(B324+0.01&lt;=T_ini+ROUNDUP(Temps_fin_propu,0), 0.01, IF(K324&gt;0, 0.1, 0.0001))</f>
        <v>0.1</v>
      </c>
      <c r="B325" s="397" t="n">
        <f aca="false">B324+pas</f>
        <v>14.1</v>
      </c>
      <c r="D325" s="396" t="n">
        <f aca="false">IF(AND(L324&lt;L_rampe,Poussee&lt;Poids*SIN(M324)),0,(-W324+Poussee)/m*COS(M324)-U324/m*SIN(M324))</f>
        <v>-0.252937386321013</v>
      </c>
      <c r="E325" s="398" t="n">
        <f aca="false">IF(AND(L324&lt;L_rampe,Poussee&lt;Poids*SIN(M324)),0,(-W324+Poussee)/m*SIN(M324)+U324/m*COS(M324)-Poids/m)</f>
        <v>-9.89759376086267</v>
      </c>
      <c r="F325" s="397" t="n">
        <f aca="false">SQRT(acc_x^2+acc_z^2)</f>
        <v>9.90082519674327</v>
      </c>
      <c r="G325" s="396" t="n">
        <f aca="false">G324+acc_x*pas</f>
        <v>22.1887773094637</v>
      </c>
      <c r="H325" s="398" t="n">
        <f aca="false">H324+acc_z*pas</f>
        <v>6.70310902694082</v>
      </c>
      <c r="I325" s="397" t="n">
        <f aca="false">SQRT(vit_x^2+vit_z^2)</f>
        <v>23.1791610960368</v>
      </c>
      <c r="J325" s="396" t="n">
        <f aca="false">J324+0.5*(vit_x+G324)*pas*(K324&gt;=0)</f>
        <v>370.838283324107</v>
      </c>
      <c r="K325" s="398" t="n">
        <f aca="false">K324+0.5*(vit_z+H324)*pas</f>
        <v>1188.4961904768</v>
      </c>
      <c r="L325" s="397" t="n">
        <f aca="false">SQRT(pos_x^2+pos_z^2)</f>
        <v>1245.00772172571</v>
      </c>
      <c r="M325" s="396" t="n">
        <f aca="false">IF(AND(L324&gt;L_rampe,G325&gt;0),ATAN2(G325,H325),$M$4)</f>
        <v>0.293377304142164</v>
      </c>
      <c r="N325" s="397" t="n">
        <f aca="false">DEGREES(Beta)</f>
        <v>16.8092813322719</v>
      </c>
      <c r="P325" s="399" t="n">
        <f aca="false">MATCH(t-pas/2-T_ini,CdP_t)</f>
        <v>23</v>
      </c>
      <c r="Q325" s="397" t="n">
        <f aca="false">(INDEX(CdP,2,i_P+1)-INDEX(CdP,2,i_P+0))/(INDEX(CdP,1,i_P+1)-INDEX(CdP,1,i_P+0))*(t-pas/2-T_ini-INDEX(CdP,1,i_P+0))+INDEX(CdP,2,i_P+0)</f>
        <v>0</v>
      </c>
      <c r="R325" s="396" t="n">
        <f aca="false">Poussee/(g*ISP)</f>
        <v>0</v>
      </c>
      <c r="S325" s="398" t="n">
        <f aca="false">S324-Débit*pas</f>
        <v>8.45</v>
      </c>
      <c r="T325" s="397" t="n">
        <f aca="false">m*g</f>
        <v>82.8945</v>
      </c>
      <c r="U325" s="400" t="n">
        <f aca="false">IF(pos_xz&lt;L_rampe,Poids*COS(Beta),0)</f>
        <v>0</v>
      </c>
      <c r="V325" s="396" t="n">
        <f aca="false">Rho_moyen*(20000-Alt_rampe-pos_z)/(20000+Alt_rampe+pos_z)</f>
        <v>1.08757563347148</v>
      </c>
      <c r="W325" s="397" t="n">
        <f aca="false">1/2*Rho*Sref*Cx*vit_xz^2</f>
        <v>2.19878336907477</v>
      </c>
      <c r="Y325" s="401" t="str">
        <f aca="false">IF(AND(pos_z&lt;=0,K324&gt;0),"Impact balistique","") &amp; IF(AND(H326&lt;0,vit_z&gt;=0),"Apogée","") &amp; IF(AND(Poussee=0,Q324&gt;0),"Fin de propulsion","") &amp; IF(AND(L326&gt;L_rampe,pos_xz&lt;=L_rampe),"Sortie de rampe","")</f>
        <v/>
      </c>
      <c r="Z325" s="402" t="str">
        <f aca="false">IF(ABS(t-T_para)&lt;pas/2,"Para","")</f>
        <v/>
      </c>
      <c r="AA325" s="403" t="str">
        <f aca="false">IF(ABS(t-T_satellite)&lt;pas/2,"Satellite","")</f>
        <v/>
      </c>
      <c r="AC325" s="399" t="e">
        <f aca="false">IF(ABS(t-ROUND(t,0))&lt;0.001,t,NA())</f>
        <v>#N/A</v>
      </c>
      <c r="AD325" s="404" t="e">
        <f aca="false">IF(ABS(t-ROUND(t,0))&lt;0.001,pos_x,NA())</f>
        <v>#N/A</v>
      </c>
      <c r="AE325" s="405" t="n">
        <f aca="false">IF(t&lt;T_para, pos_z, NA())</f>
        <v>1188.4961904768</v>
      </c>
      <c r="AG325" s="396" t="n">
        <f aca="false">IF(AND(L324&lt;L_rampe,Poussee&lt;Poids*SIN(M324)),0,(-W324+Poussee)/m-Poids*SIN(M324)/m)</f>
        <v>-3.47789014678731</v>
      </c>
      <c r="AH325" s="397" t="n">
        <f aca="false">IF(AND(L324&lt;L_rampe,Poussee&lt;Poids*SIN(M324)), g*SIN(M324), (-W324+Poussee)/m)</f>
        <v>-0.267675154508168</v>
      </c>
    </row>
    <row r="326" customFormat="false" ht="12.75" hidden="false" customHeight="false" outlineLevel="0" collapsed="false">
      <c r="A326" s="396" t="n">
        <f aca="false">IF(B325+0.01&lt;=T_ini+ROUNDUP(Temps_fin_propu,0), 0.01, IF(K325&gt;0, 0.1, 0.0001))</f>
        <v>0.1</v>
      </c>
      <c r="B326" s="397" t="n">
        <f aca="false">B325+pas</f>
        <v>14.2</v>
      </c>
      <c r="D326" s="396" t="n">
        <f aca="false">IF(AND(L325&lt;L_rampe,Poussee&lt;Poids*SIN(M325)),0,(-W325+Poussee)/m*COS(M325)-U325/m*SIN(M325))</f>
        <v>-0.249092924847252</v>
      </c>
      <c r="E326" s="398" t="n">
        <f aca="false">IF(AND(L325&lt;L_rampe,Poussee&lt;Poids*SIN(M325)),0,(-W325+Poussee)/m*SIN(M325)+U325/m*COS(M325)-Poids/m)</f>
        <v>-9.88524961875112</v>
      </c>
      <c r="F326" s="397" t="n">
        <f aca="false">SQRT(acc_x^2+acc_z^2)</f>
        <v>9.88838749798106</v>
      </c>
      <c r="G326" s="396" t="n">
        <f aca="false">G325+acc_x*pas</f>
        <v>22.1638680169789</v>
      </c>
      <c r="H326" s="398" t="n">
        <f aca="false">H325+acc_z*pas</f>
        <v>5.71458406506571</v>
      </c>
      <c r="I326" s="397" t="n">
        <f aca="false">SQRT(vit_x^2+vit_z^2)</f>
        <v>22.8887202899324</v>
      </c>
      <c r="J326" s="396" t="n">
        <f aca="false">J325+0.5*(vit_x+G325)*pas*(K325&gt;=0)</f>
        <v>373.055915590429</v>
      </c>
      <c r="K326" s="398" t="n">
        <f aca="false">K325+0.5*(vit_z+H325)*pas</f>
        <v>1189.1170751314</v>
      </c>
      <c r="L326" s="397" t="n">
        <f aca="false">SQRT(pos_x^2+pos_z^2)</f>
        <v>1246.26246614671</v>
      </c>
      <c r="M326" s="396" t="n">
        <f aca="false">IF(AND(L325&gt;L_rampe,G326&gt;0),ATAN2(G326,H326),$M$4)</f>
        <v>0.252337519695382</v>
      </c>
      <c r="N326" s="397" t="n">
        <f aca="false">DEGREES(Beta)</f>
        <v>14.4578748913447</v>
      </c>
      <c r="P326" s="399" t="n">
        <f aca="false">MATCH(t-pas/2-T_ini,CdP_t)</f>
        <v>23</v>
      </c>
      <c r="Q326" s="397" t="n">
        <f aca="false">(INDEX(CdP,2,i_P+1)-INDEX(CdP,2,i_P+0))/(INDEX(CdP,1,i_P+1)-INDEX(CdP,1,i_P+0))*(t-pas/2-T_ini-INDEX(CdP,1,i_P+0))+INDEX(CdP,2,i_P+0)</f>
        <v>0</v>
      </c>
      <c r="R326" s="396" t="n">
        <f aca="false">Poussee/(g*ISP)</f>
        <v>0</v>
      </c>
      <c r="S326" s="398" t="n">
        <f aca="false">S325-Débit*pas</f>
        <v>8.45</v>
      </c>
      <c r="T326" s="397" t="n">
        <f aca="false">m*g</f>
        <v>82.8945</v>
      </c>
      <c r="U326" s="400" t="n">
        <f aca="false">IF(pos_xz&lt;L_rampe,Poids*COS(Beta),0)</f>
        <v>0</v>
      </c>
      <c r="V326" s="396" t="n">
        <f aca="false">Rho_moyen*(20000-Alt_rampe-pos_z)/(20000+Alt_rampe+pos_z)</f>
        <v>1.08750787025519</v>
      </c>
      <c r="W326" s="397" t="n">
        <f aca="false">1/2*Rho*Sref*Cx*vit_xz^2</f>
        <v>2.14389237307691</v>
      </c>
      <c r="Y326" s="401" t="str">
        <f aca="false">IF(AND(pos_z&lt;=0,K325&gt;0),"Impact balistique","") &amp; IF(AND(H327&lt;0,vit_z&gt;=0),"Apogée","") &amp; IF(AND(Poussee=0,Q325&gt;0),"Fin de propulsion","") &amp; IF(AND(L327&gt;L_rampe,pos_xz&lt;=L_rampe),"Sortie de rampe","")</f>
        <v/>
      </c>
      <c r="Z326" s="402" t="str">
        <f aca="false">IF(ABS(t-T_para)&lt;pas/2,"Para","")</f>
        <v/>
      </c>
      <c r="AA326" s="403" t="str">
        <f aca="false">IF(ABS(t-T_satellite)&lt;pas/2,"Satellite","")</f>
        <v/>
      </c>
      <c r="AC326" s="399" t="e">
        <f aca="false">IF(ABS(t-ROUND(t,0))&lt;0.001,t,NA())</f>
        <v>#N/A</v>
      </c>
      <c r="AD326" s="404" t="e">
        <f aca="false">IF(ABS(t-ROUND(t,0))&lt;0.001,pos_x,NA())</f>
        <v>#N/A</v>
      </c>
      <c r="AE326" s="405" t="n">
        <f aca="false">IF(t&lt;T_para, pos_z, NA())</f>
        <v>1189.1170751314</v>
      </c>
      <c r="AG326" s="396" t="n">
        <f aca="false">IF(AND(L325&lt;L_rampe,Poussee&lt;Poids*SIN(M325)),0,(-W325+Poussee)/m-Poids*SIN(M325)/m)</f>
        <v>-3.0971342359792</v>
      </c>
      <c r="AH326" s="397" t="n">
        <f aca="false">IF(AND(L325&lt;L_rampe,Poussee&lt;Poids*SIN(M325)), g*SIN(M325), (-W325+Poussee)/m)</f>
        <v>-0.260211049594648</v>
      </c>
    </row>
    <row r="327" customFormat="false" ht="12.75" hidden="false" customHeight="false" outlineLevel="0" collapsed="false">
      <c r="A327" s="396" t="n">
        <f aca="false">IF(B326+0.01&lt;=T_ini+ROUNDUP(Temps_fin_propu,0), 0.01, IF(K326&gt;0, 0.1, 0.0001))</f>
        <v>0.1</v>
      </c>
      <c r="B327" s="397" t="n">
        <f aca="false">B326+pas</f>
        <v>14.3</v>
      </c>
      <c r="D327" s="396" t="n">
        <f aca="false">IF(AND(L326&lt;L_rampe,Poussee&lt;Poids*SIN(M326)),0,(-W326+Poussee)/m*COS(M326)-U326/m*SIN(M326))</f>
        <v>-0.24568028867461</v>
      </c>
      <c r="E327" s="398" t="n">
        <f aca="false">IF(AND(L326&lt;L_rampe,Poussee&lt;Poids*SIN(M326)),0,(-W326+Poussee)/m*SIN(M326)+U326/m*COS(M326)-Poids/m)</f>
        <v>-9.87334456881286</v>
      </c>
      <c r="F327" s="397" t="n">
        <f aca="false">SQRT(acc_x^2+acc_z^2)</f>
        <v>9.87640075021005</v>
      </c>
      <c r="G327" s="396" t="n">
        <f aca="false">G326+acc_x*pas</f>
        <v>22.1392999881115</v>
      </c>
      <c r="H327" s="398" t="n">
        <f aca="false">H326+acc_z*pas</f>
        <v>4.72724960818442</v>
      </c>
      <c r="I327" s="397" t="n">
        <f aca="false">SQRT(vit_x^2+vit_z^2)</f>
        <v>22.6383632982085</v>
      </c>
      <c r="J327" s="396" t="n">
        <f aca="false">J326+0.5*(vit_x+G326)*pas*(K326&gt;=0)</f>
        <v>375.271073990683</v>
      </c>
      <c r="K327" s="398" t="n">
        <f aca="false">K326+0.5*(vit_z+H326)*pas</f>
        <v>1189.63916681507</v>
      </c>
      <c r="L327" s="397" t="n">
        <f aca="false">SQRT(pos_x^2+pos_z^2)</f>
        <v>1247.42523871957</v>
      </c>
      <c r="M327" s="396" t="n">
        <f aca="false">IF(AND(L326&gt;L_rampe,G327&gt;0),ATAN2(G327,H327),$M$4)</f>
        <v>0.210363983929002</v>
      </c>
      <c r="N327" s="397" t="n">
        <f aca="false">DEGREES(Beta)</f>
        <v>12.0529684406897</v>
      </c>
      <c r="P327" s="399" t="n">
        <f aca="false">MATCH(t-pas/2-T_ini,CdP_t)</f>
        <v>23</v>
      </c>
      <c r="Q327" s="397" t="n">
        <f aca="false">(INDEX(CdP,2,i_P+1)-INDEX(CdP,2,i_P+0))/(INDEX(CdP,1,i_P+1)-INDEX(CdP,1,i_P+0))*(t-pas/2-T_ini-INDEX(CdP,1,i_P+0))+INDEX(CdP,2,i_P+0)</f>
        <v>0</v>
      </c>
      <c r="R327" s="396" t="n">
        <f aca="false">Poussee/(g*ISP)</f>
        <v>0</v>
      </c>
      <c r="S327" s="398" t="n">
        <f aca="false">S326-Débit*pas</f>
        <v>8.45</v>
      </c>
      <c r="T327" s="397" t="n">
        <f aca="false">m*g</f>
        <v>82.8945</v>
      </c>
      <c r="U327" s="400" t="n">
        <f aca="false">IF(pos_xz&lt;L_rampe,Poids*COS(Beta),0)</f>
        <v>0</v>
      </c>
      <c r="V327" s="396" t="n">
        <f aca="false">Rho_moyen*(20000-Alt_rampe-pos_z)/(20000+Alt_rampe+pos_z)</f>
        <v>1.08745089235585</v>
      </c>
      <c r="W327" s="397" t="n">
        <f aca="false">1/2*Rho*Sref*Cx*vit_xz^2</f>
        <v>2.09713916576287</v>
      </c>
      <c r="Y327" s="401" t="str">
        <f aca="false">IF(AND(pos_z&lt;=0,K326&gt;0),"Impact balistique","") &amp; IF(AND(H328&lt;0,vit_z&gt;=0),"Apogée","") &amp; IF(AND(Poussee=0,Q326&gt;0),"Fin de propulsion","") &amp; IF(AND(L328&gt;L_rampe,pos_xz&lt;=L_rampe),"Sortie de rampe","")</f>
        <v/>
      </c>
      <c r="Z327" s="402" t="str">
        <f aca="false">IF(ABS(t-T_para)&lt;pas/2,"Para","")</f>
        <v/>
      </c>
      <c r="AA327" s="403" t="str">
        <f aca="false">IF(ABS(t-T_satellite)&lt;pas/2,"Satellite","")</f>
        <v/>
      </c>
      <c r="AC327" s="399" t="e">
        <f aca="false">IF(ABS(t-ROUND(t,0))&lt;0.001,t,NA())</f>
        <v>#N/A</v>
      </c>
      <c r="AD327" s="404" t="e">
        <f aca="false">IF(ABS(t-ROUND(t,0))&lt;0.001,pos_x,NA())</f>
        <v>#N/A</v>
      </c>
      <c r="AE327" s="405" t="n">
        <f aca="false">IF(t&lt;T_para, pos_z, NA())</f>
        <v>1189.63916681507</v>
      </c>
      <c r="AG327" s="396" t="n">
        <f aca="false">IF(AND(L326&lt;L_rampe,Poussee&lt;Poids*SIN(M326)),0,(-W326+Poussee)/m-Poids*SIN(M326)/m)</f>
        <v>-2.70295945997516</v>
      </c>
      <c r="AH327" s="397" t="n">
        <f aca="false">IF(AND(L326&lt;L_rampe,Poussee&lt;Poids*SIN(M326)), g*SIN(M326), (-W326+Poussee)/m)</f>
        <v>-0.253715073736912</v>
      </c>
    </row>
    <row r="328" customFormat="false" ht="12.75" hidden="false" customHeight="false" outlineLevel="0" collapsed="false">
      <c r="A328" s="396" t="n">
        <f aca="false">IF(B327+0.01&lt;=T_ini+ROUNDUP(Temps_fin_propu,0), 0.01, IF(K327&gt;0, 0.1, 0.0001))</f>
        <v>0.1</v>
      </c>
      <c r="B328" s="397" t="n">
        <f aca="false">B327+pas</f>
        <v>14.4</v>
      </c>
      <c r="D328" s="396" t="n">
        <f aca="false">IF(AND(L327&lt;L_rampe,Poussee&lt;Poids*SIN(M327)),0,(-W327+Poussee)/m*COS(M327)-U327/m*SIN(M327))</f>
        <v>-0.242710967821068</v>
      </c>
      <c r="E328" s="398" t="n">
        <f aca="false">IF(AND(L327&lt;L_rampe,Poussee&lt;Poids*SIN(M327)),0,(-W327+Poussee)/m*SIN(M327)+U327/m*COS(M327)-Poids/m)</f>
        <v>-9.86182437241242</v>
      </c>
      <c r="F328" s="397" t="n">
        <f aca="false">SQRT(acc_x^2+acc_z^2)</f>
        <v>9.86481061988563</v>
      </c>
      <c r="G328" s="396" t="n">
        <f aca="false">G327+acc_x*pas</f>
        <v>22.1150288913294</v>
      </c>
      <c r="H328" s="398" t="n">
        <f aca="false">H327+acc_z*pas</f>
        <v>3.74106717094318</v>
      </c>
      <c r="I328" s="397" t="n">
        <f aca="false">SQRT(vit_x^2+vit_z^2)</f>
        <v>22.429223937574</v>
      </c>
      <c r="J328" s="396" t="n">
        <f aca="false">J327+0.5*(vit_x+G327)*pas*(K327&gt;=0)</f>
        <v>377.483790434656</v>
      </c>
      <c r="K328" s="398" t="n">
        <f aca="false">K327+0.5*(vit_z+H327)*pas</f>
        <v>1190.06258265402</v>
      </c>
      <c r="L328" s="397" t="n">
        <f aca="false">SQRT(pos_x^2+pos_z^2)</f>
        <v>1248.49628060082</v>
      </c>
      <c r="M328" s="396" t="n">
        <f aca="false">IF(AND(L327&gt;L_rampe,G328&gt;0),ATAN2(G328,H328),$M$4)</f>
        <v>0.167577545476171</v>
      </c>
      <c r="N328" s="397" t="n">
        <f aca="false">DEGREES(Beta)</f>
        <v>9.60148609694622</v>
      </c>
      <c r="P328" s="399" t="n">
        <f aca="false">MATCH(t-pas/2-T_ini,CdP_t)</f>
        <v>23</v>
      </c>
      <c r="Q328" s="397" t="n">
        <f aca="false">(INDEX(CdP,2,i_P+1)-INDEX(CdP,2,i_P+0))/(INDEX(CdP,1,i_P+1)-INDEX(CdP,1,i_P+0))*(t-pas/2-T_ini-INDEX(CdP,1,i_P+0))+INDEX(CdP,2,i_P+0)</f>
        <v>0</v>
      </c>
      <c r="R328" s="396" t="n">
        <f aca="false">Poussee/(g*ISP)</f>
        <v>0</v>
      </c>
      <c r="S328" s="398" t="n">
        <f aca="false">S327-Débit*pas</f>
        <v>8.45</v>
      </c>
      <c r="T328" s="397" t="n">
        <f aca="false">m*g</f>
        <v>82.8945</v>
      </c>
      <c r="U328" s="400" t="n">
        <f aca="false">IF(pos_xz&lt;L_rampe,Poids*COS(Beta),0)</f>
        <v>0</v>
      </c>
      <c r="V328" s="396" t="n">
        <f aca="false">Rho_moyen*(20000-Alt_rampe-pos_z)/(20000+Alt_rampe+pos_z)</f>
        <v>1.08740468539772</v>
      </c>
      <c r="W328" s="397" t="n">
        <f aca="false">1/2*Rho*Sref*Cx*vit_xz^2</f>
        <v>2.05848279205068</v>
      </c>
      <c r="Y328" s="401" t="str">
        <f aca="false">IF(AND(pos_z&lt;=0,K327&gt;0),"Impact balistique","") &amp; IF(AND(H329&lt;0,vit_z&gt;=0),"Apogée","") &amp; IF(AND(Poussee=0,Q327&gt;0),"Fin de propulsion","") &amp; IF(AND(L329&gt;L_rampe,pos_xz&lt;=L_rampe),"Sortie de rampe","")</f>
        <v/>
      </c>
      <c r="Z328" s="402" t="str">
        <f aca="false">IF(ABS(t-T_para)&lt;pas/2,"Para","")</f>
        <v/>
      </c>
      <c r="AA328" s="403" t="str">
        <f aca="false">IF(ABS(t-T_satellite)&lt;pas/2,"Satellite","")</f>
        <v/>
      </c>
      <c r="AC328" s="399" t="e">
        <f aca="false">IF(ABS(t-ROUND(t,0))&lt;0.001,t,NA())</f>
        <v>#N/A</v>
      </c>
      <c r="AD328" s="404" t="e">
        <f aca="false">IF(ABS(t-ROUND(t,0))&lt;0.001,pos_x,NA())</f>
        <v>#N/A</v>
      </c>
      <c r="AE328" s="405" t="n">
        <f aca="false">IF(t&lt;T_para, pos_z, NA())</f>
        <v>1190.06258265402</v>
      </c>
      <c r="AG328" s="396" t="n">
        <f aca="false">IF(AND(L327&lt;L_rampe,Poussee&lt;Poids*SIN(M327)),0,(-W327+Poussee)/m-Poids*SIN(M327)/m)</f>
        <v>-2.29666586946152</v>
      </c>
      <c r="AH328" s="397" t="n">
        <f aca="false">IF(AND(L327&lt;L_rampe,Poussee&lt;Poids*SIN(M327)), g*SIN(M327), (-W327+Poussee)/m)</f>
        <v>-0.248182149794422</v>
      </c>
    </row>
    <row r="329" customFormat="false" ht="12.75" hidden="false" customHeight="false" outlineLevel="0" collapsed="false">
      <c r="A329" s="396" t="n">
        <f aca="false">IF(B328+0.01&lt;=T_ini+ROUNDUP(Temps_fin_propu,0), 0.01, IF(K328&gt;0, 0.1, 0.0001))</f>
        <v>0.1</v>
      </c>
      <c r="B329" s="397" t="n">
        <f aca="false">B328+pas</f>
        <v>14.5</v>
      </c>
      <c r="D329" s="396" t="n">
        <f aca="false">IF(AND(L328&lt;L_rampe,Poussee&lt;Poids*SIN(M328)),0,(-W328+Poussee)/m*COS(M328)-U328/m*SIN(M328))</f>
        <v>-0.240194907767002</v>
      </c>
      <c r="E329" s="398" t="n">
        <f aca="false">IF(AND(L328&lt;L_rampe,Poussee&lt;Poids*SIN(M328)),0,(-W328+Poussee)/m*SIN(M328)+U328/m*COS(M328)-Poids/m)</f>
        <v>-9.85063233597796</v>
      </c>
      <c r="F329" s="397" t="n">
        <f aca="false">SQRT(acc_x^2+acc_z^2)</f>
        <v>9.85356032164678</v>
      </c>
      <c r="G329" s="396" t="n">
        <f aca="false">G328+acc_x*pas</f>
        <v>22.0910094005527</v>
      </c>
      <c r="H329" s="398" t="n">
        <f aca="false">H328+acc_z*pas</f>
        <v>2.75600393734538</v>
      </c>
      <c r="I329" s="397" t="n">
        <f aca="false">SQRT(vit_x^2+vit_z^2)</f>
        <v>22.2622607575684</v>
      </c>
      <c r="J329" s="396" t="n">
        <f aca="false">J328+0.5*(vit_x+G328)*pas*(K328&gt;=0)</f>
        <v>379.69409234925</v>
      </c>
      <c r="K329" s="398" t="n">
        <f aca="false">K328+0.5*(vit_z+H328)*pas</f>
        <v>1190.38743620944</v>
      </c>
      <c r="L329" s="397" t="n">
        <f aca="false">SQRT(pos_x^2+pos_z^2)</f>
        <v>1249.47583091879</v>
      </c>
      <c r="M329" s="396" t="n">
        <f aca="false">IF(AND(L328&gt;L_rampe,G329&gt;0),ATAN2(G329,H329),$M$4)</f>
        <v>0.124115542105221</v>
      </c>
      <c r="N329" s="397" t="n">
        <f aca="false">DEGREES(Beta)</f>
        <v>7.11129673460741</v>
      </c>
      <c r="P329" s="399" t="n">
        <f aca="false">MATCH(t-pas/2-T_ini,CdP_t)</f>
        <v>23</v>
      </c>
      <c r="Q329" s="397" t="n">
        <f aca="false">(INDEX(CdP,2,i_P+1)-INDEX(CdP,2,i_P+0))/(INDEX(CdP,1,i_P+1)-INDEX(CdP,1,i_P+0))*(t-pas/2-T_ini-INDEX(CdP,1,i_P+0))+INDEX(CdP,2,i_P+0)</f>
        <v>0</v>
      </c>
      <c r="R329" s="396" t="n">
        <f aca="false">Poussee/(g*ISP)</f>
        <v>0</v>
      </c>
      <c r="S329" s="398" t="n">
        <f aca="false">S328-Débit*pas</f>
        <v>8.45</v>
      </c>
      <c r="T329" s="397" t="n">
        <f aca="false">m*g</f>
        <v>82.8945</v>
      </c>
      <c r="U329" s="400" t="n">
        <f aca="false">IF(pos_xz&lt;L_rampe,Poids*COS(Beta),0)</f>
        <v>0</v>
      </c>
      <c r="V329" s="396" t="n">
        <f aca="false">Rho_moyen*(20000-Alt_rampe-pos_z)/(20000+Alt_rampe+pos_z)</f>
        <v>1.08736923569743</v>
      </c>
      <c r="W329" s="397" t="n">
        <f aca="false">1/2*Rho*Sref*Cx*vit_xz^2</f>
        <v>2.02788404873722</v>
      </c>
      <c r="Y329" s="401" t="str">
        <f aca="false">IF(AND(pos_z&lt;=0,K328&gt;0),"Impact balistique","") &amp; IF(AND(H330&lt;0,vit_z&gt;=0),"Apogée","") &amp; IF(AND(Poussee=0,Q328&gt;0),"Fin de propulsion","") &amp; IF(AND(L330&gt;L_rampe,pos_xz&lt;=L_rampe),"Sortie de rampe","")</f>
        <v/>
      </c>
      <c r="Z329" s="402" t="str">
        <f aca="false">IF(ABS(t-T_para)&lt;pas/2,"Para","")</f>
        <v/>
      </c>
      <c r="AA329" s="403" t="str">
        <f aca="false">IF(ABS(t-T_satellite)&lt;pas/2,"Satellite","")</f>
        <v/>
      </c>
      <c r="AC329" s="399" t="e">
        <f aca="false">IF(ABS(t-ROUND(t,0))&lt;0.001,t,NA())</f>
        <v>#N/A</v>
      </c>
      <c r="AD329" s="404" t="e">
        <f aca="false">IF(ABS(t-ROUND(t,0))&lt;0.001,pos_x,NA())</f>
        <v>#N/A</v>
      </c>
      <c r="AE329" s="405" t="n">
        <f aca="false">IF(t&lt;T_para, pos_z, NA())</f>
        <v>1190.38743620944</v>
      </c>
      <c r="AG329" s="396" t="n">
        <f aca="false">IF(AND(L328&lt;L_rampe,Poussee&lt;Poids*SIN(M328)),0,(-W328+Poussee)/m-Poids*SIN(M328)/m)</f>
        <v>-1.87985971727457</v>
      </c>
      <c r="AH329" s="397" t="n">
        <f aca="false">IF(AND(L328&lt;L_rampe,Poussee&lt;Poids*SIN(M328)), g*SIN(M328), (-W328+Poussee)/m)</f>
        <v>-0.243607431011915</v>
      </c>
    </row>
    <row r="330" customFormat="false" ht="12.75" hidden="false" customHeight="false" outlineLevel="0" collapsed="false">
      <c r="A330" s="396" t="n">
        <f aca="false">IF(B329+0.01&lt;=T_ini+ROUNDUP(Temps_fin_propu,0), 0.01, IF(K329&gt;0, 0.1, 0.0001))</f>
        <v>0.1</v>
      </c>
      <c r="B330" s="397" t="n">
        <f aca="false">B329+pas</f>
        <v>14.6</v>
      </c>
      <c r="D330" s="396" t="n">
        <f aca="false">IF(AND(L329&lt;L_rampe,Poussee&lt;Poids*SIN(M329)),0,(-W329+Poussee)/m*COS(M329)-U329/m*SIN(M329))</f>
        <v>-0.238140195197871</v>
      </c>
      <c r="E330" s="398" t="n">
        <f aca="false">IF(AND(L329&lt;L_rampe,Poussee&lt;Poids*SIN(M329)),0,(-W329+Poussee)/m*SIN(M329)+U329/m*COS(M329)-Poids/m)</f>
        <v>-9.83970961189257</v>
      </c>
      <c r="F330" s="397" t="n">
        <f aca="false">SQRT(acc_x^2+acc_z^2)</f>
        <v>9.84259091900806</v>
      </c>
      <c r="G330" s="396" t="n">
        <f aca="false">G329+acc_x*pas</f>
        <v>22.0671953810329</v>
      </c>
      <c r="H330" s="398" t="n">
        <f aca="false">H329+acc_z*pas</f>
        <v>1.77203297615613</v>
      </c>
      <c r="I330" s="397" t="n">
        <f aca="false">SQRT(vit_x^2+vit_z^2)</f>
        <v>22.1382296684551</v>
      </c>
      <c r="J330" s="396" t="n">
        <f aca="false">J329+0.5*(vit_x+G329)*pas*(K329&gt;=0)</f>
        <v>381.902002588329</v>
      </c>
      <c r="K330" s="398" t="n">
        <f aca="false">K329+0.5*(vit_z+H329)*pas</f>
        <v>1190.61383805511</v>
      </c>
      <c r="L330" s="397" t="n">
        <f aca="false">SQRT(pos_x^2+pos_z^2)</f>
        <v>1250.36412734423</v>
      </c>
      <c r="M330" s="396" t="n">
        <f aca="false">IF(AND(L329&gt;L_rampe,G330&gt;0),ATAN2(G330,H330),$M$4)</f>
        <v>0.0801297451817434</v>
      </c>
      <c r="N330" s="397" t="n">
        <f aca="false">DEGREES(Beta)</f>
        <v>4.59109621237264</v>
      </c>
      <c r="P330" s="399" t="n">
        <f aca="false">MATCH(t-pas/2-T_ini,CdP_t)</f>
        <v>23</v>
      </c>
      <c r="Q330" s="397" t="n">
        <f aca="false">(INDEX(CdP,2,i_P+1)-INDEX(CdP,2,i_P+0))/(INDEX(CdP,1,i_P+1)-INDEX(CdP,1,i_P+0))*(t-pas/2-T_ini-INDEX(CdP,1,i_P+0))+INDEX(CdP,2,i_P+0)</f>
        <v>0</v>
      </c>
      <c r="R330" s="396" t="n">
        <f aca="false">Poussee/(g*ISP)</f>
        <v>0</v>
      </c>
      <c r="S330" s="398" t="n">
        <f aca="false">S329-Débit*pas</f>
        <v>8.45</v>
      </c>
      <c r="T330" s="397" t="n">
        <f aca="false">m*g</f>
        <v>82.8945</v>
      </c>
      <c r="U330" s="400" t="n">
        <f aca="false">IF(pos_xz&lt;L_rampe,Poids*COS(Beta),0)</f>
        <v>0</v>
      </c>
      <c r="V330" s="396" t="n">
        <f aca="false">Rho_moyen*(20000-Alt_rampe-pos_z)/(20000+Alt_rampe+pos_z)</f>
        <v>1.08734453019966</v>
      </c>
      <c r="W330" s="397" t="n">
        <f aca="false">1/2*Rho*Sref*Cx*vit_xz^2</f>
        <v>2.00530528415405</v>
      </c>
      <c r="Y330" s="401" t="str">
        <f aca="false">IF(AND(pos_z&lt;=0,K329&gt;0),"Impact balistique","") &amp; IF(AND(H331&lt;0,vit_z&gt;=0),"Apogée","") &amp; IF(AND(Poussee=0,Q329&gt;0),"Fin de propulsion","") &amp; IF(AND(L331&gt;L_rampe,pos_xz&lt;=L_rampe),"Sortie de rampe","")</f>
        <v/>
      </c>
      <c r="Z330" s="402" t="str">
        <f aca="false">IF(ABS(t-T_para)&lt;pas/2,"Para","")</f>
        <v/>
      </c>
      <c r="AA330" s="403" t="str">
        <f aca="false">IF(ABS(t-T_satellite)&lt;pas/2,"Satellite","")</f>
        <v/>
      </c>
      <c r="AC330" s="399" t="e">
        <f aca="false">IF(ABS(t-ROUND(t,0))&lt;0.001,t,NA())</f>
        <v>#N/A</v>
      </c>
      <c r="AD330" s="404" t="e">
        <f aca="false">IF(ABS(t-ROUND(t,0))&lt;0.001,pos_x,NA())</f>
        <v>#N/A</v>
      </c>
      <c r="AE330" s="405" t="n">
        <f aca="false">IF(t&lt;T_para, pos_z, NA())</f>
        <v>1190.61383805511</v>
      </c>
      <c r="AG330" s="396" t="n">
        <f aca="false">IF(AND(L329&lt;L_rampe,Poussee&lt;Poids*SIN(M329)),0,(-W329+Poussee)/m-Poids*SIN(M329)/m)</f>
        <v>-1.4544361004517</v>
      </c>
      <c r="AH330" s="397" t="n">
        <f aca="false">IF(AND(L329&lt;L_rampe,Poussee&lt;Poids*SIN(M329)), g*SIN(M329), (-W329+Poussee)/m)</f>
        <v>-0.239986277957068</v>
      </c>
    </row>
    <row r="331" customFormat="false" ht="12.75" hidden="false" customHeight="false" outlineLevel="0" collapsed="false">
      <c r="A331" s="396" t="n">
        <f aca="false">IF(B330+0.01&lt;=T_ini+ROUNDUP(Temps_fin_propu,0), 0.01, IF(K330&gt;0, 0.1, 0.0001))</f>
        <v>0.1</v>
      </c>
      <c r="B331" s="397" t="n">
        <f aca="false">B330+pas</f>
        <v>14.7</v>
      </c>
      <c r="D331" s="396" t="n">
        <f aca="false">IF(AND(L330&lt;L_rampe,Poussee&lt;Poids*SIN(M330)),0,(-W330+Poussee)/m*COS(M330)-U330/m*SIN(M330))</f>
        <v>-0.236552771594902</v>
      </c>
      <c r="E331" s="398" t="n">
        <f aca="false">IF(AND(L330&lt;L_rampe,Poussee&lt;Poids*SIN(M330)),0,(-W330+Poussee)/m*SIN(M330)+U330/m*COS(M330)-Poids/m)</f>
        <v>-9.8289955861916</v>
      </c>
      <c r="F331" s="397" t="n">
        <f aca="false">SQRT(acc_x^2+acc_z^2)</f>
        <v>9.8318417118627</v>
      </c>
      <c r="G331" s="396" t="n">
        <f aca="false">G330+acc_x*pas</f>
        <v>22.0435401038734</v>
      </c>
      <c r="H331" s="398" t="n">
        <f aca="false">H330+acc_z*pas</f>
        <v>0.789133417536968</v>
      </c>
      <c r="I331" s="397" t="n">
        <f aca="false">SQRT(vit_x^2+vit_z^2)</f>
        <v>22.0576606162519</v>
      </c>
      <c r="J331" s="396" t="n">
        <f aca="false">J330+0.5*(vit_x+G330)*pas*(K330&gt;=0)</f>
        <v>384.107539362574</v>
      </c>
      <c r="K331" s="398" t="n">
        <f aca="false">K330+0.5*(vit_z+H330)*pas</f>
        <v>1190.7418963748</v>
      </c>
      <c r="L331" s="397" t="n">
        <f aca="false">SQRT(pos_x^2+pos_z^2)</f>
        <v>1251.16140668477</v>
      </c>
      <c r="M331" s="396" t="n">
        <f aca="false">IF(AND(L330&gt;L_rampe,G331&gt;0),ATAN2(G331,H331),$M$4)</f>
        <v>0.0357835704296911</v>
      </c>
      <c r="N331" s="397" t="n">
        <f aca="false">DEGREES(Beta)</f>
        <v>2.05024756153043</v>
      </c>
      <c r="P331" s="399" t="n">
        <f aca="false">MATCH(t-pas/2-T_ini,CdP_t)</f>
        <v>23</v>
      </c>
      <c r="Q331" s="397" t="n">
        <f aca="false">(INDEX(CdP,2,i_P+1)-INDEX(CdP,2,i_P+0))/(INDEX(CdP,1,i_P+1)-INDEX(CdP,1,i_P+0))*(t-pas/2-T_ini-INDEX(CdP,1,i_P+0))+INDEX(CdP,2,i_P+0)</f>
        <v>0</v>
      </c>
      <c r="R331" s="396" t="n">
        <f aca="false">Poussee/(g*ISP)</f>
        <v>0</v>
      </c>
      <c r="S331" s="398" t="n">
        <f aca="false">S330-Débit*pas</f>
        <v>8.45</v>
      </c>
      <c r="T331" s="397" t="n">
        <f aca="false">m*g</f>
        <v>82.8945</v>
      </c>
      <c r="U331" s="400" t="n">
        <f aca="false">IF(pos_xz&lt;L_rampe,Poids*COS(Beta),0)</f>
        <v>0</v>
      </c>
      <c r="V331" s="396" t="n">
        <f aca="false">Rho_moyen*(20000-Alt_rampe-pos_z)/(20000+Alt_rampe+pos_z)</f>
        <v>1.08733055641071</v>
      </c>
      <c r="W331" s="397" t="n">
        <f aca="false">1/2*Rho*Sref*Cx*vit_xz^2</f>
        <v>1.99071019341299</v>
      </c>
      <c r="Y331" s="401" t="str">
        <f aca="false">IF(AND(pos_z&lt;=0,K330&gt;0),"Impact balistique","") &amp; IF(AND(H332&lt;0,vit_z&gt;=0),"Apogée","") &amp; IF(AND(Poussee=0,Q330&gt;0),"Fin de propulsion","") &amp; IF(AND(L332&gt;L_rampe,pos_xz&lt;=L_rampe),"Sortie de rampe","")</f>
        <v>Apogée</v>
      </c>
      <c r="Z331" s="402" t="str">
        <f aca="false">IF(ABS(t-T_para)&lt;pas/2,"Para","")</f>
        <v/>
      </c>
      <c r="AA331" s="403" t="str">
        <f aca="false">IF(ABS(t-T_satellite)&lt;pas/2,"Satellite","")</f>
        <v/>
      </c>
      <c r="AC331" s="399" t="e">
        <f aca="false">IF(ABS(t-ROUND(t,0))&lt;0.001,t,NA())</f>
        <v>#N/A</v>
      </c>
      <c r="AD331" s="404" t="e">
        <f aca="false">IF(ABS(t-ROUND(t,0))&lt;0.001,pos_x,NA())</f>
        <v>#N/A</v>
      </c>
      <c r="AE331" s="405" t="n">
        <f aca="false">IF(t&lt;T_para, pos_z, NA())</f>
        <v>1190.7418963748</v>
      </c>
      <c r="AG331" s="396" t="n">
        <f aca="false">IF(AND(L330&lt;L_rampe,Poussee&lt;Poids*SIN(M330)),0,(-W330+Poussee)/m-Poids*SIN(M330)/m)</f>
        <v>-1.02254610549055</v>
      </c>
      <c r="AH331" s="397" t="n">
        <f aca="false">IF(AND(L330&lt;L_rampe,Poussee&lt;Poids*SIN(M330)), g*SIN(M330), (-W330+Poussee)/m)</f>
        <v>-0.23731423481113</v>
      </c>
    </row>
    <row r="332" customFormat="false" ht="12.75" hidden="false" customHeight="false" outlineLevel="0" collapsed="false">
      <c r="A332" s="396" t="n">
        <f aca="false">IF(B331+0.01&lt;=T_ini+ROUNDUP(Temps_fin_propu,0), 0.01, IF(K331&gt;0, 0.1, 0.0001))</f>
        <v>0.1</v>
      </c>
      <c r="B332" s="397" t="n">
        <f aca="false">B331+pas</f>
        <v>14.8</v>
      </c>
      <c r="D332" s="396" t="n">
        <f aca="false">IF(AND(L331&lt;L_rampe,Poussee&lt;Poids*SIN(M331)),0,(-W331+Poussee)/m*COS(M331)-U331/m*SIN(M331))</f>
        <v>-0.235436190902156</v>
      </c>
      <c r="E332" s="398" t="n">
        <f aca="false">IF(AND(L331&lt;L_rampe,Poussee&lt;Poids*SIN(M331)),0,(-W331+Poussee)/m*SIN(M331)+U331/m*COS(M331)-Poids/m)</f>
        <v>-9.81842834522327</v>
      </c>
      <c r="F332" s="397" t="n">
        <f aca="false">SQRT(acc_x^2+acc_z^2)</f>
        <v>9.82125070295379</v>
      </c>
      <c r="G332" s="396" t="n">
        <f aca="false">G331+acc_x*pas</f>
        <v>22.0199964847832</v>
      </c>
      <c r="H332" s="398" t="n">
        <f aca="false">H331+acc_z*pas</f>
        <v>-0.19270941698536</v>
      </c>
      <c r="I332" s="397" t="n">
        <f aca="false">SQRT(vit_x^2+vit_z^2)</f>
        <v>22.0208397230727</v>
      </c>
      <c r="J332" s="396" t="n">
        <f aca="false">J331+0.5*(vit_x+G331)*pas*(K331&gt;=0)</f>
        <v>386.310716192007</v>
      </c>
      <c r="K332" s="398" t="n">
        <f aca="false">K331+0.5*(vit_z+H331)*pas</f>
        <v>1190.77171757483</v>
      </c>
      <c r="L332" s="397" t="n">
        <f aca="false">SQRT(pos_x^2+pos_z^2)</f>
        <v>1251.86790549997</v>
      </c>
      <c r="M332" s="396" t="n">
        <f aca="false">IF(AND(L331&gt;L_rampe,G332&gt;0),ATAN2(G332,H332),$M$4)</f>
        <v>-0.00875134096778569</v>
      </c>
      <c r="N332" s="397" t="n">
        <f aca="false">DEGREES(Beta)</f>
        <v>-0.501414902534054</v>
      </c>
      <c r="P332" s="399" t="n">
        <f aca="false">MATCH(t-pas/2-T_ini,CdP_t)</f>
        <v>23</v>
      </c>
      <c r="Q332" s="397" t="n">
        <f aca="false">(INDEX(CdP,2,i_P+1)-INDEX(CdP,2,i_P+0))/(INDEX(CdP,1,i_P+1)-INDEX(CdP,1,i_P+0))*(t-pas/2-T_ini-INDEX(CdP,1,i_P+0))+INDEX(CdP,2,i_P+0)</f>
        <v>0</v>
      </c>
      <c r="R332" s="396" t="n">
        <f aca="false">Poussee/(g*ISP)</f>
        <v>0</v>
      </c>
      <c r="S332" s="398" t="n">
        <f aca="false">S331-Débit*pas</f>
        <v>8.45</v>
      </c>
      <c r="T332" s="397" t="n">
        <f aca="false">m*g</f>
        <v>82.8945</v>
      </c>
      <c r="U332" s="400" t="n">
        <f aca="false">IF(pos_xz&lt;L_rampe,Poids*COS(Beta),0)</f>
        <v>0</v>
      </c>
      <c r="V332" s="396" t="n">
        <f aca="false">Rho_moyen*(20000-Alt_rampe-pos_z)/(20000+Alt_rampe+pos_z)</f>
        <v>1.08732730233044</v>
      </c>
      <c r="W332" s="397" t="n">
        <f aca="false">1/2*Rho*Sref*Cx*vit_xz^2</f>
        <v>1.98406361056277</v>
      </c>
      <c r="Y332" s="401" t="str">
        <f aca="false">IF(AND(pos_z&lt;=0,K331&gt;0),"Impact balistique","") &amp; IF(AND(H333&lt;0,vit_z&gt;=0),"Apogée","") &amp; IF(AND(Poussee=0,Q331&gt;0),"Fin de propulsion","") &amp; IF(AND(L333&gt;L_rampe,pos_xz&lt;=L_rampe),"Sortie de rampe","")</f>
        <v/>
      </c>
      <c r="Z332" s="402" t="str">
        <f aca="false">IF(ABS(t-T_para)&lt;pas/2,"Para","")</f>
        <v/>
      </c>
      <c r="AA332" s="403" t="str">
        <f aca="false">IF(ABS(t-T_satellite)&lt;pas/2,"Satellite","")</f>
        <v/>
      </c>
      <c r="AC332" s="399" t="e">
        <f aca="false">IF(ABS(t-ROUND(t,0))&lt;0.001,t,NA())</f>
        <v>#N/A</v>
      </c>
      <c r="AD332" s="404" t="e">
        <f aca="false">IF(ABS(t-ROUND(t,0))&lt;0.001,pos_x,NA())</f>
        <v>#N/A</v>
      </c>
      <c r="AE332" s="405" t="n">
        <f aca="false">IF(t&lt;T_para, pos_z, NA())</f>
        <v>1190.77171757483</v>
      </c>
      <c r="AG332" s="396" t="n">
        <f aca="false">IF(AND(L331&lt;L_rampe,Poussee&lt;Poids*SIN(M331)),0,(-W331+Poussee)/m-Poids*SIN(M331)/m)</f>
        <v>-0.586548920851118</v>
      </c>
      <c r="AH332" s="397" t="n">
        <f aca="false">IF(AND(L331&lt;L_rampe,Poussee&lt;Poids*SIN(M331)), g*SIN(M331), (-W331+Poussee)/m)</f>
        <v>-0.235587005137633</v>
      </c>
    </row>
    <row r="333" customFormat="false" ht="12.75" hidden="false" customHeight="false" outlineLevel="0" collapsed="false">
      <c r="A333" s="396" t="n">
        <f aca="false">IF(B332+0.01&lt;=T_ini+ROUNDUP(Temps_fin_propu,0), 0.01, IF(K332&gt;0, 0.1, 0.0001))</f>
        <v>0.1</v>
      </c>
      <c r="B333" s="397" t="n">
        <f aca="false">B332+pas</f>
        <v>14.9</v>
      </c>
      <c r="D333" s="396" t="n">
        <f aca="false">IF(AND(L332&lt;L_rampe,Poussee&lt;Poids*SIN(M332)),0,(-W332+Poussee)/m*COS(M332)-U332/m*SIN(M332))</f>
        <v>-0.234791436133827</v>
      </c>
      <c r="E333" s="398" t="n">
        <f aca="false">IF(AND(L332&lt;L_rampe,Poussee&lt;Poids*SIN(M332)),0,(-W332+Poussee)/m*SIN(M332)+U332/m*COS(M332)-Poids/m)</f>
        <v>-9.80794520762972</v>
      </c>
      <c r="F333" s="397" t="n">
        <f aca="false">SQRT(acc_x^2+acc_z^2)</f>
        <v>9.81075512967012</v>
      </c>
      <c r="G333" s="396" t="n">
        <f aca="false">G332+acc_x*pas</f>
        <v>21.9965173411698</v>
      </c>
      <c r="H333" s="398" t="n">
        <f aca="false">H332+acc_z*pas</f>
        <v>-1.17350393774833</v>
      </c>
      <c r="I333" s="397" t="n">
        <f aca="false">SQRT(vit_x^2+vit_z^2)</f>
        <v>22.0277980432066</v>
      </c>
      <c r="J333" s="396" t="n">
        <f aca="false">J332+0.5*(vit_x+G332)*pas*(K332&gt;=0)</f>
        <v>388.511541883305</v>
      </c>
      <c r="K333" s="398" t="n">
        <f aca="false">K332+0.5*(vit_z+H332)*pas</f>
        <v>1190.70340690709</v>
      </c>
      <c r="L333" s="397" t="n">
        <f aca="false">SQRT(pos_x^2+pos_z^2)</f>
        <v>1252.48386073302</v>
      </c>
      <c r="M333" s="396" t="n">
        <f aca="false">IF(AND(L332&gt;L_rampe,G333&gt;0),ATAN2(G333,H333),$M$4)</f>
        <v>-0.0532990057160772</v>
      </c>
      <c r="N333" s="397" t="n">
        <f aca="false">DEGREES(Beta)</f>
        <v>-3.05380807977488</v>
      </c>
      <c r="P333" s="399" t="n">
        <f aca="false">MATCH(t-pas/2-T_ini,CdP_t)</f>
        <v>23</v>
      </c>
      <c r="Q333" s="397" t="n">
        <f aca="false">(INDEX(CdP,2,i_P+1)-INDEX(CdP,2,i_P+0))/(INDEX(CdP,1,i_P+1)-INDEX(CdP,1,i_P+0))*(t-pas/2-T_ini-INDEX(CdP,1,i_P+0))+INDEX(CdP,2,i_P+0)</f>
        <v>0</v>
      </c>
      <c r="R333" s="396" t="n">
        <f aca="false">Poussee/(g*ISP)</f>
        <v>0</v>
      </c>
      <c r="S333" s="398" t="n">
        <f aca="false">S332-Débit*pas</f>
        <v>8.45</v>
      </c>
      <c r="T333" s="397" t="n">
        <f aca="false">m*g</f>
        <v>82.8945</v>
      </c>
      <c r="U333" s="400" t="n">
        <f aca="false">IF(pos_xz&lt;L_rampe,Poids*COS(Beta),0)</f>
        <v>0</v>
      </c>
      <c r="V333" s="396" t="n">
        <f aca="false">Rho_moyen*(20000-Alt_rampe-pos_z)/(20000+Alt_rampe+pos_z)</f>
        <v>1.08733475638324</v>
      </c>
      <c r="W333" s="397" t="n">
        <f aca="false">1/2*Rho*Sref*Cx*vit_xz^2</f>
        <v>1.98533129920532</v>
      </c>
      <c r="Y333" s="401" t="str">
        <f aca="false">IF(AND(pos_z&lt;=0,K332&gt;0),"Impact balistique","") &amp; IF(AND(H334&lt;0,vit_z&gt;=0),"Apogée","") &amp; IF(AND(Poussee=0,Q332&gt;0),"Fin de propulsion","") &amp; IF(AND(L334&gt;L_rampe,pos_xz&lt;=L_rampe),"Sortie de rampe","")</f>
        <v/>
      </c>
      <c r="Z333" s="402" t="str">
        <f aca="false">IF(ABS(t-T_para)&lt;pas/2,"Para","")</f>
        <v/>
      </c>
      <c r="AA333" s="403" t="str">
        <f aca="false">IF(ABS(t-T_satellite)&lt;pas/2,"Satellite","")</f>
        <v/>
      </c>
      <c r="AC333" s="399" t="e">
        <f aca="false">IF(ABS(t-ROUND(t,0))&lt;0.001,t,NA())</f>
        <v>#N/A</v>
      </c>
      <c r="AD333" s="404" t="e">
        <f aca="false">IF(ABS(t-ROUND(t,0))&lt;0.001,pos_x,NA())</f>
        <v>#N/A</v>
      </c>
      <c r="AE333" s="405" t="n">
        <f aca="false">IF(t&lt;T_para, pos_z, NA())</f>
        <v>1190.70340690709</v>
      </c>
      <c r="AG333" s="396" t="n">
        <f aca="false">IF(AND(L332&lt;L_rampe,Poussee&lt;Poids*SIN(M332)),0,(-W332+Poussee)/m-Poids*SIN(M332)/m)</f>
        <v>-0.14895086821329</v>
      </c>
      <c r="AH333" s="397" t="n">
        <f aca="false">IF(AND(L332&lt;L_rampe,Poussee&lt;Poids*SIN(M332)), g*SIN(M332), (-W332+Poussee)/m)</f>
        <v>-0.234800427285535</v>
      </c>
    </row>
    <row r="334" customFormat="false" ht="12.75" hidden="false" customHeight="false" outlineLevel="0" collapsed="false">
      <c r="A334" s="396" t="n">
        <f aca="false">IF(B333+0.01&lt;=T_ini+ROUNDUP(Temps_fin_propu,0), 0.01, IF(K333&gt;0, 0.1, 0.0001))</f>
        <v>0.1</v>
      </c>
      <c r="B334" s="397" t="n">
        <f aca="false">B333+pas</f>
        <v>15</v>
      </c>
      <c r="D334" s="396" t="n">
        <f aca="false">IF(AND(L333&lt;L_rampe,Poussee&lt;Poids*SIN(M333)),0,(-W333+Poussee)/m*COS(M333)-U333/m*SIN(M333))</f>
        <v>-0.234616806864997</v>
      </c>
      <c r="E334" s="398" t="n">
        <f aca="false">IF(AND(L333&lt;L_rampe,Poussee&lt;Poids*SIN(M333)),0,(-W333+Poussee)/m*SIN(M333)+U333/m*COS(M333)-Poids/m)</f>
        <v>-9.79748330281346</v>
      </c>
      <c r="F334" s="397" t="n">
        <f aca="false">SQRT(acc_x^2+acc_z^2)</f>
        <v>9.80029204233078</v>
      </c>
      <c r="G334" s="396" t="n">
        <f aca="false">G333+acc_x*pas</f>
        <v>21.9730556604833</v>
      </c>
      <c r="H334" s="398" t="n">
        <f aca="false">H333+acc_z*pas</f>
        <v>-2.15325226802968</v>
      </c>
      <c r="I334" s="397" t="n">
        <f aca="false">SQRT(vit_x^2+vit_z^2)</f>
        <v>22.0783076885089</v>
      </c>
      <c r="J334" s="396" t="n">
        <f aca="false">J333+0.5*(vit_x+G333)*pas*(K333&gt;=0)</f>
        <v>390.710020533387</v>
      </c>
      <c r="K334" s="398" t="n">
        <f aca="false">K333+0.5*(vit_z+H333)*pas</f>
        <v>1190.5370690968</v>
      </c>
      <c r="L334" s="397" t="n">
        <f aca="false">SQRT(pos_x^2+pos_z^2)</f>
        <v>1253.00951035449</v>
      </c>
      <c r="M334" s="396" t="n">
        <f aca="false">IF(AND(L333&gt;L_rampe,G334&gt;0),ATAN2(G334,H334),$M$4)</f>
        <v>-0.0976832331693105</v>
      </c>
      <c r="N334" s="397" t="n">
        <f aca="false">DEGREES(Beta)</f>
        <v>-5.59683698979382</v>
      </c>
      <c r="P334" s="399" t="n">
        <f aca="false">MATCH(t-pas/2-T_ini,CdP_t)</f>
        <v>23</v>
      </c>
      <c r="Q334" s="397" t="n">
        <f aca="false">(INDEX(CdP,2,i_P+1)-INDEX(CdP,2,i_P+0))/(INDEX(CdP,1,i_P+1)-INDEX(CdP,1,i_P+0))*(t-pas/2-T_ini-INDEX(CdP,1,i_P+0))+INDEX(CdP,2,i_P+0)</f>
        <v>0</v>
      </c>
      <c r="R334" s="396" t="n">
        <f aca="false">Poussee/(g*ISP)</f>
        <v>0</v>
      </c>
      <c r="S334" s="398" t="n">
        <f aca="false">S333-Débit*pas</f>
        <v>8.45</v>
      </c>
      <c r="T334" s="397" t="n">
        <f aca="false">m*g</f>
        <v>82.8945</v>
      </c>
      <c r="U334" s="400" t="n">
        <f aca="false">IF(pos_xz&lt;L_rampe,Poids*COS(Beta),0)</f>
        <v>0</v>
      </c>
      <c r="V334" s="396" t="n">
        <f aca="false">Rho_moyen*(20000-Alt_rampe-pos_z)/(20000+Alt_rampe+pos_z)</f>
        <v>1.0873529073484</v>
      </c>
      <c r="W334" s="397" t="n">
        <f aca="false">1/2*Rho*Sref*Cx*vit_xz^2</f>
        <v>1.99447974329412</v>
      </c>
      <c r="Y334" s="401" t="str">
        <f aca="false">IF(AND(pos_z&lt;=0,K333&gt;0),"Impact balistique","") &amp; IF(AND(H335&lt;0,vit_z&gt;=0),"Apogée","") &amp; IF(AND(Poussee=0,Q333&gt;0),"Fin de propulsion","") &amp; IF(AND(L335&gt;L_rampe,pos_xz&lt;=L_rampe),"Sortie de rampe","")</f>
        <v/>
      </c>
      <c r="Z334" s="402" t="str">
        <f aca="false">IF(ABS(t-T_para)&lt;pas/2,"Para","")</f>
        <v/>
      </c>
      <c r="AA334" s="403" t="str">
        <f aca="false">IF(ABS(t-T_satellite)&lt;pas/2,"Satellite","")</f>
        <v/>
      </c>
      <c r="AC334" s="399" t="n">
        <f aca="false">IF(ABS(t-ROUND(t,0))&lt;0.001,t,NA())</f>
        <v>15</v>
      </c>
      <c r="AD334" s="404" t="n">
        <f aca="false">IF(ABS(t-ROUND(t,0))&lt;0.001,pos_x,NA())</f>
        <v>390.710020533387</v>
      </c>
      <c r="AE334" s="405" t="n">
        <f aca="false">IF(t&lt;T_para, pos_z, NA())</f>
        <v>1190.5370690968</v>
      </c>
      <c r="AG334" s="396" t="n">
        <f aca="false">IF(AND(L333&lt;L_rampe,Poussee&lt;Poids*SIN(M333)),0,(-W333+Poussee)/m-Poids*SIN(M333)/m)</f>
        <v>0.287665274700191</v>
      </c>
      <c r="AH334" s="397" t="n">
        <f aca="false">IF(AND(L333&lt;L_rampe,Poussee&lt;Poids*SIN(M333)), g*SIN(M333), (-W333+Poussee)/m)</f>
        <v>-0.234950449610097</v>
      </c>
    </row>
    <row r="335" customFormat="false" ht="12.75" hidden="false" customHeight="false" outlineLevel="0" collapsed="false">
      <c r="A335" s="396" t="n">
        <f aca="false">IF(B334+0.01&lt;=T_ini+ROUNDUP(Temps_fin_propu,0), 0.01, IF(K334&gt;0, 0.1, 0.0001))</f>
        <v>0.1</v>
      </c>
      <c r="B335" s="397" t="n">
        <f aca="false">B334+pas</f>
        <v>15.1</v>
      </c>
      <c r="D335" s="396" t="n">
        <f aca="false">IF(AND(L334&lt;L_rampe,Poussee&lt;Poids*SIN(M334)),0,(-W334+Poussee)/m*COS(M334)-U334/m*SIN(M334))</f>
        <v>-0.23490788527682</v>
      </c>
      <c r="E335" s="398" t="n">
        <f aca="false">IF(AND(L334&lt;L_rampe,Poussee&lt;Poids*SIN(M334)),0,(-W334+Poussee)/m*SIN(M334)+U334/m*COS(M334)-Poids/m)</f>
        <v>-9.78698017314633</v>
      </c>
      <c r="F335" s="397" t="n">
        <f aca="false">SQRT(acc_x^2+acc_z^2)</f>
        <v>9.78979890621481</v>
      </c>
      <c r="G335" s="396" t="n">
        <f aca="false">G334+acc_x*pas</f>
        <v>21.9495648719556</v>
      </c>
      <c r="H335" s="398" t="n">
        <f aca="false">H334+acc_z*pas</f>
        <v>-3.13195028534431</v>
      </c>
      <c r="I335" s="397" t="n">
        <f aca="false">SQRT(vit_x^2+vit_z^2)</f>
        <v>22.1718855909473</v>
      </c>
      <c r="J335" s="396" t="n">
        <f aca="false">J334+0.5*(vit_x+G334)*pas*(K334&gt;=0)</f>
        <v>392.906151560009</v>
      </c>
      <c r="K335" s="398" t="n">
        <f aca="false">K334+0.5*(vit_z+H334)*pas</f>
        <v>1190.27280896913</v>
      </c>
      <c r="L335" s="397" t="n">
        <f aca="false">SQRT(pos_x^2+pos_z^2)</f>
        <v>1253.44509401288</v>
      </c>
      <c r="M335" s="396" t="n">
        <f aca="false">IF(AND(L334&gt;L_rampe,G335&gt;0),ATAN2(G335,H335),$M$4)</f>
        <v>-0.141731771689282</v>
      </c>
      <c r="N335" s="397" t="n">
        <f aca="false">DEGREES(Beta)</f>
        <v>-8.1206323407076</v>
      </c>
      <c r="P335" s="399" t="n">
        <f aca="false">MATCH(t-pas/2-T_ini,CdP_t)</f>
        <v>23</v>
      </c>
      <c r="Q335" s="397" t="n">
        <f aca="false">(INDEX(CdP,2,i_P+1)-INDEX(CdP,2,i_P+0))/(INDEX(CdP,1,i_P+1)-INDEX(CdP,1,i_P+0))*(t-pas/2-T_ini-INDEX(CdP,1,i_P+0))+INDEX(CdP,2,i_P+0)</f>
        <v>0</v>
      </c>
      <c r="R335" s="396" t="n">
        <f aca="false">Poussee/(g*ISP)</f>
        <v>0</v>
      </c>
      <c r="S335" s="398" t="n">
        <f aca="false">S334-Débit*pas</f>
        <v>8.45</v>
      </c>
      <c r="T335" s="397" t="n">
        <f aca="false">m*g</f>
        <v>82.8945</v>
      </c>
      <c r="U335" s="400" t="n">
        <f aca="false">IF(pos_xz&lt;L_rampe,Poids*COS(Beta),0)</f>
        <v>0</v>
      </c>
      <c r="V335" s="396" t="n">
        <f aca="false">Rho_moyen*(20000-Alt_rampe-pos_z)/(20000+Alt_rampe+pos_z)</f>
        <v>1.08738174429071</v>
      </c>
      <c r="W335" s="397" t="n">
        <f aca="false">1/2*Rho*Sref*Cx*vit_xz^2</f>
        <v>2.01147593994222</v>
      </c>
      <c r="Y335" s="401" t="str">
        <f aca="false">IF(AND(pos_z&lt;=0,K334&gt;0),"Impact balistique","") &amp; IF(AND(H336&lt;0,vit_z&gt;=0),"Apogée","") &amp; IF(AND(Poussee=0,Q334&gt;0),"Fin de propulsion","") &amp; IF(AND(L336&gt;L_rampe,pos_xz&lt;=L_rampe),"Sortie de rampe","")</f>
        <v/>
      </c>
      <c r="Z335" s="402" t="str">
        <f aca="false">IF(ABS(t-T_para)&lt;pas/2,"Para","")</f>
        <v/>
      </c>
      <c r="AA335" s="403" t="str">
        <f aca="false">IF(ABS(t-T_satellite)&lt;pas/2,"Satellite","")</f>
        <v/>
      </c>
      <c r="AC335" s="399" t="e">
        <f aca="false">IF(ABS(t-ROUND(t,0))&lt;0.001,t,NA())</f>
        <v>#N/A</v>
      </c>
      <c r="AD335" s="404" t="e">
        <f aca="false">IF(ABS(t-ROUND(t,0))&lt;0.001,pos_x,NA())</f>
        <v>#N/A</v>
      </c>
      <c r="AE335" s="405" t="n">
        <f aca="false">IF(t&lt;T_para, pos_z, NA())</f>
        <v>1190.27280896913</v>
      </c>
      <c r="AG335" s="396" t="n">
        <f aca="false">IF(AND(L334&lt;L_rampe,Poussee&lt;Poids*SIN(M334)),0,(-W334+Poussee)/m-Poids*SIN(M334)/m)</f>
        <v>0.720716163630451</v>
      </c>
      <c r="AH335" s="397" t="n">
        <f aca="false">IF(AND(L334&lt;L_rampe,Poussee&lt;Poids*SIN(M334)), g*SIN(M334), (-W334+Poussee)/m)</f>
        <v>-0.23603310571528</v>
      </c>
    </row>
    <row r="336" customFormat="false" ht="12.75" hidden="false" customHeight="false" outlineLevel="0" collapsed="false">
      <c r="A336" s="396" t="n">
        <f aca="false">IF(B335+0.01&lt;=T_ini+ROUNDUP(Temps_fin_propu,0), 0.01, IF(K335&gt;0, 0.1, 0.0001))</f>
        <v>0.1</v>
      </c>
      <c r="B336" s="397" t="n">
        <f aca="false">B335+pas</f>
        <v>15.2</v>
      </c>
      <c r="D336" s="396" t="n">
        <f aca="false">IF(AND(L335&lt;L_rampe,Poussee&lt;Poids*SIN(M335)),0,(-W335+Poussee)/m*COS(M335)-U335/m*SIN(M335))</f>
        <v>-0.235657583239156</v>
      </c>
      <c r="E336" s="398" t="n">
        <f aca="false">IF(AND(L335&lt;L_rampe,Poussee&lt;Poids*SIN(M335)),0,(-W335+Poussee)/m*SIN(M335)+U335/m*COS(M335)-Poids/m)</f>
        <v>-9.77637437510151</v>
      </c>
      <c r="F336" s="397" t="n">
        <f aca="false">SQRT(acc_x^2+acc_z^2)</f>
        <v>9.77921420251544</v>
      </c>
      <c r="G336" s="396" t="n">
        <f aca="false">G335+acc_x*pas</f>
        <v>21.9259991136317</v>
      </c>
      <c r="H336" s="398" t="n">
        <f aca="false">H335+acc_z*pas</f>
        <v>-4.10958772285446</v>
      </c>
      <c r="I336" s="397" t="n">
        <f aca="false">SQRT(vit_x^2+vit_z^2)</f>
        <v>22.3078046517988</v>
      </c>
      <c r="J336" s="396" t="n">
        <f aca="false">J335+0.5*(vit_x+G335)*pas*(K335&gt;=0)</f>
        <v>395.099929759289</v>
      </c>
      <c r="K336" s="398" t="n">
        <f aca="false">K335+0.5*(vit_z+H335)*pas</f>
        <v>1189.91073206872</v>
      </c>
      <c r="L336" s="397" t="n">
        <f aca="false">SQRT(pos_x^2+pos_z^2)</f>
        <v>1253.79085368658</v>
      </c>
      <c r="M336" s="396" t="n">
        <f aca="false">IF(AND(L335&gt;L_rampe,G336&gt;0),ATAN2(G336,H336),$M$4)</f>
        <v>-0.185280225554533</v>
      </c>
      <c r="N336" s="397" t="n">
        <f aca="false">DEGREES(Beta)</f>
        <v>-10.6157749515067</v>
      </c>
      <c r="P336" s="399" t="n">
        <f aca="false">MATCH(t-pas/2-T_ini,CdP_t)</f>
        <v>23</v>
      </c>
      <c r="Q336" s="397" t="n">
        <f aca="false">(INDEX(CdP,2,i_P+1)-INDEX(CdP,2,i_P+0))/(INDEX(CdP,1,i_P+1)-INDEX(CdP,1,i_P+0))*(t-pas/2-T_ini-INDEX(CdP,1,i_P+0))+INDEX(CdP,2,i_P+0)</f>
        <v>0</v>
      </c>
      <c r="R336" s="396" t="n">
        <f aca="false">Poussee/(g*ISP)</f>
        <v>0</v>
      </c>
      <c r="S336" s="398" t="n">
        <f aca="false">S335-Débit*pas</f>
        <v>8.45</v>
      </c>
      <c r="T336" s="397" t="n">
        <f aca="false">m*g</f>
        <v>82.8945</v>
      </c>
      <c r="U336" s="400" t="n">
        <f aca="false">IF(pos_xz&lt;L_rampe,Poids*COS(Beta),0)</f>
        <v>0</v>
      </c>
      <c r="V336" s="396" t="n">
        <f aca="false">Rho_moyen*(20000-Alt_rampe-pos_z)/(20000+Alt_rampe+pos_z)</f>
        <v>1.08742125649183</v>
      </c>
      <c r="W336" s="397" t="n">
        <f aca="false">1/2*Rho*Sref*Cx*vit_xz^2</f>
        <v>2.03628719609617</v>
      </c>
      <c r="Y336" s="401" t="str">
        <f aca="false">IF(AND(pos_z&lt;=0,K335&gt;0),"Impact balistique","") &amp; IF(AND(H337&lt;0,vit_z&gt;=0),"Apogée","") &amp; IF(AND(Poussee=0,Q335&gt;0),"Fin de propulsion","") &amp; IF(AND(L337&gt;L_rampe,pos_xz&lt;=L_rampe),"Sortie de rampe","")</f>
        <v/>
      </c>
      <c r="Z336" s="402" t="str">
        <f aca="false">IF(ABS(t-T_para)&lt;pas/2,"Para","")</f>
        <v/>
      </c>
      <c r="AA336" s="403" t="str">
        <f aca="false">IF(ABS(t-T_satellite)&lt;pas/2,"Satellite","")</f>
        <v/>
      </c>
      <c r="AC336" s="399" t="e">
        <f aca="false">IF(ABS(t-ROUND(t,0))&lt;0.001,t,NA())</f>
        <v>#N/A</v>
      </c>
      <c r="AD336" s="404" t="e">
        <f aca="false">IF(ABS(t-ROUND(t,0))&lt;0.001,pos_x,NA())</f>
        <v>#N/A</v>
      </c>
      <c r="AE336" s="405" t="n">
        <f aca="false">IF(t&lt;T_para, pos_z, NA())</f>
        <v>1189.91073206872</v>
      </c>
      <c r="AG336" s="396" t="n">
        <f aca="false">IF(AND(L335&lt;L_rampe,Poussee&lt;Poids*SIN(M335)),0,(-W335+Poussee)/m-Poids*SIN(M335)/m)</f>
        <v>1.14769386656251</v>
      </c>
      <c r="AH336" s="397" t="n">
        <f aca="false">IF(AND(L335&lt;L_rampe,Poussee&lt;Poids*SIN(M335)), g*SIN(M335), (-W335+Poussee)/m)</f>
        <v>-0.23804448993399</v>
      </c>
    </row>
    <row r="337" customFormat="false" ht="12.75" hidden="false" customHeight="false" outlineLevel="0" collapsed="false">
      <c r="A337" s="396" t="n">
        <f aca="false">IF(B336+0.01&lt;=T_ini+ROUNDUP(Temps_fin_propu,0), 0.01, IF(K336&gt;0, 0.1, 0.0001))</f>
        <v>0.1</v>
      </c>
      <c r="B337" s="397" t="n">
        <f aca="false">B336+pas</f>
        <v>15.3</v>
      </c>
      <c r="D337" s="396" t="n">
        <f aca="false">IF(AND(L336&lt;L_rampe,Poussee&lt;Poids*SIN(M336)),0,(-W336+Poussee)/m*COS(M336)-U336/m*SIN(M336))</f>
        <v>-0.236856267412339</v>
      </c>
      <c r="E337" s="398" t="n">
        <f aca="false">IF(AND(L336&lt;L_rampe,Poussee&lt;Poids*SIN(M336)),0,(-W336+Poussee)/m*SIN(M336)+U336/m*COS(M336)-Poids/m)</f>
        <v>-9.76560605454765</v>
      </c>
      <c r="F337" s="397" t="n">
        <f aca="false">SQRT(acc_x^2+acc_z^2)</f>
        <v>9.76847800345736</v>
      </c>
      <c r="G337" s="396" t="n">
        <f aca="false">G336+acc_x*pas</f>
        <v>21.9023134868905</v>
      </c>
      <c r="H337" s="398" t="n">
        <f aca="false">H336+acc_z*pas</f>
        <v>-5.08614832830923</v>
      </c>
      <c r="I337" s="397" t="n">
        <f aca="false">SQRT(vit_x^2+vit_z^2)</f>
        <v>22.4851115384289</v>
      </c>
      <c r="J337" s="396" t="n">
        <f aca="false">J336+0.5*(vit_x+G336)*pas*(K336&gt;=0)</f>
        <v>397.291345389315</v>
      </c>
      <c r="K337" s="398" t="n">
        <f aca="false">K336+0.5*(vit_z+H336)*pas</f>
        <v>1189.45094526616</v>
      </c>
      <c r="L337" s="397" t="n">
        <f aca="false">SQRT(pos_x^2+pos_z^2)</f>
        <v>1254.04703433158</v>
      </c>
      <c r="M337" s="396" t="n">
        <f aca="false">IF(AND(L336&gt;L_rampe,G337&gt;0),ATAN2(G337,H337),$M$4)</f>
        <v>-0.22817552588813</v>
      </c>
      <c r="N337" s="397" t="n">
        <f aca="false">DEGREES(Beta)</f>
        <v>-13.0734946215679</v>
      </c>
      <c r="P337" s="399" t="n">
        <f aca="false">MATCH(t-pas/2-T_ini,CdP_t)</f>
        <v>23</v>
      </c>
      <c r="Q337" s="397" t="n">
        <f aca="false">(INDEX(CdP,2,i_P+1)-INDEX(CdP,2,i_P+0))/(INDEX(CdP,1,i_P+1)-INDEX(CdP,1,i_P+0))*(t-pas/2-T_ini-INDEX(CdP,1,i_P+0))+INDEX(CdP,2,i_P+0)</f>
        <v>0</v>
      </c>
      <c r="R337" s="396" t="n">
        <f aca="false">Poussee/(g*ISP)</f>
        <v>0</v>
      </c>
      <c r="S337" s="398" t="n">
        <f aca="false">S336-Débit*pas</f>
        <v>8.45</v>
      </c>
      <c r="T337" s="397" t="n">
        <f aca="false">m*g</f>
        <v>82.8945</v>
      </c>
      <c r="U337" s="400" t="n">
        <f aca="false">IF(pos_xz&lt;L_rampe,Poids*COS(Beta),0)</f>
        <v>0</v>
      </c>
      <c r="V337" s="396" t="n">
        <f aca="false">Rho_moyen*(20000-Alt_rampe-pos_z)/(20000+Alt_rampe+pos_z)</f>
        <v>1.08747143338308</v>
      </c>
      <c r="W337" s="397" t="n">
        <f aca="false">1/2*Rho*Sref*Cx*vit_xz^2</f>
        <v>2.06888093088108</v>
      </c>
      <c r="Y337" s="401" t="str">
        <f aca="false">IF(AND(pos_z&lt;=0,K336&gt;0),"Impact balistique","") &amp; IF(AND(H338&lt;0,vit_z&gt;=0),"Apogée","") &amp; IF(AND(Poussee=0,Q336&gt;0),"Fin de propulsion","") &amp; IF(AND(L338&gt;L_rampe,pos_xz&lt;=L_rampe),"Sortie de rampe","")</f>
        <v/>
      </c>
      <c r="Z337" s="402" t="str">
        <f aca="false">IF(ABS(t-T_para)&lt;pas/2,"Para","")</f>
        <v/>
      </c>
      <c r="AA337" s="403" t="str">
        <f aca="false">IF(ABS(t-T_satellite)&lt;pas/2,"Satellite","")</f>
        <v/>
      </c>
      <c r="AC337" s="399" t="e">
        <f aca="false">IF(ABS(t-ROUND(t,0))&lt;0.001,t,NA())</f>
        <v>#N/A</v>
      </c>
      <c r="AD337" s="404" t="e">
        <f aca="false">IF(ABS(t-ROUND(t,0))&lt;0.001,pos_x,NA())</f>
        <v>#N/A</v>
      </c>
      <c r="AE337" s="405" t="n">
        <f aca="false">IF(t&lt;T_para, pos_z, NA())</f>
        <v>1189.45094526616</v>
      </c>
      <c r="AG337" s="396" t="n">
        <f aca="false">IF(AND(L336&lt;L_rampe,Poussee&lt;Poids*SIN(M336)),0,(-W336+Poussee)/m-Poids*SIN(M336)/m)</f>
        <v>1.56623679398429</v>
      </c>
      <c r="AH337" s="397" t="n">
        <f aca="false">IF(AND(L336&lt;L_rampe,Poussee&lt;Poids*SIN(M336)), g*SIN(M336), (-W336+Poussee)/m)</f>
        <v>-0.240980733265819</v>
      </c>
    </row>
    <row r="338" customFormat="false" ht="12.75" hidden="false" customHeight="false" outlineLevel="0" collapsed="false">
      <c r="A338" s="396" t="n">
        <f aca="false">IF(B337+0.01&lt;=T_ini+ROUNDUP(Temps_fin_propu,0), 0.01, IF(K337&gt;0, 0.1, 0.0001))</f>
        <v>0.1</v>
      </c>
      <c r="B338" s="397" t="n">
        <f aca="false">B337+pas</f>
        <v>15.4</v>
      </c>
      <c r="D338" s="396" t="n">
        <f aca="false">IF(AND(L337&lt;L_rampe,Poussee&lt;Poids*SIN(M337)),0,(-W337+Poussee)/m*COS(M337)-U337/m*SIN(M337))</f>
        <v>-0.238491954197505</v>
      </c>
      <c r="E338" s="398" t="n">
        <f aca="false">IF(AND(L337&lt;L_rampe,Poussee&lt;Poids*SIN(M337)),0,(-W337+Poussee)/m*SIN(M337)+U337/m*COS(M337)-Poids/m)</f>
        <v>-9.75461747363433</v>
      </c>
      <c r="F338" s="397" t="n">
        <f aca="false">SQRT(acc_x^2+acc_z^2)</f>
        <v>9.75753249900553</v>
      </c>
      <c r="G338" s="396" t="n">
        <f aca="false">G337+acc_x*pas</f>
        <v>21.8784642914707</v>
      </c>
      <c r="H338" s="398" t="n">
        <f aca="false">H337+acc_z*pas</f>
        <v>-6.06161007567266</v>
      </c>
      <c r="I338" s="397" t="n">
        <f aca="false">SQRT(vit_x^2+vit_z^2)</f>
        <v>22.7026499876701</v>
      </c>
      <c r="J338" s="396" t="n">
        <f aca="false">J337+0.5*(vit_x+G337)*pas*(K337&gt;=0)</f>
        <v>399.480384278233</v>
      </c>
      <c r="K338" s="398" t="n">
        <f aca="false">K337+0.5*(vit_z+H337)*pas</f>
        <v>1188.89355734596</v>
      </c>
      <c r="L338" s="397" t="n">
        <f aca="false">SQRT(pos_x^2+pos_z^2)</f>
        <v>1254.21388451963</v>
      </c>
      <c r="M338" s="396" t="n">
        <f aca="false">IF(AND(L337&gt;L_rampe,G338&gt;0),ATAN2(G338,H338),$M$4)</f>
        <v>-0.270278785213519</v>
      </c>
      <c r="N338" s="397" t="n">
        <f aca="false">DEGREES(Beta)</f>
        <v>-15.4858336846575</v>
      </c>
      <c r="P338" s="399" t="n">
        <f aca="false">MATCH(t-pas/2-T_ini,CdP_t)</f>
        <v>23</v>
      </c>
      <c r="Q338" s="397" t="n">
        <f aca="false">(INDEX(CdP,2,i_P+1)-INDEX(CdP,2,i_P+0))/(INDEX(CdP,1,i_P+1)-INDEX(CdP,1,i_P+0))*(t-pas/2-T_ini-INDEX(CdP,1,i_P+0))+INDEX(CdP,2,i_P+0)</f>
        <v>0</v>
      </c>
      <c r="R338" s="396" t="n">
        <f aca="false">Poussee/(g*ISP)</f>
        <v>0</v>
      </c>
      <c r="S338" s="398" t="n">
        <f aca="false">S337-Débit*pas</f>
        <v>8.45</v>
      </c>
      <c r="T338" s="397" t="n">
        <f aca="false">m*g</f>
        <v>82.8945</v>
      </c>
      <c r="U338" s="400" t="n">
        <f aca="false">IF(pos_xz&lt;L_rampe,Poids*COS(Beta),0)</f>
        <v>0</v>
      </c>
      <c r="V338" s="396" t="n">
        <f aca="false">Rho_moyen*(20000-Alt_rampe-pos_z)/(20000+Alt_rampe+pos_z)</f>
        <v>1.08753226448024</v>
      </c>
      <c r="W338" s="397" t="n">
        <f aca="false">1/2*Rho*Sref*Cx*vit_xz^2</f>
        <v>2.1092244852963</v>
      </c>
      <c r="Y338" s="401" t="str">
        <f aca="false">IF(AND(pos_z&lt;=0,K337&gt;0),"Impact balistique","") &amp; IF(AND(H339&lt;0,vit_z&gt;=0),"Apogée","") &amp; IF(AND(Poussee=0,Q337&gt;0),"Fin de propulsion","") &amp; IF(AND(L339&gt;L_rampe,pos_xz&lt;=L_rampe),"Sortie de rampe","")</f>
        <v/>
      </c>
      <c r="Z338" s="402" t="str">
        <f aca="false">IF(ABS(t-T_para)&lt;pas/2,"Para","")</f>
        <v/>
      </c>
      <c r="AA338" s="403" t="str">
        <f aca="false">IF(ABS(t-T_satellite)&lt;pas/2,"Satellite","")</f>
        <v/>
      </c>
      <c r="AC338" s="399" t="e">
        <f aca="false">IF(ABS(t-ROUND(t,0))&lt;0.001,t,NA())</f>
        <v>#N/A</v>
      </c>
      <c r="AD338" s="404" t="e">
        <f aca="false">IF(ABS(t-ROUND(t,0))&lt;0.001,pos_x,NA())</f>
        <v>#N/A</v>
      </c>
      <c r="AE338" s="405" t="n">
        <f aca="false">IF(t&lt;T_para, pos_z, NA())</f>
        <v>1188.89355734596</v>
      </c>
      <c r="AG338" s="396" t="n">
        <f aca="false">IF(AND(L337&lt;L_rampe,Poussee&lt;Poids*SIN(M337)),0,(-W337+Poussee)/m-Poids*SIN(M337)/m)</f>
        <v>1.97419104352764</v>
      </c>
      <c r="AH338" s="397" t="n">
        <f aca="false">IF(AND(L337&lt;L_rampe,Poussee&lt;Poids*SIN(M337)), g*SIN(M337), (-W337+Poussee)/m)</f>
        <v>-0.244837979985926</v>
      </c>
    </row>
    <row r="339" customFormat="false" ht="12.75" hidden="false" customHeight="false" outlineLevel="0" collapsed="false">
      <c r="A339" s="396" t="n">
        <f aca="false">IF(B338+0.01&lt;=T_ini+ROUNDUP(Temps_fin_propu,0), 0.01, IF(K338&gt;0, 0.1, 0.0001))</f>
        <v>0.1</v>
      </c>
      <c r="B339" s="397" t="n">
        <f aca="false">B338+pas</f>
        <v>15.5</v>
      </c>
      <c r="D339" s="396" t="n">
        <f aca="false">IF(AND(L338&lt;L_rampe,Poussee&lt;Poids*SIN(M338)),0,(-W338+Poussee)/m*COS(M338)-U338/m*SIN(M338))</f>
        <v>-0.240550562160676</v>
      </c>
      <c r="E339" s="398" t="n">
        <f aca="false">IF(AND(L338&lt;L_rampe,Poussee&lt;Poids*SIN(M338)),0,(-W338+Poussee)/m*SIN(M338)+U338/m*COS(M338)-Poids/m)</f>
        <v>-9.74335347070634</v>
      </c>
      <c r="F339" s="397" t="n">
        <f aca="false">SQRT(acc_x^2+acc_z^2)</f>
        <v>9.74632245660285</v>
      </c>
      <c r="G339" s="396" t="n">
        <f aca="false">G338+acc_x*pas</f>
        <v>21.8544092352547</v>
      </c>
      <c r="H339" s="398" t="n">
        <f aca="false">H338+acc_z*pas</f>
        <v>-7.03594542274329</v>
      </c>
      <c r="I339" s="397" t="n">
        <f aca="false">SQRT(vit_x^2+vit_z^2)</f>
        <v>22.9590882008369</v>
      </c>
      <c r="J339" s="396" t="n">
        <f aca="false">J338+0.5*(vit_x+G338)*pas*(K338&gt;=0)</f>
        <v>401.667027954569</v>
      </c>
      <c r="K339" s="398" t="n">
        <f aca="false">K338+0.5*(vit_z+H338)*pas</f>
        <v>1188.23867957104</v>
      </c>
      <c r="L339" s="397" t="n">
        <f aca="false">SQRT(pos_x^2+pos_z^2)</f>
        <v>1254.2916570617</v>
      </c>
      <c r="M339" s="396" t="n">
        <f aca="false">IF(AND(L338&gt;L_rampe,G339&gt;0),ATAN2(G339,H339),$M$4)</f>
        <v>-0.311467425542989</v>
      </c>
      <c r="N339" s="397" t="n">
        <f aca="false">DEGREES(Beta)</f>
        <v>-17.8457689394185</v>
      </c>
      <c r="P339" s="399" t="n">
        <f aca="false">MATCH(t-pas/2-T_ini,CdP_t)</f>
        <v>23</v>
      </c>
      <c r="Q339" s="397" t="n">
        <f aca="false">(INDEX(CdP,2,i_P+1)-INDEX(CdP,2,i_P+0))/(INDEX(CdP,1,i_P+1)-INDEX(CdP,1,i_P+0))*(t-pas/2-T_ini-INDEX(CdP,1,i_P+0))+INDEX(CdP,2,i_P+0)</f>
        <v>0</v>
      </c>
      <c r="R339" s="396" t="n">
        <f aca="false">Poussee/(g*ISP)</f>
        <v>0</v>
      </c>
      <c r="S339" s="398" t="n">
        <f aca="false">S338-Débit*pas</f>
        <v>8.45</v>
      </c>
      <c r="T339" s="397" t="n">
        <f aca="false">m*g</f>
        <v>82.8945</v>
      </c>
      <c r="U339" s="400" t="n">
        <f aca="false">IF(pos_xz&lt;L_rampe,Poids*COS(Beta),0)</f>
        <v>0</v>
      </c>
      <c r="V339" s="396" t="n">
        <f aca="false">Rho_moyen*(20000-Alt_rampe-pos_z)/(20000+Alt_rampe+pos_z)</f>
        <v>1.08760373932091</v>
      </c>
      <c r="W339" s="397" t="n">
        <f aca="false">1/2*Rho*Sref*Cx*vit_xz^2</f>
        <v>2.15728494075126</v>
      </c>
      <c r="Y339" s="401" t="str">
        <f aca="false">IF(AND(pos_z&lt;=0,K338&gt;0),"Impact balistique","") &amp; IF(AND(H340&lt;0,vit_z&gt;=0),"Apogée","") &amp; IF(AND(Poussee=0,Q338&gt;0),"Fin de propulsion","") &amp; IF(AND(L340&gt;L_rampe,pos_xz&lt;=L_rampe),"Sortie de rampe","")</f>
        <v/>
      </c>
      <c r="Z339" s="402" t="str">
        <f aca="false">IF(ABS(t-T_para)&lt;pas/2,"Para","")</f>
        <v/>
      </c>
      <c r="AA339" s="403" t="str">
        <f aca="false">IF(ABS(t-T_satellite)&lt;pas/2,"Satellite","")</f>
        <v/>
      </c>
      <c r="AC339" s="399" t="e">
        <f aca="false">IF(ABS(t-ROUND(t,0))&lt;0.001,t,NA())</f>
        <v>#N/A</v>
      </c>
      <c r="AD339" s="404" t="e">
        <f aca="false">IF(ABS(t-ROUND(t,0))&lt;0.001,pos_x,NA())</f>
        <v>#N/A</v>
      </c>
      <c r="AE339" s="405" t="n">
        <f aca="false">IF(t&lt;T_para, pos_z, NA())</f>
        <v>1188.23867957104</v>
      </c>
      <c r="AG339" s="396" t="n">
        <f aca="false">IF(AND(L338&lt;L_rampe,Poussee&lt;Poids*SIN(M338)),0,(-W338+Poussee)/m-Poids*SIN(M338)/m)</f>
        <v>2.36965872766245</v>
      </c>
      <c r="AH339" s="397" t="n">
        <f aca="false">IF(AND(L338&lt;L_rampe,Poussee&lt;Poids*SIN(M338)), g*SIN(M338), (-W338+Poussee)/m)</f>
        <v>-0.249612365123823</v>
      </c>
    </row>
    <row r="340" customFormat="false" ht="12.75" hidden="false" customHeight="false" outlineLevel="0" collapsed="false">
      <c r="A340" s="396" t="n">
        <f aca="false">IF(B339+0.01&lt;=T_ini+ROUNDUP(Temps_fin_propu,0), 0.01, IF(K339&gt;0, 0.1, 0.0001))</f>
        <v>0.1</v>
      </c>
      <c r="B340" s="397" t="n">
        <f aca="false">B339+pas</f>
        <v>15.6</v>
      </c>
      <c r="D340" s="396" t="n">
        <f aca="false">IF(AND(L339&lt;L_rampe,Poussee&lt;Poids*SIN(M339)),0,(-W339+Poussee)/m*COS(M339)-U339/m*SIN(M339))</f>
        <v>-0.243016206729016</v>
      </c>
      <c r="E340" s="398" t="n">
        <f aca="false">IF(AND(L339&lt;L_rampe,Poussee&lt;Poids*SIN(M339)),0,(-W339+Poussee)/m*SIN(M339)+U339/m*COS(M339)-Poids/m)</f>
        <v>-9.73176183995726</v>
      </c>
      <c r="F340" s="397" t="n">
        <f aca="false">SQRT(acc_x^2+acc_z^2)</f>
        <v>9.73479560064726</v>
      </c>
      <c r="G340" s="396" t="n">
        <f aca="false">G339+acc_x*pas</f>
        <v>21.8301076145818</v>
      </c>
      <c r="H340" s="398" t="n">
        <f aca="false">H339+acc_z*pas</f>
        <v>-8.00912160673902</v>
      </c>
      <c r="I340" s="397" t="n">
        <f aca="false">SQRT(vit_x^2+vit_z^2)</f>
        <v>23.2529487888258</v>
      </c>
      <c r="J340" s="396" t="n">
        <f aca="false">J339+0.5*(vit_x+G339)*pas*(K339&gt;=0)</f>
        <v>403.851253797061</v>
      </c>
      <c r="K340" s="398" t="n">
        <f aca="false">K339+0.5*(vit_z+H339)*pas</f>
        <v>1187.48642621957</v>
      </c>
      <c r="L340" s="397" t="n">
        <f aca="false">SQRT(pos_x^2+pos_z^2)</f>
        <v>1254.28060961221</v>
      </c>
      <c r="M340" s="396" t="n">
        <f aca="false">IF(AND(L339&gt;L_rampe,G340&gt;0),ATAN2(G340,H340),$M$4)</f>
        <v>-0.351636535263652</v>
      </c>
      <c r="N340" s="397" t="n">
        <f aca="false">DEGREES(Beta)</f>
        <v>-20.1472893932104</v>
      </c>
      <c r="P340" s="399" t="n">
        <f aca="false">MATCH(t-pas/2-T_ini,CdP_t)</f>
        <v>23</v>
      </c>
      <c r="Q340" s="397" t="n">
        <f aca="false">(INDEX(CdP,2,i_P+1)-INDEX(CdP,2,i_P+0))/(INDEX(CdP,1,i_P+1)-INDEX(CdP,1,i_P+0))*(t-pas/2-T_ini-INDEX(CdP,1,i_P+0))+INDEX(CdP,2,i_P+0)</f>
        <v>0</v>
      </c>
      <c r="R340" s="396" t="n">
        <f aca="false">Poussee/(g*ISP)</f>
        <v>0</v>
      </c>
      <c r="S340" s="398" t="n">
        <f aca="false">S339-Débit*pas</f>
        <v>8.45</v>
      </c>
      <c r="T340" s="397" t="n">
        <f aca="false">m*g</f>
        <v>82.8945</v>
      </c>
      <c r="U340" s="400" t="n">
        <f aca="false">IF(pos_xz&lt;L_rampe,Poids*COS(Beta),0)</f>
        <v>0</v>
      </c>
      <c r="V340" s="396" t="n">
        <f aca="false">Rho_moyen*(20000-Alt_rampe-pos_z)/(20000+Alt_rampe+pos_z)</f>
        <v>1.08768584740483</v>
      </c>
      <c r="W340" s="397" t="n">
        <f aca="false">1/2*Rho*Sref*Cx*vit_xz^2</f>
        <v>2.21302894769199</v>
      </c>
      <c r="Y340" s="401" t="str">
        <f aca="false">IF(AND(pos_z&lt;=0,K339&gt;0),"Impact balistique","") &amp; IF(AND(H341&lt;0,vit_z&gt;=0),"Apogée","") &amp; IF(AND(Poussee=0,Q339&gt;0),"Fin de propulsion","") &amp; IF(AND(L341&gt;L_rampe,pos_xz&lt;=L_rampe),"Sortie de rampe","")</f>
        <v/>
      </c>
      <c r="Z340" s="402" t="str">
        <f aca="false">IF(ABS(t-T_para)&lt;pas/2,"Para","")</f>
        <v/>
      </c>
      <c r="AA340" s="403" t="str">
        <f aca="false">IF(ABS(t-T_satellite)&lt;pas/2,"Satellite","")</f>
        <v/>
      </c>
      <c r="AC340" s="399" t="e">
        <f aca="false">IF(ABS(t-ROUND(t,0))&lt;0.001,t,NA())</f>
        <v>#N/A</v>
      </c>
      <c r="AD340" s="404" t="e">
        <f aca="false">IF(ABS(t-ROUND(t,0))&lt;0.001,pos_x,NA())</f>
        <v>#N/A</v>
      </c>
      <c r="AE340" s="405" t="n">
        <f aca="false">IF(t&lt;T_para, pos_z, NA())</f>
        <v>1187.48642621957</v>
      </c>
      <c r="AG340" s="396" t="n">
        <f aca="false">IF(AND(L339&lt;L_rampe,Poussee&lt;Poids*SIN(M339)),0,(-W339+Poussee)/m-Poids*SIN(M339)/m)</f>
        <v>2.75103126865978</v>
      </c>
      <c r="AH340" s="397" t="n">
        <f aca="false">IF(AND(L339&lt;L_rampe,Poussee&lt;Poids*SIN(M339)), g*SIN(M339), (-W339+Poussee)/m)</f>
        <v>-0.255299992988315</v>
      </c>
    </row>
    <row r="341" customFormat="false" ht="12.75" hidden="false" customHeight="false" outlineLevel="0" collapsed="false">
      <c r="A341" s="396" t="n">
        <f aca="false">IF(B340+0.01&lt;=T_ini+ROUNDUP(Temps_fin_propu,0), 0.01, IF(K340&gt;0, 0.1, 0.0001))</f>
        <v>0.1</v>
      </c>
      <c r="B341" s="397" t="n">
        <f aca="false">B340+pas</f>
        <v>15.7</v>
      </c>
      <c r="D341" s="396" t="n">
        <f aca="false">IF(AND(L340&lt;L_rampe,Poussee&lt;Poids*SIN(M340)),0,(-W340+Poussee)/m*COS(M340)-U340/m*SIN(M340))</f>
        <v>-0.24587152070406</v>
      </c>
      <c r="E341" s="398" t="n">
        <f aca="false">IF(AND(L340&lt;L_rampe,Poussee&lt;Poids*SIN(M340)),0,(-W340+Poussee)/m*SIN(M340)+U340/m*COS(M340)-Poids/m)</f>
        <v>-9.7197936233884</v>
      </c>
      <c r="F341" s="397" t="n">
        <f aca="false">SQRT(acc_x^2+acc_z^2)</f>
        <v>9.72290290427479</v>
      </c>
      <c r="G341" s="396" t="n">
        <f aca="false">G340+acc_x*pas</f>
        <v>21.8055204625113</v>
      </c>
      <c r="H341" s="398" t="n">
        <f aca="false">H340+acc_z*pas</f>
        <v>-8.98110096907786</v>
      </c>
      <c r="I341" s="397" t="n">
        <f aca="false">SQRT(vit_x^2+vit_z^2)</f>
        <v>23.5826397432046</v>
      </c>
      <c r="J341" s="396" t="n">
        <f aca="false">J340+0.5*(vit_x+G340)*pas*(K340&gt;=0)</f>
        <v>406.033035200916</v>
      </c>
      <c r="K341" s="398" t="n">
        <f aca="false">K340+0.5*(vit_z+H340)*pas</f>
        <v>1186.63691509078</v>
      </c>
      <c r="L341" s="397" t="n">
        <f aca="false">SQRT(pos_x^2+pos_z^2)</f>
        <v>1254.18100525029</v>
      </c>
      <c r="M341" s="396" t="n">
        <f aca="false">IF(AND(L340&gt;L_rampe,G341&gt;0),ATAN2(G341,H341),$M$4)</f>
        <v>-0.390699471719038</v>
      </c>
      <c r="N341" s="397" t="n">
        <f aca="false">DEGREES(Beta)</f>
        <v>-22.3854307874918</v>
      </c>
      <c r="P341" s="399" t="n">
        <f aca="false">MATCH(t-pas/2-T_ini,CdP_t)</f>
        <v>23</v>
      </c>
      <c r="Q341" s="397" t="n">
        <f aca="false">(INDEX(CdP,2,i_P+1)-INDEX(CdP,2,i_P+0))/(INDEX(CdP,1,i_P+1)-INDEX(CdP,1,i_P+0))*(t-pas/2-T_ini-INDEX(CdP,1,i_P+0))+INDEX(CdP,2,i_P+0)</f>
        <v>0</v>
      </c>
      <c r="R341" s="396" t="n">
        <f aca="false">Poussee/(g*ISP)</f>
        <v>0</v>
      </c>
      <c r="S341" s="398" t="n">
        <f aca="false">S340-Débit*pas</f>
        <v>8.45</v>
      </c>
      <c r="T341" s="397" t="n">
        <f aca="false">m*g</f>
        <v>82.8945</v>
      </c>
      <c r="U341" s="400" t="n">
        <f aca="false">IF(pos_xz&lt;L_rampe,Poids*COS(Beta),0)</f>
        <v>0</v>
      </c>
      <c r="V341" s="396" t="n">
        <f aca="false">Rho_moyen*(20000-Alt_rampe-pos_z)/(20000+Alt_rampe+pos_z)</f>
        <v>1.08777857813754</v>
      </c>
      <c r="W341" s="397" t="n">
        <f aca="false">1/2*Rho*Sref*Cx*vit_xz^2</f>
        <v>2.2764225652996</v>
      </c>
      <c r="Y341" s="401" t="str">
        <f aca="false">IF(AND(pos_z&lt;=0,K340&gt;0),"Impact balistique","") &amp; IF(AND(H342&lt;0,vit_z&gt;=0),"Apogée","") &amp; IF(AND(Poussee=0,Q340&gt;0),"Fin de propulsion","") &amp; IF(AND(L342&gt;L_rampe,pos_xz&lt;=L_rampe),"Sortie de rampe","")</f>
        <v/>
      </c>
      <c r="Z341" s="402" t="str">
        <f aca="false">IF(ABS(t-T_para)&lt;pas/2,"Para","")</f>
        <v/>
      </c>
      <c r="AA341" s="403" t="str">
        <f aca="false">IF(ABS(t-T_satellite)&lt;pas/2,"Satellite","")</f>
        <v/>
      </c>
      <c r="AC341" s="399" t="e">
        <f aca="false">IF(ABS(t-ROUND(t,0))&lt;0.001,t,NA())</f>
        <v>#N/A</v>
      </c>
      <c r="AD341" s="404" t="e">
        <f aca="false">IF(ABS(t-ROUND(t,0))&lt;0.001,pos_x,NA())</f>
        <v>#N/A</v>
      </c>
      <c r="AE341" s="405" t="n">
        <f aca="false">IF(t&lt;T_para, pos_z, NA())</f>
        <v>1186.63691509078</v>
      </c>
      <c r="AG341" s="396" t="n">
        <f aca="false">IF(AND(L340&lt;L_rampe,Poussee&lt;Poids*SIN(M340)),0,(-W340+Poussee)/m-Poids*SIN(M340)/m)</f>
        <v>3.1170071384935</v>
      </c>
      <c r="AH341" s="397" t="n">
        <f aca="false">IF(AND(L340&lt;L_rampe,Poussee&lt;Poids*SIN(M340)), g*SIN(M340), (-W340+Poussee)/m)</f>
        <v>-0.261896916886626</v>
      </c>
    </row>
    <row r="342" customFormat="false" ht="12.75" hidden="false" customHeight="false" outlineLevel="0" collapsed="false">
      <c r="A342" s="396" t="n">
        <f aca="false">IF(B341+0.01&lt;=T_ini+ROUNDUP(Temps_fin_propu,0), 0.01, IF(K341&gt;0, 0.1, 0.0001))</f>
        <v>0.1</v>
      </c>
      <c r="B342" s="397" t="n">
        <f aca="false">B341+pas</f>
        <v>15.8</v>
      </c>
      <c r="D342" s="396" t="n">
        <f aca="false">IF(AND(L341&lt;L_rampe,Poussee&lt;Poids*SIN(M341)),0,(-W341+Poussee)/m*COS(M341)-U341/m*SIN(M341))</f>
        <v>-0.249097984409864</v>
      </c>
      <c r="E342" s="398" t="n">
        <f aca="false">IF(AND(L341&lt;L_rampe,Poussee&lt;Poids*SIN(M341)),0,(-W341+Poussee)/m*SIN(M341)+U341/m*COS(M341)-Poids/m)</f>
        <v>-9.70740331339374</v>
      </c>
      <c r="F342" s="397" t="n">
        <f aca="false">SQRT(acc_x^2+acc_z^2)</f>
        <v>9.71059879176999</v>
      </c>
      <c r="G342" s="396" t="n">
        <f aca="false">G341+acc_x*pas</f>
        <v>21.7806106640704</v>
      </c>
      <c r="H342" s="398" t="n">
        <f aca="false">H341+acc_z*pas</f>
        <v>-9.95184130041723</v>
      </c>
      <c r="I342" s="397" t="n">
        <f aca="false">SQRT(vit_x^2+vit_z^2)</f>
        <v>23.946485048301</v>
      </c>
      <c r="J342" s="396" t="n">
        <f aca="false">J341+0.5*(vit_x+G341)*pas*(K341&gt;=0)</f>
        <v>408.212341757245</v>
      </c>
      <c r="K342" s="398" t="n">
        <f aca="false">K341+0.5*(vit_z+H341)*pas</f>
        <v>1185.6902679773</v>
      </c>
      <c r="L342" s="397" t="n">
        <f aca="false">SQRT(pos_x^2+pos_z^2)</f>
        <v>1253.99311303492</v>
      </c>
      <c r="M342" s="396" t="n">
        <f aca="false">IF(AND(L341&gt;L_rampe,G342&gt;0),ATAN2(G342,H342),$M$4)</f>
        <v>-0.42858777737849</v>
      </c>
      <c r="N342" s="397" t="n">
        <f aca="false">DEGREES(Beta)</f>
        <v>-24.55627079468</v>
      </c>
      <c r="P342" s="399" t="n">
        <f aca="false">MATCH(t-pas/2-T_ini,CdP_t)</f>
        <v>23</v>
      </c>
      <c r="Q342" s="397" t="n">
        <f aca="false">(INDEX(CdP,2,i_P+1)-INDEX(CdP,2,i_P+0))/(INDEX(CdP,1,i_P+1)-INDEX(CdP,1,i_P+0))*(t-pas/2-T_ini-INDEX(CdP,1,i_P+0))+INDEX(CdP,2,i_P+0)</f>
        <v>0</v>
      </c>
      <c r="R342" s="396" t="n">
        <f aca="false">Poussee/(g*ISP)</f>
        <v>0</v>
      </c>
      <c r="S342" s="398" t="n">
        <f aca="false">S341-Débit*pas</f>
        <v>8.45</v>
      </c>
      <c r="T342" s="397" t="n">
        <f aca="false">m*g</f>
        <v>82.8945</v>
      </c>
      <c r="U342" s="400" t="n">
        <f aca="false">IF(pos_xz&lt;L_rampe,Poids*COS(Beta),0)</f>
        <v>0</v>
      </c>
      <c r="V342" s="396" t="n">
        <f aca="false">Rho_moyen*(20000-Alt_rampe-pos_z)/(20000+Alt_rampe+pos_z)</f>
        <v>1.08788192077766</v>
      </c>
      <c r="W342" s="397" t="n">
        <f aca="false">1/2*Rho*Sref*Cx*vit_xz^2</f>
        <v>2.34743111296027</v>
      </c>
      <c r="Y342" s="401" t="str">
        <f aca="false">IF(AND(pos_z&lt;=0,K341&gt;0),"Impact balistique","") &amp; IF(AND(H343&lt;0,vit_z&gt;=0),"Apogée","") &amp; IF(AND(Poussee=0,Q341&gt;0),"Fin de propulsion","") &amp; IF(AND(L343&gt;L_rampe,pos_xz&lt;=L_rampe),"Sortie de rampe","")</f>
        <v/>
      </c>
      <c r="Z342" s="402" t="str">
        <f aca="false">IF(ABS(t-T_para)&lt;pas/2,"Para","")</f>
        <v/>
      </c>
      <c r="AA342" s="403" t="str">
        <f aca="false">IF(ABS(t-T_satellite)&lt;pas/2,"Satellite","")</f>
        <v/>
      </c>
      <c r="AC342" s="399" t="e">
        <f aca="false">IF(ABS(t-ROUND(t,0))&lt;0.001,t,NA())</f>
        <v>#N/A</v>
      </c>
      <c r="AD342" s="404" t="e">
        <f aca="false">IF(ABS(t-ROUND(t,0))&lt;0.001,pos_x,NA())</f>
        <v>#N/A</v>
      </c>
      <c r="AE342" s="405" t="n">
        <f aca="false">IF(t&lt;T_para, pos_z, NA())</f>
        <v>1185.6902679773</v>
      </c>
      <c r="AG342" s="396" t="n">
        <f aca="false">IF(AND(L341&lt;L_rampe,Poussee&lt;Poids*SIN(M341)),0,(-W341+Poussee)/m-Poids*SIN(M341)/m)</f>
        <v>3.46659487653359</v>
      </c>
      <c r="AH342" s="397" t="n">
        <f aca="false">IF(AND(L341&lt;L_rampe,Poussee&lt;Poids*SIN(M341)), g*SIN(M341), (-W341+Poussee)/m)</f>
        <v>-0.269399120153799</v>
      </c>
    </row>
    <row r="343" customFormat="false" ht="12.75" hidden="false" customHeight="false" outlineLevel="0" collapsed="false">
      <c r="A343" s="396" t="n">
        <f aca="false">IF(B342+0.01&lt;=T_ini+ROUNDUP(Temps_fin_propu,0), 0.01, IF(K342&gt;0, 0.1, 0.0001))</f>
        <v>0.1</v>
      </c>
      <c r="B343" s="397" t="n">
        <f aca="false">B342+pas</f>
        <v>15.9</v>
      </c>
      <c r="D343" s="396" t="n">
        <f aca="false">IF(AND(L342&lt;L_rampe,Poussee&lt;Poids*SIN(M342)),0,(-W342+Poussee)/m*COS(M342)-U342/m*SIN(M342))</f>
        <v>-0.252676250847147</v>
      </c>
      <c r="E343" s="398" t="n">
        <f aca="false">IF(AND(L342&lt;L_rampe,Poussee&lt;Poids*SIN(M342)),0,(-W342+Poussee)/m*SIN(M342)+U342/m*COS(M342)-Poids/m)</f>
        <v>-9.69454896937471</v>
      </c>
      <c r="F343" s="397" t="n">
        <f aca="false">SQRT(acc_x^2+acc_z^2)</f>
        <v>9.69784125500858</v>
      </c>
      <c r="G343" s="396" t="n">
        <f aca="false">G342+acc_x*pas</f>
        <v>21.7553430389856</v>
      </c>
      <c r="H343" s="398" t="n">
        <f aca="false">H342+acc_z*pas</f>
        <v>-10.9212961973547</v>
      </c>
      <c r="I343" s="397" t="n">
        <f aca="false">SQRT(vit_x^2+vit_z^2)</f>
        <v>24.3427537754933</v>
      </c>
      <c r="J343" s="396" t="n">
        <f aca="false">J342+0.5*(vit_x+G342)*pas*(K342&gt;=0)</f>
        <v>410.389139442397</v>
      </c>
      <c r="K343" s="398" t="n">
        <f aca="false">K342+0.5*(vit_z+H342)*pas</f>
        <v>1184.64661110241</v>
      </c>
      <c r="L343" s="397" t="n">
        <f aca="false">SQRT(pos_x^2+pos_z^2)</f>
        <v>1253.71720853178</v>
      </c>
      <c r="M343" s="396" t="n">
        <f aca="false">IF(AND(L342&gt;L_rampe,G343&gt;0),ATAN2(G343,H343),$M$4)</f>
        <v>-0.465250513715154</v>
      </c>
      <c r="N343" s="397" t="n">
        <f aca="false">DEGREES(Beta)</f>
        <v>-26.6568908521717</v>
      </c>
      <c r="P343" s="399" t="n">
        <f aca="false">MATCH(t-pas/2-T_ini,CdP_t)</f>
        <v>23</v>
      </c>
      <c r="Q343" s="397" t="n">
        <f aca="false">(INDEX(CdP,2,i_P+1)-INDEX(CdP,2,i_P+0))/(INDEX(CdP,1,i_P+1)-INDEX(CdP,1,i_P+0))*(t-pas/2-T_ini-INDEX(CdP,1,i_P+0))+INDEX(CdP,2,i_P+0)</f>
        <v>0</v>
      </c>
      <c r="R343" s="396" t="n">
        <f aca="false">Poussee/(g*ISP)</f>
        <v>0</v>
      </c>
      <c r="S343" s="398" t="n">
        <f aca="false">S342-Débit*pas</f>
        <v>8.45</v>
      </c>
      <c r="T343" s="397" t="n">
        <f aca="false">m*g</f>
        <v>82.8945</v>
      </c>
      <c r="U343" s="400" t="n">
        <f aca="false">IF(pos_xz&lt;L_rampe,Poids*COS(Beta),0)</f>
        <v>0</v>
      </c>
      <c r="V343" s="396" t="n">
        <f aca="false">Rho_moyen*(20000-Alt_rampe-pos_z)/(20000+Alt_rampe+pos_z)</f>
        <v>1.08799586438795</v>
      </c>
      <c r="W343" s="397" t="n">
        <f aca="false">1/2*Rho*Sref*Cx*vit_xz^2</f>
        <v>2.42601903392967</v>
      </c>
      <c r="Y343" s="401" t="str">
        <f aca="false">IF(AND(pos_z&lt;=0,K342&gt;0),"Impact balistique","") &amp; IF(AND(H344&lt;0,vit_z&gt;=0),"Apogée","") &amp; IF(AND(Poussee=0,Q342&gt;0),"Fin de propulsion","") &amp; IF(AND(L344&gt;L_rampe,pos_xz&lt;=L_rampe),"Sortie de rampe","")</f>
        <v/>
      </c>
      <c r="Z343" s="402" t="str">
        <f aca="false">IF(ABS(t-T_para)&lt;pas/2,"Para","")</f>
        <v/>
      </c>
      <c r="AA343" s="403" t="str">
        <f aca="false">IF(ABS(t-T_satellite)&lt;pas/2,"Satellite","")</f>
        <v/>
      </c>
      <c r="AC343" s="399" t="e">
        <f aca="false">IF(ABS(t-ROUND(t,0))&lt;0.001,t,NA())</f>
        <v>#N/A</v>
      </c>
      <c r="AD343" s="404" t="e">
        <f aca="false">IF(ABS(t-ROUND(t,0))&lt;0.001,pos_x,NA())</f>
        <v>#N/A</v>
      </c>
      <c r="AE343" s="405" t="n">
        <f aca="false">IF(t&lt;T_para, pos_z, NA())</f>
        <v>1184.64661110241</v>
      </c>
      <c r="AG343" s="396" t="n">
        <f aca="false">IF(AND(L342&lt;L_rampe,Poussee&lt;Poids*SIN(M342)),0,(-W342+Poussee)/m-Poids*SIN(M342)/m)</f>
        <v>3.79910327528575</v>
      </c>
      <c r="AH343" s="397" t="n">
        <f aca="false">IF(AND(L342&lt;L_rampe,Poussee&lt;Poids*SIN(M342)), g*SIN(M342), (-W342+Poussee)/m)</f>
        <v>-0.27780249857518</v>
      </c>
    </row>
    <row r="344" customFormat="false" ht="12.75" hidden="false" customHeight="false" outlineLevel="0" collapsed="false">
      <c r="A344" s="396" t="n">
        <f aca="false">IF(B343+0.01&lt;=T_ini+ROUNDUP(Temps_fin_propu,0), 0.01, IF(K343&gt;0, 0.1, 0.0001))</f>
        <v>0.1</v>
      </c>
      <c r="B344" s="397" t="n">
        <f aca="false">B343+pas</f>
        <v>16</v>
      </c>
      <c r="D344" s="396" t="n">
        <f aca="false">IF(AND(L343&lt;L_rampe,Poussee&lt;Poids*SIN(M343)),0,(-W343+Poussee)/m*COS(M343)-U343/m*SIN(M343))</f>
        <v>-0.256586453684607</v>
      </c>
      <c r="E344" s="398" t="n">
        <f aca="false">IF(AND(L343&lt;L_rampe,Poussee&lt;Poids*SIN(M343)),0,(-W343+Poussee)/m*SIN(M343)+U343/m*COS(M343)-Poids/m)</f>
        <v>-9.6811922558106</v>
      </c>
      <c r="F344" s="397" t="n">
        <f aca="false">SQRT(acc_x^2+acc_z^2)</f>
        <v>9.68459189135926</v>
      </c>
      <c r="G344" s="396" t="n">
        <f aca="false">G343+acc_x*pas</f>
        <v>21.7296843936172</v>
      </c>
      <c r="H344" s="398" t="n">
        <f aca="false">H343+acc_z*pas</f>
        <v>-11.8894154229358</v>
      </c>
      <c r="I344" s="397" t="n">
        <f aca="false">SQRT(vit_x^2+vit_z^2)</f>
        <v>24.7696867752774</v>
      </c>
      <c r="J344" s="396" t="n">
        <f aca="false">J343+0.5*(vit_x+G343)*pas*(K343&gt;=0)</f>
        <v>412.563390814028</v>
      </c>
      <c r="K344" s="398" t="n">
        <f aca="false">K343+0.5*(vit_z+H343)*pas</f>
        <v>1183.5060755214</v>
      </c>
      <c r="L344" s="397" t="n">
        <f aca="false">SQRT(pos_x^2+pos_z^2)</f>
        <v>1253.35357431015</v>
      </c>
      <c r="M344" s="396" t="n">
        <f aca="false">IF(AND(L343&gt;L_rampe,G344&gt;0),ATAN2(G344,H344),$M$4)</f>
        <v>-0.500653137176365</v>
      </c>
      <c r="N344" s="397" t="n">
        <f aca="false">DEGREES(Beta)</f>
        <v>-28.6853117601899</v>
      </c>
      <c r="P344" s="399" t="n">
        <f aca="false">MATCH(t-pas/2-T_ini,CdP_t)</f>
        <v>23</v>
      </c>
      <c r="Q344" s="397" t="n">
        <f aca="false">(INDEX(CdP,2,i_P+1)-INDEX(CdP,2,i_P+0))/(INDEX(CdP,1,i_P+1)-INDEX(CdP,1,i_P+0))*(t-pas/2-T_ini-INDEX(CdP,1,i_P+0))+INDEX(CdP,2,i_P+0)</f>
        <v>0</v>
      </c>
      <c r="R344" s="396" t="n">
        <f aca="false">Poussee/(g*ISP)</f>
        <v>0</v>
      </c>
      <c r="S344" s="398" t="n">
        <f aca="false">S343-Débit*pas</f>
        <v>8.45</v>
      </c>
      <c r="T344" s="397" t="n">
        <f aca="false">m*g</f>
        <v>82.8945</v>
      </c>
      <c r="U344" s="400" t="n">
        <f aca="false">IF(pos_xz&lt;L_rampe,Poids*COS(Beta),0)</f>
        <v>0</v>
      </c>
      <c r="V344" s="396" t="n">
        <f aca="false">Rho_moyen*(20000-Alt_rampe-pos_z)/(20000+Alt_rampe+pos_z)</f>
        <v>1.08812039779014</v>
      </c>
      <c r="W344" s="397" t="n">
        <f aca="false">1/2*Rho*Sref*Cx*vit_xz^2</f>
        <v>2.51214977135723</v>
      </c>
      <c r="Y344" s="401" t="str">
        <f aca="false">IF(AND(pos_z&lt;=0,K343&gt;0),"Impact balistique","") &amp; IF(AND(H345&lt;0,vit_z&gt;=0),"Apogée","") &amp; IF(AND(Poussee=0,Q343&gt;0),"Fin de propulsion","") &amp; IF(AND(L345&gt;L_rampe,pos_xz&lt;=L_rampe),"Sortie de rampe","")</f>
        <v/>
      </c>
      <c r="Z344" s="402" t="str">
        <f aca="false">IF(ABS(t-T_para)&lt;pas/2,"Para","")</f>
        <v>Para</v>
      </c>
      <c r="AA344" s="403" t="str">
        <f aca="false">IF(ABS(t-T_satellite)&lt;pas/2,"Satellite","")</f>
        <v/>
      </c>
      <c r="AC344" s="399" t="n">
        <f aca="false">IF(ABS(t-ROUND(t,0))&lt;0.001,t,NA())</f>
        <v>16</v>
      </c>
      <c r="AD344" s="404" t="n">
        <f aca="false">IF(ABS(t-ROUND(t,0))&lt;0.001,pos_x,NA())</f>
        <v>412.563390814028</v>
      </c>
      <c r="AE344" s="405" t="e">
        <f aca="false">IF(t&lt;T_para, pos_z, NA())</f>
        <v>#N/A</v>
      </c>
      <c r="AG344" s="396" t="n">
        <f aca="false">IF(AND(L343&lt;L_rampe,Poussee&lt;Poids*SIN(M343)),0,(-W343+Poussee)/m-Poids*SIN(M343)/m)</f>
        <v>4.11412130171575</v>
      </c>
      <c r="AH344" s="397" t="n">
        <f aca="false">IF(AND(L343&lt;L_rampe,Poussee&lt;Poids*SIN(M343)), g*SIN(M343), (-W343+Poussee)/m)</f>
        <v>-0.287102844252032</v>
      </c>
    </row>
    <row r="345" customFormat="false" ht="12.75" hidden="false" customHeight="false" outlineLevel="0" collapsed="false">
      <c r="A345" s="396" t="n">
        <f aca="false">IF(B344+0.01&lt;=T_ini+ROUNDUP(Temps_fin_propu,0), 0.01, IF(K344&gt;0, 0.1, 0.0001))</f>
        <v>0.1</v>
      </c>
      <c r="B345" s="397" t="n">
        <f aca="false">B344+pas</f>
        <v>16.1</v>
      </c>
      <c r="D345" s="396" t="n">
        <f aca="false">IF(AND(L344&lt;L_rampe,Poussee&lt;Poids*SIN(M344)),0,(-W344+Poussee)/m*COS(M344)-U344/m*SIN(M344))</f>
        <v>-0.26080848887002</v>
      </c>
      <c r="E345" s="398" t="n">
        <f aca="false">IF(AND(L344&lt;L_rampe,Poussee&lt;Poids*SIN(M344)),0,(-W344+Poussee)/m*SIN(M344)+U344/m*COS(M344)-Poids/m)</f>
        <v>-9.66729841198639</v>
      </c>
      <c r="F345" s="397" t="n">
        <f aca="false">SQRT(acc_x^2+acc_z^2)</f>
        <v>9.67081587324778</v>
      </c>
      <c r="G345" s="396" t="n">
        <f aca="false">G344+acc_x*pas</f>
        <v>21.7036035447302</v>
      </c>
      <c r="H345" s="398" t="n">
        <f aca="false">H344+acc_z*pas</f>
        <v>-12.8561452641344</v>
      </c>
      <c r="I345" s="397" t="n">
        <f aca="false">SQRT(vit_x^2+vit_z^2)</f>
        <v>25.2255203688517</v>
      </c>
      <c r="J345" s="396" t="n">
        <f aca="false">J344+0.5*(vit_x+G344)*pas*(K344&gt;=0)</f>
        <v>414.735055210945</v>
      </c>
      <c r="K345" s="398" t="n">
        <f aca="false">K344+0.5*(vit_z+H344)*pas</f>
        <v>1182.26879748705</v>
      </c>
      <c r="L345" s="397" t="n">
        <f aca="false">SQRT(pos_x^2+pos_z^2)</f>
        <v>1252.90250040947</v>
      </c>
      <c r="M345" s="396" t="n">
        <f aca="false">IF(AND(L344&gt;L_rampe,G345&gt;0),ATAN2(G345,H345),$M$4)</f>
        <v>-0.534776047176663</v>
      </c>
      <c r="N345" s="397" t="n">
        <f aca="false">DEGREES(Beta)</f>
        <v>-30.6404104879118</v>
      </c>
      <c r="P345" s="399" t="n">
        <f aca="false">MATCH(t-pas/2-T_ini,CdP_t)</f>
        <v>23</v>
      </c>
      <c r="Q345" s="397" t="n">
        <f aca="false">(INDEX(CdP,2,i_P+1)-INDEX(CdP,2,i_P+0))/(INDEX(CdP,1,i_P+1)-INDEX(CdP,1,i_P+0))*(t-pas/2-T_ini-INDEX(CdP,1,i_P+0))+INDEX(CdP,2,i_P+0)</f>
        <v>0</v>
      </c>
      <c r="R345" s="396" t="n">
        <f aca="false">Poussee/(g*ISP)</f>
        <v>0</v>
      </c>
      <c r="S345" s="398" t="n">
        <f aca="false">S344-Débit*pas</f>
        <v>8.45</v>
      </c>
      <c r="T345" s="397" t="n">
        <f aca="false">m*g</f>
        <v>82.8945</v>
      </c>
      <c r="U345" s="400" t="n">
        <f aca="false">IF(pos_xz&lt;L_rampe,Poids*COS(Beta),0)</f>
        <v>0</v>
      </c>
      <c r="V345" s="396" t="n">
        <f aca="false">Rho_moyen*(20000-Alt_rampe-pos_z)/(20000+Alt_rampe+pos_z)</f>
        <v>1.08825550952375</v>
      </c>
      <c r="W345" s="397" t="n">
        <f aca="false">1/2*Rho*Sref*Cx*vit_xz^2</f>
        <v>2.60578565660773</v>
      </c>
      <c r="Y345" s="401" t="str">
        <f aca="false">IF(AND(pos_z&lt;=0,K344&gt;0),"Impact balistique","") &amp; IF(AND(H346&lt;0,vit_z&gt;=0),"Apogée","") &amp; IF(AND(Poussee=0,Q344&gt;0),"Fin de propulsion","") &amp; IF(AND(L346&gt;L_rampe,pos_xz&lt;=L_rampe),"Sortie de rampe","")</f>
        <v/>
      </c>
      <c r="Z345" s="402" t="str">
        <f aca="false">IF(ABS(t-T_para)&lt;pas/2,"Para","")</f>
        <v/>
      </c>
      <c r="AA345" s="403" t="str">
        <f aca="false">IF(ABS(t-T_satellite)&lt;pas/2,"Satellite","")</f>
        <v/>
      </c>
      <c r="AC345" s="399" t="e">
        <f aca="false">IF(ABS(t-ROUND(t,0))&lt;0.001,t,NA())</f>
        <v>#N/A</v>
      </c>
      <c r="AD345" s="404" t="e">
        <f aca="false">IF(ABS(t-ROUND(t,0))&lt;0.001,pos_x,NA())</f>
        <v>#N/A</v>
      </c>
      <c r="AE345" s="405" t="e">
        <f aca="false">IF(t&lt;T_para, pos_z, NA())</f>
        <v>#N/A</v>
      </c>
      <c r="AG345" s="396" t="n">
        <f aca="false">IF(AND(L344&lt;L_rampe,Poussee&lt;Poids*SIN(M344)),0,(-W344+Poussee)/m-Poids*SIN(M344)/m)</f>
        <v>4.41149061264412</v>
      </c>
      <c r="AH345" s="397" t="n">
        <f aca="false">IF(AND(L344&lt;L_rampe,Poussee&lt;Poids*SIN(M344)), g*SIN(M344), (-W344+Poussee)/m)</f>
        <v>-0.29729583092985</v>
      </c>
    </row>
    <row r="346" customFormat="false" ht="12.75" hidden="false" customHeight="false" outlineLevel="0" collapsed="false">
      <c r="A346" s="396" t="n">
        <f aca="false">IF(B345+0.01&lt;=T_ini+ROUNDUP(Temps_fin_propu,0), 0.01, IF(K345&gt;0, 0.1, 0.0001))</f>
        <v>0.1</v>
      </c>
      <c r="B346" s="397" t="n">
        <f aca="false">B345+pas</f>
        <v>16.2</v>
      </c>
      <c r="D346" s="396" t="n">
        <f aca="false">IF(AND(L345&lt;L_rampe,Poussee&lt;Poids*SIN(M345)),0,(-W345+Poussee)/m*COS(M345)-U345/m*SIN(M345))</f>
        <v>-0.265322263700431</v>
      </c>
      <c r="E346" s="398" t="n">
        <f aca="false">IF(AND(L345&lt;L_rampe,Poussee&lt;Poids*SIN(M345)),0,(-W345+Poussee)/m*SIN(M345)+U345/m*COS(M345)-Poids/m)</f>
        <v>-9.6528361651137</v>
      </c>
      <c r="F346" s="397" t="n">
        <f aca="false">SQRT(acc_x^2+acc_z^2)</f>
        <v>9.65648186112013</v>
      </c>
      <c r="G346" s="396" t="n">
        <f aca="false">G345+acc_x*pas</f>
        <v>21.6770713183601</v>
      </c>
      <c r="H346" s="398" t="n">
        <f aca="false">H345+acc_z*pas</f>
        <v>-13.8214288806458</v>
      </c>
      <c r="I346" s="397" t="n">
        <f aca="false">SQRT(vit_x^2+vit_z^2)</f>
        <v>25.7085067097259</v>
      </c>
      <c r="J346" s="396" t="n">
        <f aca="false">J345+0.5*(vit_x+G345)*pas*(K345&gt;=0)</f>
        <v>416.904088954099</v>
      </c>
      <c r="K346" s="398" t="n">
        <f aca="false">K345+0.5*(vit_z+H345)*pas</f>
        <v>1180.93491877981</v>
      </c>
      <c r="L346" s="397" t="n">
        <f aca="false">SQRT(pos_x^2+pos_z^2)</f>
        <v>1252.36428477505</v>
      </c>
      <c r="M346" s="396" t="n">
        <f aca="false">IF(AND(L345&gt;L_rampe,G346&gt;0),ATAN2(G346,H346),$M$4)</f>
        <v>-0.567612929747319</v>
      </c>
      <c r="N346" s="397" t="n">
        <f aca="false">DEGREES(Beta)</f>
        <v>-32.5218252715771</v>
      </c>
      <c r="P346" s="399" t="n">
        <f aca="false">MATCH(t-pas/2-T_ini,CdP_t)</f>
        <v>23</v>
      </c>
      <c r="Q346" s="397" t="n">
        <f aca="false">(INDEX(CdP,2,i_P+1)-INDEX(CdP,2,i_P+0))/(INDEX(CdP,1,i_P+1)-INDEX(CdP,1,i_P+0))*(t-pas/2-T_ini-INDEX(CdP,1,i_P+0))+INDEX(CdP,2,i_P+0)</f>
        <v>0</v>
      </c>
      <c r="R346" s="396" t="n">
        <f aca="false">Poussee/(g*ISP)</f>
        <v>0</v>
      </c>
      <c r="S346" s="398" t="n">
        <f aca="false">S345-Débit*pas</f>
        <v>8.45</v>
      </c>
      <c r="T346" s="397" t="n">
        <f aca="false">m*g</f>
        <v>82.8945</v>
      </c>
      <c r="U346" s="400" t="n">
        <f aca="false">IF(pos_xz&lt;L_rampe,Poids*COS(Beta),0)</f>
        <v>0</v>
      </c>
      <c r="V346" s="396" t="n">
        <f aca="false">Rho_moyen*(20000-Alt_rampe-pos_z)/(20000+Alt_rampe+pos_z)</f>
        <v>1.08840118780851</v>
      </c>
      <c r="W346" s="397" t="n">
        <f aca="false">1/2*Rho*Sref*Cx*vit_xz^2</f>
        <v>2.70688780962506</v>
      </c>
      <c r="Y346" s="401" t="str">
        <f aca="false">IF(AND(pos_z&lt;=0,K345&gt;0),"Impact balistique","") &amp; IF(AND(H347&lt;0,vit_z&gt;=0),"Apogée","") &amp; IF(AND(Poussee=0,Q345&gt;0),"Fin de propulsion","") &amp; IF(AND(L347&gt;L_rampe,pos_xz&lt;=L_rampe),"Sortie de rampe","")</f>
        <v/>
      </c>
      <c r="Z346" s="402" t="str">
        <f aca="false">IF(ABS(t-T_para)&lt;pas/2,"Para","")</f>
        <v/>
      </c>
      <c r="AA346" s="403" t="str">
        <f aca="false">IF(ABS(t-T_satellite)&lt;pas/2,"Satellite","")</f>
        <v/>
      </c>
      <c r="AC346" s="399" t="e">
        <f aca="false">IF(ABS(t-ROUND(t,0))&lt;0.001,t,NA())</f>
        <v>#N/A</v>
      </c>
      <c r="AD346" s="404" t="e">
        <f aca="false">IF(ABS(t-ROUND(t,0))&lt;0.001,pos_x,NA())</f>
        <v>#N/A</v>
      </c>
      <c r="AE346" s="405" t="e">
        <f aca="false">IF(t&lt;T_para, pos_z, NA())</f>
        <v>#N/A</v>
      </c>
      <c r="AG346" s="396" t="n">
        <f aca="false">IF(AND(L345&lt;L_rampe,Poussee&lt;Poids*SIN(M345)),0,(-W345+Poussee)/m-Poids*SIN(M345)/m)</f>
        <v>4.69127348004177</v>
      </c>
      <c r="AH346" s="397" t="n">
        <f aca="false">IF(AND(L345&lt;L_rampe,Poussee&lt;Poids*SIN(M345)), g*SIN(M345), (-W345+Poussee)/m)</f>
        <v>-0.30837700078198</v>
      </c>
    </row>
    <row r="347" customFormat="false" ht="12.75" hidden="false" customHeight="false" outlineLevel="0" collapsed="false">
      <c r="A347" s="396" t="n">
        <f aca="false">IF(B346+0.01&lt;=T_ini+ROUNDUP(Temps_fin_propu,0), 0.01, IF(K346&gt;0, 0.1, 0.0001))</f>
        <v>0.1</v>
      </c>
      <c r="B347" s="397" t="n">
        <f aca="false">B346+pas</f>
        <v>16.3</v>
      </c>
      <c r="D347" s="396" t="n">
        <f aca="false">IF(AND(L346&lt;L_rampe,Poussee&lt;Poids*SIN(M346)),0,(-W346+Poussee)/m*COS(M346)-U346/m*SIN(M346))</f>
        <v>-0.270107910045566</v>
      </c>
      <c r="E347" s="398" t="n">
        <f aca="false">IF(AND(L346&lt;L_rampe,Poussee&lt;Poids*SIN(M346)),0,(-W346+Poussee)/m*SIN(M346)+U346/m*COS(M346)-Poids/m)</f>
        <v>-9.63777759901391</v>
      </c>
      <c r="F347" s="397" t="n">
        <f aca="false">SQRT(acc_x^2+acc_z^2)</f>
        <v>9.64156187197508</v>
      </c>
      <c r="G347" s="396" t="n">
        <f aca="false">G346+acc_x*pas</f>
        <v>21.6500605273556</v>
      </c>
      <c r="H347" s="398" t="n">
        <f aca="false">H346+acc_z*pas</f>
        <v>-14.7852066405472</v>
      </c>
      <c r="I347" s="397" t="n">
        <f aca="false">SQRT(vit_x^2+vit_z^2)</f>
        <v>26.2169307174169</v>
      </c>
      <c r="J347" s="396" t="n">
        <f aca="false">J346+0.5*(vit_x+G346)*pas*(K346&gt;=0)</f>
        <v>419.070445546385</v>
      </c>
      <c r="K347" s="398" t="n">
        <f aca="false">K346+0.5*(vit_z+H346)*pas</f>
        <v>1179.50458700375</v>
      </c>
      <c r="L347" s="397" t="n">
        <f aca="false">SQRT(pos_x^2+pos_z^2)</f>
        <v>1251.73923366384</v>
      </c>
      <c r="M347" s="396" t="n">
        <f aca="false">IF(AND(L346&gt;L_rampe,G347&gt;0),ATAN2(G347,H347),$M$4)</f>
        <v>-0.59916900594437</v>
      </c>
      <c r="N347" s="397" t="n">
        <f aca="false">DEGREES(Beta)</f>
        <v>-34.3298552556614</v>
      </c>
      <c r="P347" s="399" t="n">
        <f aca="false">MATCH(t-pas/2-T_ini,CdP_t)</f>
        <v>23</v>
      </c>
      <c r="Q347" s="397" t="n">
        <f aca="false">(INDEX(CdP,2,i_P+1)-INDEX(CdP,2,i_P+0))/(INDEX(CdP,1,i_P+1)-INDEX(CdP,1,i_P+0))*(t-pas/2-T_ini-INDEX(CdP,1,i_P+0))+INDEX(CdP,2,i_P+0)</f>
        <v>0</v>
      </c>
      <c r="R347" s="396" t="n">
        <f aca="false">Poussee/(g*ISP)</f>
        <v>0</v>
      </c>
      <c r="S347" s="398" t="n">
        <f aca="false">S346-Débit*pas</f>
        <v>8.45</v>
      </c>
      <c r="T347" s="397" t="n">
        <f aca="false">m*g</f>
        <v>82.8945</v>
      </c>
      <c r="U347" s="400" t="n">
        <f aca="false">IF(pos_xz&lt;L_rampe,Poids*COS(Beta),0)</f>
        <v>0</v>
      </c>
      <c r="V347" s="396" t="n">
        <f aca="false">Rho_moyen*(20000-Alt_rampe-pos_z)/(20000+Alt_rampe+pos_z)</f>
        <v>1.08855742051056</v>
      </c>
      <c r="W347" s="397" t="n">
        <f aca="false">1/2*Rho*Sref*Cx*vit_xz^2</f>
        <v>2.81541605092932</v>
      </c>
      <c r="Y347" s="401" t="str">
        <f aca="false">IF(AND(pos_z&lt;=0,K346&gt;0),"Impact balistique","") &amp; IF(AND(H348&lt;0,vit_z&gt;=0),"Apogée","") &amp; IF(AND(Poussee=0,Q346&gt;0),"Fin de propulsion","") &amp; IF(AND(L348&gt;L_rampe,pos_xz&lt;=L_rampe),"Sortie de rampe","")</f>
        <v/>
      </c>
      <c r="Z347" s="402" t="str">
        <f aca="false">IF(ABS(t-T_para)&lt;pas/2,"Para","")</f>
        <v/>
      </c>
      <c r="AA347" s="403" t="str">
        <f aca="false">IF(ABS(t-T_satellite)&lt;pas/2,"Satellite","")</f>
        <v/>
      </c>
      <c r="AC347" s="399" t="e">
        <f aca="false">IF(ABS(t-ROUND(t,0))&lt;0.001,t,NA())</f>
        <v>#N/A</v>
      </c>
      <c r="AD347" s="404" t="e">
        <f aca="false">IF(ABS(t-ROUND(t,0))&lt;0.001,pos_x,NA())</f>
        <v>#N/A</v>
      </c>
      <c r="AE347" s="405" t="e">
        <f aca="false">IF(t&lt;T_para, pos_z, NA())</f>
        <v>#N/A</v>
      </c>
      <c r="AG347" s="396" t="n">
        <f aca="false">IF(AND(L346&lt;L_rampe,Poussee&lt;Poids*SIN(M346)),0,(-W346+Poussee)/m-Poids*SIN(M346)/m)</f>
        <v>4.95371865275868</v>
      </c>
      <c r="AH347" s="397" t="n">
        <f aca="false">IF(AND(L346&lt;L_rampe,Poussee&lt;Poids*SIN(M346)), g*SIN(M346), (-W346+Poussee)/m)</f>
        <v>-0.32034175261835</v>
      </c>
    </row>
    <row r="348" customFormat="false" ht="12.75" hidden="false" customHeight="false" outlineLevel="0" collapsed="false">
      <c r="A348" s="396" t="n">
        <f aca="false">IF(B347+0.01&lt;=T_ini+ROUNDUP(Temps_fin_propu,0), 0.01, IF(K347&gt;0, 0.1, 0.0001))</f>
        <v>0.1</v>
      </c>
      <c r="B348" s="397" t="n">
        <f aca="false">B347+pas</f>
        <v>16.4</v>
      </c>
      <c r="D348" s="396" t="n">
        <f aca="false">IF(AND(L347&lt;L_rampe,Poussee&lt;Poids*SIN(M347)),0,(-W347+Poussee)/m*COS(M347)-U347/m*SIN(M347))</f>
        <v>-0.275145960864914</v>
      </c>
      <c r="E348" s="398" t="n">
        <f aca="false">IF(AND(L347&lt;L_rampe,Poussee&lt;Poids*SIN(M347)),0,(-W347+Poussee)/m*SIN(M347)+U347/m*COS(M347)-Poids/m)</f>
        <v>-9.62209799009294</v>
      </c>
      <c r="F348" s="397" t="n">
        <f aca="false">SQRT(acc_x^2+acc_z^2)</f>
        <v>9.62603111519649</v>
      </c>
      <c r="G348" s="396" t="n">
        <f aca="false">G347+acc_x*pas</f>
        <v>21.6225459312691</v>
      </c>
      <c r="H348" s="398" t="n">
        <f aca="false">H347+acc_z*pas</f>
        <v>-15.7474164395565</v>
      </c>
      <c r="I348" s="397" t="n">
        <f aca="false">SQRT(vit_x^2+vit_z^2)</f>
        <v>26.7491236692093</v>
      </c>
      <c r="J348" s="396" t="n">
        <f aca="false">J347+0.5*(vit_x+G347)*pas*(K347&gt;=0)</f>
        <v>421.234075869317</v>
      </c>
      <c r="K348" s="398" t="n">
        <f aca="false">K347+0.5*(vit_z+H347)*pas</f>
        <v>1177.97795584974</v>
      </c>
      <c r="L348" s="397" t="n">
        <f aca="false">SQRT(pos_x^2+pos_z^2)</f>
        <v>1251.02766202087</v>
      </c>
      <c r="M348" s="396" t="n">
        <f aca="false">IF(AND(L347&gt;L_rampe,G348&gt;0),ATAN2(G348,H348),$M$4)</f>
        <v>-0.629459274941183</v>
      </c>
      <c r="N348" s="397" t="n">
        <f aca="false">DEGREES(Beta)</f>
        <v>-36.0653598294947</v>
      </c>
      <c r="P348" s="399" t="n">
        <f aca="false">MATCH(t-pas/2-T_ini,CdP_t)</f>
        <v>23</v>
      </c>
      <c r="Q348" s="397" t="n">
        <f aca="false">(INDEX(CdP,2,i_P+1)-INDEX(CdP,2,i_P+0))/(INDEX(CdP,1,i_P+1)-INDEX(CdP,1,i_P+0))*(t-pas/2-T_ini-INDEX(CdP,1,i_P+0))+INDEX(CdP,2,i_P+0)</f>
        <v>0</v>
      </c>
      <c r="R348" s="396" t="n">
        <f aca="false">Poussee/(g*ISP)</f>
        <v>0</v>
      </c>
      <c r="S348" s="398" t="n">
        <f aca="false">S347-Débit*pas</f>
        <v>8.45</v>
      </c>
      <c r="T348" s="397" t="n">
        <f aca="false">m*g</f>
        <v>82.8945</v>
      </c>
      <c r="U348" s="400" t="n">
        <f aca="false">IF(pos_xz&lt;L_rampe,Poids*COS(Beta),0)</f>
        <v>0</v>
      </c>
      <c r="V348" s="396" t="n">
        <f aca="false">Rho_moyen*(20000-Alt_rampe-pos_z)/(20000+Alt_rampe+pos_z)</f>
        <v>1.08872419511209</v>
      </c>
      <c r="W348" s="397" t="n">
        <f aca="false">1/2*Rho*Sref*Cx*vit_xz^2</f>
        <v>2.93132882472229</v>
      </c>
      <c r="Y348" s="401" t="str">
        <f aca="false">IF(AND(pos_z&lt;=0,K347&gt;0),"Impact balistique","") &amp; IF(AND(H349&lt;0,vit_z&gt;=0),"Apogée","") &amp; IF(AND(Poussee=0,Q347&gt;0),"Fin de propulsion","") &amp; IF(AND(L349&gt;L_rampe,pos_xz&lt;=L_rampe),"Sortie de rampe","")</f>
        <v/>
      </c>
      <c r="Z348" s="402" t="str">
        <f aca="false">IF(ABS(t-T_para)&lt;pas/2,"Para","")</f>
        <v/>
      </c>
      <c r="AA348" s="403" t="str">
        <f aca="false">IF(ABS(t-T_satellite)&lt;pas/2,"Satellite","")</f>
        <v/>
      </c>
      <c r="AC348" s="399" t="e">
        <f aca="false">IF(ABS(t-ROUND(t,0))&lt;0.001,t,NA())</f>
        <v>#N/A</v>
      </c>
      <c r="AD348" s="404" t="e">
        <f aca="false">IF(ABS(t-ROUND(t,0))&lt;0.001,pos_x,NA())</f>
        <v>#N/A</v>
      </c>
      <c r="AE348" s="405" t="e">
        <f aca="false">IF(t&lt;T_para, pos_z, NA())</f>
        <v>#N/A</v>
      </c>
      <c r="AG348" s="396" t="n">
        <f aca="false">IF(AND(L347&lt;L_rampe,Poussee&lt;Poids*SIN(M347)),0,(-W347+Poussee)/m-Poids*SIN(M347)/m)</f>
        <v>5.19922724218744</v>
      </c>
      <c r="AH348" s="397" t="n">
        <f aca="false">IF(AND(L347&lt;L_rampe,Poussee&lt;Poids*SIN(M347)), g*SIN(M347), (-W347+Poussee)/m)</f>
        <v>-0.333185331470926</v>
      </c>
    </row>
    <row r="349" customFormat="false" ht="12.75" hidden="false" customHeight="false" outlineLevel="0" collapsed="false">
      <c r="A349" s="396" t="n">
        <f aca="false">IF(B348+0.01&lt;=T_ini+ROUNDUP(Temps_fin_propu,0), 0.01, IF(K348&gt;0, 0.1, 0.0001))</f>
        <v>0.1</v>
      </c>
      <c r="B349" s="397" t="n">
        <f aca="false">B348+pas</f>
        <v>16.5</v>
      </c>
      <c r="D349" s="396" t="n">
        <f aca="false">IF(AND(L348&lt;L_rampe,Poussee&lt;Poids*SIN(M348)),0,(-W348+Poussee)/m*COS(M348)-U348/m*SIN(M348))</f>
        <v>-0.280417491090553</v>
      </c>
      <c r="E349" s="398" t="n">
        <f aca="false">IF(AND(L348&lt;L_rampe,Poussee&lt;Poids*SIN(M348)),0,(-W348+Poussee)/m*SIN(M348)+U348/m*COS(M348)-Poids/m)</f>
        <v>-9.6057756212809</v>
      </c>
      <c r="F349" s="397" t="n">
        <f aca="false">SQRT(acc_x^2+acc_z^2)</f>
        <v>9.60986780635946</v>
      </c>
      <c r="G349" s="396" t="n">
        <f aca="false">G348+acc_x*pas</f>
        <v>21.59450418216</v>
      </c>
      <c r="H349" s="398" t="n">
        <f aca="false">H348+acc_z*pas</f>
        <v>-16.7079940016845</v>
      </c>
      <c r="I349" s="397" t="n">
        <f aca="false">SQRT(vit_x^2+vit_z^2)</f>
        <v>27.3034736697303</v>
      </c>
      <c r="J349" s="396" t="n">
        <f aca="false">J348+0.5*(vit_x+G348)*pas*(K348&gt;=0)</f>
        <v>423.394928374988</v>
      </c>
      <c r="K349" s="398" t="n">
        <f aca="false">K348+0.5*(vit_z+H348)*pas</f>
        <v>1176.35518532768</v>
      </c>
      <c r="L349" s="397" t="n">
        <f aca="false">SQRT(pos_x^2+pos_z^2)</f>
        <v>1250.22989382792</v>
      </c>
      <c r="M349" s="396" t="n">
        <f aca="false">IF(AND(L348&gt;L_rampe,G349&gt;0),ATAN2(G349,H349),$M$4)</f>
        <v>-0.658506820981809</v>
      </c>
      <c r="N349" s="397" t="n">
        <f aca="false">DEGREES(Beta)</f>
        <v>-37.7296616228345</v>
      </c>
      <c r="P349" s="399" t="n">
        <f aca="false">MATCH(t-pas/2-T_ini,CdP_t)</f>
        <v>23</v>
      </c>
      <c r="Q349" s="397" t="n">
        <f aca="false">(INDEX(CdP,2,i_P+1)-INDEX(CdP,2,i_P+0))/(INDEX(CdP,1,i_P+1)-INDEX(CdP,1,i_P+0))*(t-pas/2-T_ini-INDEX(CdP,1,i_P+0))+INDEX(CdP,2,i_P+0)</f>
        <v>0</v>
      </c>
      <c r="R349" s="396" t="n">
        <f aca="false">Poussee/(g*ISP)</f>
        <v>0</v>
      </c>
      <c r="S349" s="398" t="n">
        <f aca="false">S348-Débit*pas</f>
        <v>8.45</v>
      </c>
      <c r="T349" s="397" t="n">
        <f aca="false">m*g</f>
        <v>82.8945</v>
      </c>
      <c r="U349" s="400" t="n">
        <f aca="false">IF(pos_xz&lt;L_rampe,Poids*COS(Beta),0)</f>
        <v>0</v>
      </c>
      <c r="V349" s="396" t="n">
        <f aca="false">Rho_moyen*(20000-Alt_rampe-pos_z)/(20000+Alt_rampe+pos_z)</f>
        <v>1.08890149868426</v>
      </c>
      <c r="W349" s="397" t="n">
        <f aca="false">1/2*Rho*Sref*Cx*vit_xz^2</f>
        <v>3.0545831324955</v>
      </c>
      <c r="Y349" s="401" t="str">
        <f aca="false">IF(AND(pos_z&lt;=0,K348&gt;0),"Impact balistique","") &amp; IF(AND(H350&lt;0,vit_z&gt;=0),"Apogée","") &amp; IF(AND(Poussee=0,Q348&gt;0),"Fin de propulsion","") &amp; IF(AND(L350&gt;L_rampe,pos_xz&lt;=L_rampe),"Sortie de rampe","")</f>
        <v/>
      </c>
      <c r="Z349" s="402" t="str">
        <f aca="false">IF(ABS(t-T_para)&lt;pas/2,"Para","")</f>
        <v/>
      </c>
      <c r="AA349" s="403" t="str">
        <f aca="false">IF(ABS(t-T_satellite)&lt;pas/2,"Satellite","")</f>
        <v/>
      </c>
      <c r="AC349" s="399" t="e">
        <f aca="false">IF(ABS(t-ROUND(t,0))&lt;0.001,t,NA())</f>
        <v>#N/A</v>
      </c>
      <c r="AD349" s="404" t="e">
        <f aca="false">IF(ABS(t-ROUND(t,0))&lt;0.001,pos_x,NA())</f>
        <v>#N/A</v>
      </c>
      <c r="AE349" s="405" t="e">
        <f aca="false">IF(t&lt;T_para, pos_z, NA())</f>
        <v>#N/A</v>
      </c>
      <c r="AG349" s="396" t="n">
        <f aca="false">IF(AND(L348&lt;L_rampe,Poussee&lt;Poids*SIN(M348)),0,(-W348+Poussee)/m-Poids*SIN(M348)/m)</f>
        <v>5.42832021892943</v>
      </c>
      <c r="AH349" s="397" t="n">
        <f aca="false">IF(AND(L348&lt;L_rampe,Poussee&lt;Poids*SIN(M348)), g*SIN(M348), (-W348+Poussee)/m)</f>
        <v>-0.346902819493762</v>
      </c>
    </row>
    <row r="350" customFormat="false" ht="12.75" hidden="false" customHeight="false" outlineLevel="0" collapsed="false">
      <c r="A350" s="396" t="n">
        <f aca="false">IF(B349+0.01&lt;=T_ini+ROUNDUP(Temps_fin_propu,0), 0.01, IF(K349&gt;0, 0.1, 0.0001))</f>
        <v>0.1</v>
      </c>
      <c r="B350" s="397" t="n">
        <f aca="false">B349+pas</f>
        <v>16.6</v>
      </c>
      <c r="D350" s="396" t="n">
        <f aca="false">IF(AND(L349&lt;L_rampe,Poussee&lt;Poids*SIN(M349)),0,(-W349+Poussee)/m*COS(M349)-U349/m*SIN(M349))</f>
        <v>-0.285904225341999</v>
      </c>
      <c r="E350" s="398" t="n">
        <f aca="false">IF(AND(L349&lt;L_rampe,Poussee&lt;Poids*SIN(M349)),0,(-W349+Poussee)/m*SIN(M349)+U349/m*COS(M349)-Poids/m)</f>
        <v>-9.58879158318362</v>
      </c>
      <c r="F350" s="397" t="n">
        <f aca="false">SQRT(acc_x^2+acc_z^2)</f>
        <v>9.59305296825788</v>
      </c>
      <c r="G350" s="396" t="n">
        <f aca="false">G349+acc_x*pas</f>
        <v>21.5659137596258</v>
      </c>
      <c r="H350" s="398" t="n">
        <f aca="false">H349+acc_z*pas</f>
        <v>-17.6668731600029</v>
      </c>
      <c r="I350" s="397" t="n">
        <f aca="false">SQRT(vit_x^2+vit_z^2)</f>
        <v>27.8784333049626</v>
      </c>
      <c r="J350" s="396" t="n">
        <f aca="false">J349+0.5*(vit_x+G349)*pas*(K349&gt;=0)</f>
        <v>425.552949272077</v>
      </c>
      <c r="K350" s="398" t="n">
        <f aca="false">K349+0.5*(vit_z+H349)*pas</f>
        <v>1174.6364419696</v>
      </c>
      <c r="L350" s="397" t="n">
        <f aca="false">SQRT(pos_x^2+pos_z^2)</f>
        <v>1249.34626242574</v>
      </c>
      <c r="M350" s="396" t="n">
        <f aca="false">IF(AND(L349&gt;L_rampe,G350&gt;0),ATAN2(G350,H350),$M$4)</f>
        <v>-0.686341233349093</v>
      </c>
      <c r="N350" s="397" t="n">
        <f aca="false">DEGREES(Beta)</f>
        <v>-39.3244559767066</v>
      </c>
      <c r="P350" s="399" t="n">
        <f aca="false">MATCH(t-pas/2-T_ini,CdP_t)</f>
        <v>23</v>
      </c>
      <c r="Q350" s="397" t="n">
        <f aca="false">(INDEX(CdP,2,i_P+1)-INDEX(CdP,2,i_P+0))/(INDEX(CdP,1,i_P+1)-INDEX(CdP,1,i_P+0))*(t-pas/2-T_ini-INDEX(CdP,1,i_P+0))+INDEX(CdP,2,i_P+0)</f>
        <v>0</v>
      </c>
      <c r="R350" s="396" t="n">
        <f aca="false">Poussee/(g*ISP)</f>
        <v>0</v>
      </c>
      <c r="S350" s="398" t="n">
        <f aca="false">S349-Débit*pas</f>
        <v>8.45</v>
      </c>
      <c r="T350" s="397" t="n">
        <f aca="false">m*g</f>
        <v>82.8945</v>
      </c>
      <c r="U350" s="400" t="n">
        <f aca="false">IF(pos_xz&lt;L_rampe,Poids*COS(Beta),0)</f>
        <v>0</v>
      </c>
      <c r="V350" s="396" t="n">
        <f aca="false">Rho_moyen*(20000-Alt_rampe-pos_z)/(20000+Alt_rampe+pos_z)</f>
        <v>1.08908931786326</v>
      </c>
      <c r="W350" s="397" t="n">
        <f aca="false">1/2*Rho*Sref*Cx*vit_xz^2</f>
        <v>3.18513447648565</v>
      </c>
      <c r="Y350" s="401" t="str">
        <f aca="false">IF(AND(pos_z&lt;=0,K349&gt;0),"Impact balistique","") &amp; IF(AND(H351&lt;0,vit_z&gt;=0),"Apogée","") &amp; IF(AND(Poussee=0,Q349&gt;0),"Fin de propulsion","") &amp; IF(AND(L351&gt;L_rampe,pos_xz&lt;=L_rampe),"Sortie de rampe","")</f>
        <v/>
      </c>
      <c r="Z350" s="402" t="str">
        <f aca="false">IF(ABS(t-T_para)&lt;pas/2,"Para","")</f>
        <v/>
      </c>
      <c r="AA350" s="403" t="str">
        <f aca="false">IF(ABS(t-T_satellite)&lt;pas/2,"Satellite","")</f>
        <v/>
      </c>
      <c r="AC350" s="399" t="e">
        <f aca="false">IF(ABS(t-ROUND(t,0))&lt;0.001,t,NA())</f>
        <v>#N/A</v>
      </c>
      <c r="AD350" s="404" t="e">
        <f aca="false">IF(ABS(t-ROUND(t,0))&lt;0.001,pos_x,NA())</f>
        <v>#N/A</v>
      </c>
      <c r="AE350" s="405" t="e">
        <f aca="false">IF(t&lt;T_para, pos_z, NA())</f>
        <v>#N/A</v>
      </c>
      <c r="AG350" s="396" t="n">
        <f aca="false">IF(AND(L349&lt;L_rampe,Poussee&lt;Poids*SIN(M349)),0,(-W349+Poussee)/m-Poids*SIN(M349)/m)</f>
        <v>5.64160861466357</v>
      </c>
      <c r="AH350" s="397" t="n">
        <f aca="false">IF(AND(L349&lt;L_rampe,Poussee&lt;Poids*SIN(M349)), g*SIN(M349), (-W349+Poussee)/m)</f>
        <v>-0.361489128105977</v>
      </c>
    </row>
    <row r="351" customFormat="false" ht="12.75" hidden="false" customHeight="false" outlineLevel="0" collapsed="false">
      <c r="A351" s="396" t="n">
        <f aca="false">IF(B350+0.01&lt;=T_ini+ROUNDUP(Temps_fin_propu,0), 0.01, IF(K350&gt;0, 0.1, 0.0001))</f>
        <v>0.1</v>
      </c>
      <c r="B351" s="397" t="n">
        <f aca="false">B350+pas</f>
        <v>16.7</v>
      </c>
      <c r="D351" s="396" t="n">
        <f aca="false">IF(AND(L350&lt;L_rampe,Poussee&lt;Poids*SIN(M350)),0,(-W350+Poussee)/m*COS(M350)-U350/m*SIN(M350))</f>
        <v>-0.291588615834117</v>
      </c>
      <c r="E351" s="398" t="n">
        <f aca="false">IF(AND(L350&lt;L_rampe,Poussee&lt;Poids*SIN(M350)),0,(-W350+Poussee)/m*SIN(M350)+U350/m*COS(M350)-Poids/m)</f>
        <v>-9.57112957010492</v>
      </c>
      <c r="F351" s="397" t="n">
        <f aca="false">SQRT(acc_x^2+acc_z^2)</f>
        <v>9.57557022681264</v>
      </c>
      <c r="G351" s="396" t="n">
        <f aca="false">G350+acc_x*pas</f>
        <v>21.5367548980424</v>
      </c>
      <c r="H351" s="398" t="n">
        <f aca="false">H350+acc_z*pas</f>
        <v>-18.6239861170134</v>
      </c>
      <c r="I351" s="397" t="n">
        <f aca="false">SQRT(vit_x^2+vit_z^2)</f>
        <v>28.4725248340407</v>
      </c>
      <c r="J351" s="396" t="n">
        <f aca="false">J350+0.5*(vit_x+G350)*pas*(K350&gt;=0)</f>
        <v>427.708082704961</v>
      </c>
      <c r="K351" s="398" t="n">
        <f aca="false">K350+0.5*(vit_z+H350)*pas</f>
        <v>1172.82189900575</v>
      </c>
      <c r="L351" s="397" t="n">
        <f aca="false">SQRT(pos_x^2+pos_z^2)</f>
        <v>1248.37711081171</v>
      </c>
      <c r="M351" s="396" t="n">
        <f aca="false">IF(AND(L350&gt;L_rampe,G351&gt;0),ATAN2(G351,H351),$M$4)</f>
        <v>-0.712997170697838</v>
      </c>
      <c r="N351" s="397" t="n">
        <f aca="false">DEGREES(Beta)</f>
        <v>-40.8517286857549</v>
      </c>
      <c r="P351" s="399" t="n">
        <f aca="false">MATCH(t-pas/2-T_ini,CdP_t)</f>
        <v>23</v>
      </c>
      <c r="Q351" s="397" t="n">
        <f aca="false">(INDEX(CdP,2,i_P+1)-INDEX(CdP,2,i_P+0))/(INDEX(CdP,1,i_P+1)-INDEX(CdP,1,i_P+0))*(t-pas/2-T_ini-INDEX(CdP,1,i_P+0))+INDEX(CdP,2,i_P+0)</f>
        <v>0</v>
      </c>
      <c r="R351" s="396" t="n">
        <f aca="false">Poussee/(g*ISP)</f>
        <v>0</v>
      </c>
      <c r="S351" s="398" t="n">
        <f aca="false">S350-Débit*pas</f>
        <v>8.45</v>
      </c>
      <c r="T351" s="397" t="n">
        <f aca="false">m*g</f>
        <v>82.8945</v>
      </c>
      <c r="U351" s="400" t="n">
        <f aca="false">IF(pos_xz&lt;L_rampe,Poids*COS(Beta),0)</f>
        <v>0</v>
      </c>
      <c r="V351" s="396" t="n">
        <f aca="false">Rho_moyen*(20000-Alt_rampe-pos_z)/(20000+Alt_rampe+pos_z)</f>
        <v>1.08928763882914</v>
      </c>
      <c r="W351" s="397" t="n">
        <f aca="false">1/2*Rho*Sref*Cx*vit_xz^2</f>
        <v>3.32293681229819</v>
      </c>
      <c r="Y351" s="401" t="str">
        <f aca="false">IF(AND(pos_z&lt;=0,K350&gt;0),"Impact balistique","") &amp; IF(AND(H352&lt;0,vit_z&gt;=0),"Apogée","") &amp; IF(AND(Poussee=0,Q350&gt;0),"Fin de propulsion","") &amp; IF(AND(L352&gt;L_rampe,pos_xz&lt;=L_rampe),"Sortie de rampe","")</f>
        <v/>
      </c>
      <c r="Z351" s="402" t="str">
        <f aca="false">IF(ABS(t-T_para)&lt;pas/2,"Para","")</f>
        <v/>
      </c>
      <c r="AA351" s="403" t="str">
        <f aca="false">IF(ABS(t-T_satellite)&lt;pas/2,"Satellite","")</f>
        <v/>
      </c>
      <c r="AC351" s="399" t="e">
        <f aca="false">IF(ABS(t-ROUND(t,0))&lt;0.001,t,NA())</f>
        <v>#N/A</v>
      </c>
      <c r="AD351" s="404" t="e">
        <f aca="false">IF(ABS(t-ROUND(t,0))&lt;0.001,pos_x,NA())</f>
        <v>#N/A</v>
      </c>
      <c r="AE351" s="405" t="e">
        <f aca="false">IF(t&lt;T_para, pos_z, NA())</f>
        <v>#N/A</v>
      </c>
      <c r="AG351" s="396" t="n">
        <f aca="false">IF(AND(L350&lt;L_rampe,Poussee&lt;Poids*SIN(M350)),0,(-W350+Poussee)/m-Poids*SIN(M350)/m)</f>
        <v>5.83976708410113</v>
      </c>
      <c r="AH351" s="397" t="n">
        <f aca="false">IF(AND(L350&lt;L_rampe,Poussee&lt;Poids*SIN(M350)), g*SIN(M350), (-W350+Poussee)/m)</f>
        <v>-0.376938991300077</v>
      </c>
    </row>
    <row r="352" customFormat="false" ht="12.75" hidden="false" customHeight="false" outlineLevel="0" collapsed="false">
      <c r="A352" s="396" t="n">
        <f aca="false">IF(B351+0.01&lt;=T_ini+ROUNDUP(Temps_fin_propu,0), 0.01, IF(K351&gt;0, 0.1, 0.0001))</f>
        <v>0.1</v>
      </c>
      <c r="B352" s="397" t="n">
        <f aca="false">B351+pas</f>
        <v>16.8</v>
      </c>
      <c r="D352" s="396" t="n">
        <f aca="false">IF(AND(L351&lt;L_rampe,Poussee&lt;Poids*SIN(M351)),0,(-W351+Poussee)/m*COS(M351)-U351/m*SIN(M351))</f>
        <v>-0.29745389430848</v>
      </c>
      <c r="E352" s="398" t="n">
        <f aca="false">IF(AND(L351&lt;L_rampe,Poussee&lt;Poids*SIN(M351)),0,(-W351+Poussee)/m*SIN(M351)+U351/m*COS(M351)-Poids/m)</f>
        <v>-9.5527756770099</v>
      </c>
      <c r="F352" s="397" t="n">
        <f aca="false">SQRT(acc_x^2+acc_z^2)</f>
        <v>9.55740560793102</v>
      </c>
      <c r="G352" s="396" t="n">
        <f aca="false">G351+acc_x*pas</f>
        <v>21.5070095086116</v>
      </c>
      <c r="H352" s="398" t="n">
        <f aca="false">H351+acc_z*pas</f>
        <v>-19.5792636847144</v>
      </c>
      <c r="I352" s="397" t="n">
        <f aca="false">SQRT(vit_x^2+vit_z^2)</f>
        <v>29.084343287052</v>
      </c>
      <c r="J352" s="396" t="n">
        <f aca="false">J351+0.5*(vit_x+G351)*pas*(K351&gt;=0)</f>
        <v>429.860270925293</v>
      </c>
      <c r="K352" s="398" t="n">
        <f aca="false">K351+0.5*(vit_z+H351)*pas</f>
        <v>1170.91173651566</v>
      </c>
      <c r="L352" s="397" t="n">
        <f aca="false">SQRT(pos_x^2+pos_z^2)</f>
        <v>1247.32279191478</v>
      </c>
      <c r="M352" s="396" t="n">
        <f aca="false">IF(AND(L351&gt;L_rampe,G352&gt;0),ATAN2(G352,H352),$M$4)</f>
        <v>-0.738513086295282</v>
      </c>
      <c r="N352" s="397" t="n">
        <f aca="false">DEGREES(Beta)</f>
        <v>-42.3136829599004</v>
      </c>
      <c r="P352" s="399" t="n">
        <f aca="false">MATCH(t-pas/2-T_ini,CdP_t)</f>
        <v>23</v>
      </c>
      <c r="Q352" s="397" t="n">
        <f aca="false">(INDEX(CdP,2,i_P+1)-INDEX(CdP,2,i_P+0))/(INDEX(CdP,1,i_P+1)-INDEX(CdP,1,i_P+0))*(t-pas/2-T_ini-INDEX(CdP,1,i_P+0))+INDEX(CdP,2,i_P+0)</f>
        <v>0</v>
      </c>
      <c r="R352" s="396" t="n">
        <f aca="false">Poussee/(g*ISP)</f>
        <v>0</v>
      </c>
      <c r="S352" s="398" t="n">
        <f aca="false">S351-Débit*pas</f>
        <v>8.45</v>
      </c>
      <c r="T352" s="397" t="n">
        <f aca="false">m*g</f>
        <v>82.8945</v>
      </c>
      <c r="U352" s="400" t="n">
        <f aca="false">IF(pos_xz&lt;L_rampe,Poids*COS(Beta),0)</f>
        <v>0</v>
      </c>
      <c r="V352" s="396" t="n">
        <f aca="false">Rho_moyen*(20000-Alt_rampe-pos_z)/(20000+Alt_rampe+pos_z)</f>
        <v>1.08949644728737</v>
      </c>
      <c r="W352" s="397" t="n">
        <f aca="false">1/2*Rho*Sref*Cx*vit_xz^2</f>
        <v>3.46794251001791</v>
      </c>
      <c r="Y352" s="401" t="str">
        <f aca="false">IF(AND(pos_z&lt;=0,K351&gt;0),"Impact balistique","") &amp; IF(AND(H353&lt;0,vit_z&gt;=0),"Apogée","") &amp; IF(AND(Poussee=0,Q351&gt;0),"Fin de propulsion","") &amp; IF(AND(L353&gt;L_rampe,pos_xz&lt;=L_rampe),"Sortie de rampe","")</f>
        <v/>
      </c>
      <c r="Z352" s="402" t="str">
        <f aca="false">IF(ABS(t-T_para)&lt;pas/2,"Para","")</f>
        <v/>
      </c>
      <c r="AA352" s="403" t="str">
        <f aca="false">IF(ABS(t-T_satellite)&lt;pas/2,"Satellite","")</f>
        <v/>
      </c>
      <c r="AC352" s="399" t="e">
        <f aca="false">IF(ABS(t-ROUND(t,0))&lt;0.001,t,NA())</f>
        <v>#N/A</v>
      </c>
      <c r="AD352" s="404" t="e">
        <f aca="false">IF(ABS(t-ROUND(t,0))&lt;0.001,pos_x,NA())</f>
        <v>#N/A</v>
      </c>
      <c r="AE352" s="405" t="e">
        <f aca="false">IF(t&lt;T_para, pos_z, NA())</f>
        <v>#N/A</v>
      </c>
      <c r="AG352" s="396" t="n">
        <f aca="false">IF(AND(L351&lt;L_rampe,Poussee&lt;Poids*SIN(M351)),0,(-W351+Poussee)/m-Poids*SIN(M351)/m)</f>
        <v>6.02351112070474</v>
      </c>
      <c r="AH352" s="397" t="n">
        <f aca="false">IF(AND(L351&lt;L_rampe,Poussee&lt;Poids*SIN(M351)), g*SIN(M351), (-W351+Poussee)/m)</f>
        <v>-0.393246960035289</v>
      </c>
    </row>
    <row r="353" customFormat="false" ht="12.75" hidden="false" customHeight="false" outlineLevel="0" collapsed="false">
      <c r="A353" s="396" t="n">
        <f aca="false">IF(B352+0.01&lt;=T_ini+ROUNDUP(Temps_fin_propu,0), 0.01, IF(K352&gt;0, 0.1, 0.0001))</f>
        <v>0.1</v>
      </c>
      <c r="B353" s="397" t="n">
        <f aca="false">B352+pas</f>
        <v>16.9</v>
      </c>
      <c r="D353" s="396" t="n">
        <f aca="false">IF(AND(L352&lt;L_rampe,Poussee&lt;Poids*SIN(M352)),0,(-W352+Poussee)/m*COS(M352)-U352/m*SIN(M352))</f>
        <v>-0.303484101952389</v>
      </c>
      <c r="E353" s="398" t="n">
        <f aca="false">IF(AND(L352&lt;L_rampe,Poussee&lt;Poids*SIN(M352)),0,(-W352+Poussee)/m*SIN(M352)+U352/m*COS(M352)-Poids/m)</f>
        <v>-9.53371820201849</v>
      </c>
      <c r="F353" s="397" t="n">
        <f aca="false">SQRT(acc_x^2+acc_z^2)</f>
        <v>9.53854733990646</v>
      </c>
      <c r="G353" s="396" t="n">
        <f aca="false">G352+acc_x*pas</f>
        <v>21.4766610984163</v>
      </c>
      <c r="H353" s="398" t="n">
        <f aca="false">H352+acc_z*pas</f>
        <v>-20.5326355049162</v>
      </c>
      <c r="I353" s="397" t="n">
        <f aca="false">SQRT(vit_x^2+vit_z^2)</f>
        <v>29.712557828534</v>
      </c>
      <c r="J353" s="396" t="n">
        <f aca="false">J352+0.5*(vit_x+G352)*pas*(K352&gt;=0)</f>
        <v>432.009454455645</v>
      </c>
      <c r="K353" s="398" t="n">
        <f aca="false">K352+0.5*(vit_z+H352)*pas</f>
        <v>1168.90614155618</v>
      </c>
      <c r="L353" s="397" t="n">
        <f aca="false">SQRT(pos_x^2+pos_z^2)</f>
        <v>1246.18366884935</v>
      </c>
      <c r="M353" s="396" t="n">
        <f aca="false">IF(AND(L352&gt;L_rampe,G353&gt;0),ATAN2(G353,H353),$M$4)</f>
        <v>-0.762930119123076</v>
      </c>
      <c r="N353" s="397" t="n">
        <f aca="false">DEGREES(Beta)</f>
        <v>-43.7126758891654</v>
      </c>
      <c r="P353" s="399" t="n">
        <f aca="false">MATCH(t-pas/2-T_ini,CdP_t)</f>
        <v>23</v>
      </c>
      <c r="Q353" s="397" t="n">
        <f aca="false">(INDEX(CdP,2,i_P+1)-INDEX(CdP,2,i_P+0))/(INDEX(CdP,1,i_P+1)-INDEX(CdP,1,i_P+0))*(t-pas/2-T_ini-INDEX(CdP,1,i_P+0))+INDEX(CdP,2,i_P+0)</f>
        <v>0</v>
      </c>
      <c r="R353" s="396" t="n">
        <f aca="false">Poussee/(g*ISP)</f>
        <v>0</v>
      </c>
      <c r="S353" s="398" t="n">
        <f aca="false">S352-Débit*pas</f>
        <v>8.45</v>
      </c>
      <c r="T353" s="397" t="n">
        <f aca="false">m*g</f>
        <v>82.8945</v>
      </c>
      <c r="U353" s="400" t="n">
        <f aca="false">IF(pos_xz&lt;L_rampe,Poids*COS(Beta),0)</f>
        <v>0</v>
      </c>
      <c r="V353" s="396" t="n">
        <f aca="false">Rho_moyen*(20000-Alt_rampe-pos_z)/(20000+Alt_rampe+pos_z)</f>
        <v>1.08971572845275</v>
      </c>
      <c r="W353" s="397" t="n">
        <f aca="false">1/2*Rho*Sref*Cx*vit_xz^2</f>
        <v>3.62010232313861</v>
      </c>
      <c r="Y353" s="401" t="str">
        <f aca="false">IF(AND(pos_z&lt;=0,K352&gt;0),"Impact balistique","") &amp; IF(AND(H354&lt;0,vit_z&gt;=0),"Apogée","") &amp; IF(AND(Poussee=0,Q352&gt;0),"Fin de propulsion","") &amp; IF(AND(L354&gt;L_rampe,pos_xz&lt;=L_rampe),"Sortie de rampe","")</f>
        <v/>
      </c>
      <c r="Z353" s="402" t="str">
        <f aca="false">IF(ABS(t-T_para)&lt;pas/2,"Para","")</f>
        <v/>
      </c>
      <c r="AA353" s="403" t="str">
        <f aca="false">IF(ABS(t-T_satellite)&lt;pas/2,"Satellite","")</f>
        <v/>
      </c>
      <c r="AC353" s="399" t="e">
        <f aca="false">IF(ABS(t-ROUND(t,0))&lt;0.001,t,NA())</f>
        <v>#N/A</v>
      </c>
      <c r="AD353" s="404" t="e">
        <f aca="false">IF(ABS(t-ROUND(t,0))&lt;0.001,pos_x,NA())</f>
        <v>#N/A</v>
      </c>
      <c r="AE353" s="405" t="e">
        <f aca="false">IF(t&lt;T_para, pos_z, NA())</f>
        <v>#N/A</v>
      </c>
      <c r="AG353" s="396" t="n">
        <f aca="false">IF(AND(L352&lt;L_rampe,Poussee&lt;Poids*SIN(M352)),0,(-W352+Poussee)/m-Poids*SIN(M352)/m)</f>
        <v>6.19357794428432</v>
      </c>
      <c r="AH353" s="397" t="n">
        <f aca="false">IF(AND(L352&lt;L_rampe,Poussee&lt;Poids*SIN(M352)), g*SIN(M352), (-W352+Poussee)/m)</f>
        <v>-0.410407397635255</v>
      </c>
    </row>
    <row r="354" customFormat="false" ht="12.75" hidden="false" customHeight="false" outlineLevel="0" collapsed="false">
      <c r="A354" s="396" t="n">
        <f aca="false">IF(B353+0.01&lt;=T_ini+ROUNDUP(Temps_fin_propu,0), 0.01, IF(K353&gt;0, 0.1, 0.0001))</f>
        <v>0.1</v>
      </c>
      <c r="B354" s="397" t="n">
        <f aca="false">B353+pas</f>
        <v>17</v>
      </c>
      <c r="D354" s="396" t="n">
        <f aca="false">IF(AND(L353&lt;L_rampe,Poussee&lt;Poids*SIN(M353)),0,(-W353+Poussee)/m*COS(M353)-U353/m*SIN(M353))</f>
        <v>-0.309664101158509</v>
      </c>
      <c r="E354" s="398" t="n">
        <f aca="false">IF(AND(L353&lt;L_rampe,Poussee&lt;Poids*SIN(M353)),0,(-W353+Poussee)/m*SIN(M353)+U353/m*COS(M353)-Poids/m)</f>
        <v>-9.51394745771194</v>
      </c>
      <c r="F354" s="397" t="n">
        <f aca="false">SQRT(acc_x^2+acc_z^2)</f>
        <v>9.51898566464147</v>
      </c>
      <c r="G354" s="396" t="n">
        <f aca="false">G353+acc_x*pas</f>
        <v>21.4456946883005</v>
      </c>
      <c r="H354" s="398" t="n">
        <f aca="false">H353+acc_z*pas</f>
        <v>-21.4840302506874</v>
      </c>
      <c r="I354" s="397" t="n">
        <f aca="false">SQRT(vit_x^2+vit_z^2)</f>
        <v>30.3559117220395</v>
      </c>
      <c r="J354" s="396" t="n">
        <f aca="false">J353+0.5*(vit_x+G353)*pas*(K353&gt;=0)</f>
        <v>434.155572244981</v>
      </c>
      <c r="K354" s="398" t="n">
        <f aca="false">K353+0.5*(vit_z+H353)*pas</f>
        <v>1166.8053082684</v>
      </c>
      <c r="L354" s="397" t="n">
        <f aca="false">SQRT(pos_x^2+pos_z^2)</f>
        <v>1244.96011515015</v>
      </c>
      <c r="M354" s="396" t="n">
        <f aca="false">IF(AND(L353&gt;L_rampe,G354&gt;0),ATAN2(G354,H354),$M$4)</f>
        <v>-0.786291147274041</v>
      </c>
      <c r="N354" s="397" t="n">
        <f aca="false">DEGREES(Beta)</f>
        <v>-45.051164207302</v>
      </c>
      <c r="P354" s="399" t="n">
        <f aca="false">MATCH(t-pas/2-T_ini,CdP_t)</f>
        <v>23</v>
      </c>
      <c r="Q354" s="397" t="n">
        <f aca="false">(INDEX(CdP,2,i_P+1)-INDEX(CdP,2,i_P+0))/(INDEX(CdP,1,i_P+1)-INDEX(CdP,1,i_P+0))*(t-pas/2-T_ini-INDEX(CdP,1,i_P+0))+INDEX(CdP,2,i_P+0)</f>
        <v>0</v>
      </c>
      <c r="R354" s="396" t="n">
        <f aca="false">Poussee/(g*ISP)</f>
        <v>0</v>
      </c>
      <c r="S354" s="398" t="n">
        <f aca="false">S353-Débit*pas</f>
        <v>8.45</v>
      </c>
      <c r="T354" s="397" t="n">
        <f aca="false">m*g</f>
        <v>82.8945</v>
      </c>
      <c r="U354" s="400" t="n">
        <f aca="false">IF(pos_xz&lt;L_rampe,Poids*COS(Beta),0)</f>
        <v>0</v>
      </c>
      <c r="V354" s="396" t="n">
        <f aca="false">Rho_moyen*(20000-Alt_rampe-pos_z)/(20000+Alt_rampe+pos_z)</f>
        <v>1.08994546703555</v>
      </c>
      <c r="W354" s="397" t="n">
        <f aca="false">1/2*Rho*Sref*Cx*vit_xz^2</f>
        <v>3.77936536466984</v>
      </c>
      <c r="Y354" s="401" t="str">
        <f aca="false">IF(AND(pos_z&lt;=0,K353&gt;0),"Impact balistique","") &amp; IF(AND(H355&lt;0,vit_z&gt;=0),"Apogée","") &amp; IF(AND(Poussee=0,Q353&gt;0),"Fin de propulsion","") &amp; IF(AND(L355&gt;L_rampe,pos_xz&lt;=L_rampe),"Sortie de rampe","")</f>
        <v/>
      </c>
      <c r="Z354" s="402" t="str">
        <f aca="false">IF(ABS(t-T_para)&lt;pas/2,"Para","")</f>
        <v/>
      </c>
      <c r="AA354" s="403" t="str">
        <f aca="false">IF(ABS(t-T_satellite)&lt;pas/2,"Satellite","")</f>
        <v/>
      </c>
      <c r="AC354" s="399" t="n">
        <f aca="false">IF(ABS(t-ROUND(t,0))&lt;0.001,t,NA())</f>
        <v>17</v>
      </c>
      <c r="AD354" s="404" t="n">
        <f aca="false">IF(ABS(t-ROUND(t,0))&lt;0.001,pos_x,NA())</f>
        <v>434.155572244981</v>
      </c>
      <c r="AE354" s="405" t="e">
        <f aca="false">IF(t&lt;T_para, pos_z, NA())</f>
        <v>#N/A</v>
      </c>
      <c r="AG354" s="396" t="n">
        <f aca="false">IF(AND(L353&lt;L_rampe,Poussee&lt;Poids*SIN(M353)),0,(-W353+Poussee)/m-Poids*SIN(M353)/m)</f>
        <v>6.35071088447275</v>
      </c>
      <c r="AH354" s="397" t="n">
        <f aca="false">IF(AND(L353&lt;L_rampe,Poussee&lt;Poids*SIN(M353)), g*SIN(M353), (-W353+Poussee)/m)</f>
        <v>-0.428414476111078</v>
      </c>
    </row>
    <row r="355" customFormat="false" ht="12.75" hidden="false" customHeight="false" outlineLevel="0" collapsed="false">
      <c r="A355" s="396" t="n">
        <f aca="false">IF(B354+0.01&lt;=T_ini+ROUNDUP(Temps_fin_propu,0), 0.01, IF(K354&gt;0, 0.1, 0.0001))</f>
        <v>0.1</v>
      </c>
      <c r="B355" s="397" t="n">
        <f aca="false">B354+pas</f>
        <v>17.1</v>
      </c>
      <c r="D355" s="396" t="n">
        <f aca="false">IF(AND(L354&lt;L_rampe,Poussee&lt;Poids*SIN(M354)),0,(-W354+Poussee)/m*COS(M354)-U354/m*SIN(M354))</f>
        <v>-0.315979572703014</v>
      </c>
      <c r="E355" s="398" t="n">
        <f aca="false">IF(AND(L354&lt;L_rampe,Poussee&lt;Poids*SIN(M354)),0,(-W354+Poussee)/m*SIN(M354)+U354/m*COS(M354)-Poids/m)</f>
        <v>-9.4934555934318</v>
      </c>
      <c r="F355" s="397" t="n">
        <f aca="false">SQRT(acc_x^2+acc_z^2)</f>
        <v>9.49871265987277</v>
      </c>
      <c r="G355" s="396" t="n">
        <f aca="false">G354+acc_x*pas</f>
        <v>21.4140967310302</v>
      </c>
      <c r="H355" s="398" t="n">
        <f aca="false">H354+acc_z*pas</f>
        <v>-22.4333758100306</v>
      </c>
      <c r="I355" s="397" t="n">
        <f aca="false">SQRT(vit_x^2+vit_z^2)</f>
        <v>31.0132211974181</v>
      </c>
      <c r="J355" s="396" t="n">
        <f aca="false">J354+0.5*(vit_x+G354)*pas*(K354&gt;=0)</f>
        <v>436.298561815947</v>
      </c>
      <c r="K355" s="398" t="n">
        <f aca="false">K354+0.5*(vit_z+H354)*pas</f>
        <v>1164.60943796536</v>
      </c>
      <c r="L355" s="397" t="n">
        <f aca="false">SQRT(pos_x^2+pos_z^2)</f>
        <v>1243.65251498988</v>
      </c>
      <c r="M355" s="396" t="n">
        <f aca="false">IF(AND(L354&gt;L_rampe,G355&gt;0),ATAN2(G355,H355),$M$4)</f>
        <v>-0.808639994249331</v>
      </c>
      <c r="N355" s="397" t="n">
        <f aca="false">DEGREES(Beta)</f>
        <v>-46.3316588159698</v>
      </c>
      <c r="P355" s="399" t="n">
        <f aca="false">MATCH(t-pas/2-T_ini,CdP_t)</f>
        <v>23</v>
      </c>
      <c r="Q355" s="397" t="n">
        <f aca="false">(INDEX(CdP,2,i_P+1)-INDEX(CdP,2,i_P+0))/(INDEX(CdP,1,i_P+1)-INDEX(CdP,1,i_P+0))*(t-pas/2-T_ini-INDEX(CdP,1,i_P+0))+INDEX(CdP,2,i_P+0)</f>
        <v>0</v>
      </c>
      <c r="R355" s="396" t="n">
        <f aca="false">Poussee/(g*ISP)</f>
        <v>0</v>
      </c>
      <c r="S355" s="398" t="n">
        <f aca="false">S354-Débit*pas</f>
        <v>8.45</v>
      </c>
      <c r="T355" s="397" t="n">
        <f aca="false">m*g</f>
        <v>82.8945</v>
      </c>
      <c r="U355" s="400" t="n">
        <f aca="false">IF(pos_xz&lt;L_rampe,Poids*COS(Beta),0)</f>
        <v>0</v>
      </c>
      <c r="V355" s="396" t="n">
        <f aca="false">Rho_moyen*(20000-Alt_rampe-pos_z)/(20000+Alt_rampe+pos_z)</f>
        <v>1.09018564722972</v>
      </c>
      <c r="W355" s="397" t="n">
        <f aca="false">1/2*Rho*Sref*Cx*vit_xz^2</f>
        <v>3.94567908981202</v>
      </c>
      <c r="Y355" s="401" t="str">
        <f aca="false">IF(AND(pos_z&lt;=0,K354&gt;0),"Impact balistique","") &amp; IF(AND(H356&lt;0,vit_z&gt;=0),"Apogée","") &amp; IF(AND(Poussee=0,Q354&gt;0),"Fin de propulsion","") &amp; IF(AND(L356&gt;L_rampe,pos_xz&lt;=L_rampe),"Sortie de rampe","")</f>
        <v/>
      </c>
      <c r="Z355" s="402" t="str">
        <f aca="false">IF(ABS(t-T_para)&lt;pas/2,"Para","")</f>
        <v/>
      </c>
      <c r="AA355" s="403" t="str">
        <f aca="false">IF(ABS(t-T_satellite)&lt;pas/2,"Satellite","")</f>
        <v/>
      </c>
      <c r="AC355" s="399" t="e">
        <f aca="false">IF(ABS(t-ROUND(t,0))&lt;0.001,t,NA())</f>
        <v>#N/A</v>
      </c>
      <c r="AD355" s="404" t="e">
        <f aca="false">IF(ABS(t-ROUND(t,0))&lt;0.001,pos_x,NA())</f>
        <v>#N/A</v>
      </c>
      <c r="AE355" s="405" t="e">
        <f aca="false">IF(t&lt;T_para, pos_z, NA())</f>
        <v>#N/A</v>
      </c>
      <c r="AG355" s="396" t="n">
        <f aca="false">IF(AND(L354&lt;L_rampe,Poussee&lt;Poids*SIN(M354)),0,(-W354+Poussee)/m-Poids*SIN(M354)/m)</f>
        <v>6.49564696044881</v>
      </c>
      <c r="AH355" s="397" t="n">
        <f aca="false">IF(AND(L354&lt;L_rampe,Poussee&lt;Poids*SIN(M354)), g*SIN(M354), (-W354+Poussee)/m)</f>
        <v>-0.447262173333709</v>
      </c>
    </row>
    <row r="356" customFormat="false" ht="12.75" hidden="false" customHeight="false" outlineLevel="0" collapsed="false">
      <c r="A356" s="396" t="n">
        <f aca="false">IF(B355+0.01&lt;=T_ini+ROUNDUP(Temps_fin_propu,0), 0.01, IF(K355&gt;0, 0.1, 0.0001))</f>
        <v>0.1</v>
      </c>
      <c r="B356" s="397" t="n">
        <f aca="false">B355+pas</f>
        <v>17.2</v>
      </c>
      <c r="D356" s="396" t="n">
        <f aca="false">IF(AND(L355&lt;L_rampe,Poussee&lt;Poids*SIN(M355)),0,(-W355+Poussee)/m*COS(M355)-U355/m*SIN(M355))</f>
        <v>-0.322417001548912</v>
      </c>
      <c r="E356" s="398" t="n">
        <f aca="false">IF(AND(L355&lt;L_rampe,Poussee&lt;Poids*SIN(M355)),0,(-W355+Poussee)/m*SIN(M355)+U355/m*COS(M355)-Poids/m)</f>
        <v>-9.47223642985562</v>
      </c>
      <c r="F356" s="397" t="n">
        <f aca="false">SQRT(acc_x^2+acc_z^2)</f>
        <v>9.47772207368267</v>
      </c>
      <c r="G356" s="396" t="n">
        <f aca="false">G355+acc_x*pas</f>
        <v>21.3818550308753</v>
      </c>
      <c r="H356" s="398" t="n">
        <f aca="false">H355+acc_z*pas</f>
        <v>-23.3805994530162</v>
      </c>
      <c r="I356" s="397" t="n">
        <f aca="false">SQRT(vit_x^2+vit_z^2)</f>
        <v>31.6833734842701</v>
      </c>
      <c r="J356" s="396" t="n">
        <f aca="false">J355+0.5*(vit_x+G355)*pas*(K355&gt;=0)</f>
        <v>438.438359404042</v>
      </c>
      <c r="K356" s="398" t="n">
        <f aca="false">K355+0.5*(vit_z+H355)*pas</f>
        <v>1162.31873920221</v>
      </c>
      <c r="L356" s="397" t="n">
        <f aca="false">SQRT(pos_x^2+pos_z^2)</f>
        <v>1242.26126338123</v>
      </c>
      <c r="M356" s="396" t="n">
        <f aca="false">IF(AND(L355&gt;L_rampe,G356&gt;0),ATAN2(G356,H356),$M$4)</f>
        <v>-0.830020775154144</v>
      </c>
      <c r="N356" s="397" t="n">
        <f aca="false">DEGREES(Beta)</f>
        <v>-47.5566873245095</v>
      </c>
      <c r="P356" s="399" t="n">
        <f aca="false">MATCH(t-pas/2-T_ini,CdP_t)</f>
        <v>23</v>
      </c>
      <c r="Q356" s="397" t="n">
        <f aca="false">(INDEX(CdP,2,i_P+1)-INDEX(CdP,2,i_P+0))/(INDEX(CdP,1,i_P+1)-INDEX(CdP,1,i_P+0))*(t-pas/2-T_ini-INDEX(CdP,1,i_P+0))+INDEX(CdP,2,i_P+0)</f>
        <v>0</v>
      </c>
      <c r="R356" s="396" t="n">
        <f aca="false">Poussee/(g*ISP)</f>
        <v>0</v>
      </c>
      <c r="S356" s="398" t="n">
        <f aca="false">S355-Débit*pas</f>
        <v>8.45</v>
      </c>
      <c r="T356" s="397" t="n">
        <f aca="false">m*g</f>
        <v>82.8945</v>
      </c>
      <c r="U356" s="400" t="n">
        <f aca="false">IF(pos_xz&lt;L_rampe,Poids*COS(Beta),0)</f>
        <v>0</v>
      </c>
      <c r="V356" s="396" t="n">
        <f aca="false">Rho_moyen*(20000-Alt_rampe-pos_z)/(20000+Alt_rampe+pos_z)</f>
        <v>1.09043625270277</v>
      </c>
      <c r="W356" s="397" t="n">
        <f aca="false">1/2*Rho*Sref*Cx*vit_xz^2</f>
        <v>4.11898928462991</v>
      </c>
      <c r="Y356" s="401" t="str">
        <f aca="false">IF(AND(pos_z&lt;=0,K355&gt;0),"Impact balistique","") &amp; IF(AND(H357&lt;0,vit_z&gt;=0),"Apogée","") &amp; IF(AND(Poussee=0,Q355&gt;0),"Fin de propulsion","") &amp; IF(AND(L357&gt;L_rampe,pos_xz&lt;=L_rampe),"Sortie de rampe","")</f>
        <v/>
      </c>
      <c r="Z356" s="402" t="str">
        <f aca="false">IF(ABS(t-T_para)&lt;pas/2,"Para","")</f>
        <v/>
      </c>
      <c r="AA356" s="403" t="str">
        <f aca="false">IF(ABS(t-T_satellite)&lt;pas/2,"Satellite","")</f>
        <v/>
      </c>
      <c r="AC356" s="399" t="e">
        <f aca="false">IF(ABS(t-ROUND(t,0))&lt;0.001,t,NA())</f>
        <v>#N/A</v>
      </c>
      <c r="AD356" s="404" t="e">
        <f aca="false">IF(ABS(t-ROUND(t,0))&lt;0.001,pos_x,NA())</f>
        <v>#N/A</v>
      </c>
      <c r="AE356" s="405" t="e">
        <f aca="false">IF(t&lt;T_para, pos_z, NA())</f>
        <v>#N/A</v>
      </c>
      <c r="AG356" s="396" t="n">
        <f aca="false">IF(AND(L355&lt;L_rampe,Poussee&lt;Poids*SIN(M355)),0,(-W355+Poussee)/m-Poids*SIN(M355)/m)</f>
        <v>6.62910729023634</v>
      </c>
      <c r="AH356" s="397" t="n">
        <f aca="false">IF(AND(L355&lt;L_rampe,Poussee&lt;Poids*SIN(M355)), g*SIN(M355), (-W355+Poussee)/m)</f>
        <v>-0.466944270983671</v>
      </c>
    </row>
    <row r="357" customFormat="false" ht="12.75" hidden="false" customHeight="false" outlineLevel="0" collapsed="false">
      <c r="A357" s="396" t="n">
        <f aca="false">IF(B356+0.01&lt;=T_ini+ROUNDUP(Temps_fin_propu,0), 0.01, IF(K356&gt;0, 0.1, 0.0001))</f>
        <v>0.1</v>
      </c>
      <c r="B357" s="397" t="n">
        <f aca="false">B356+pas</f>
        <v>17.3</v>
      </c>
      <c r="D357" s="396" t="n">
        <f aca="false">IF(AND(L356&lt;L_rampe,Poussee&lt;Poids*SIN(M356)),0,(-W356+Poussee)/m*COS(M356)-U356/m*SIN(M356))</f>
        <v>-0.328963654065864</v>
      </c>
      <c r="E357" s="398" t="n">
        <f aca="false">IF(AND(L356&lt;L_rampe,Poussee&lt;Poids*SIN(M356)),0,(-W356+Poussee)/m*SIN(M356)+U356/m*COS(M356)-Poids/m)</f>
        <v>-9.45028530643351</v>
      </c>
      <c r="F357" s="397" t="n">
        <f aca="false">SQRT(acc_x^2+acc_z^2)</f>
        <v>9.45600917188057</v>
      </c>
      <c r="G357" s="396" t="n">
        <f aca="false">G356+acc_x*pas</f>
        <v>21.3489586654687</v>
      </c>
      <c r="H357" s="398" t="n">
        <f aca="false">H356+acc_z*pas</f>
        <v>-24.3256279836595</v>
      </c>
      <c r="I357" s="397" t="n">
        <f aca="false">SQRT(vit_x^2+vit_z^2)</f>
        <v>32.3653242359673</v>
      </c>
      <c r="J357" s="396" t="n">
        <f aca="false">J356+0.5*(vit_x+G356)*pas*(K356&gt;=0)</f>
        <v>440.57490008886</v>
      </c>
      <c r="K357" s="398" t="n">
        <f aca="false">K356+0.5*(vit_z+H356)*pas</f>
        <v>1159.93342783038</v>
      </c>
      <c r="L357" s="397" t="n">
        <f aca="false">SQRT(pos_x^2+pos_z^2)</f>
        <v>1240.78676636505</v>
      </c>
      <c r="M357" s="396" t="n">
        <f aca="false">IF(AND(L356&gt;L_rampe,G357&gt;0),ATAN2(G357,H357),$M$4)</f>
        <v>-0.850477367915144</v>
      </c>
      <c r="N357" s="397" t="n">
        <f aca="false">DEGREES(Beta)</f>
        <v>-48.7287637529327</v>
      </c>
      <c r="P357" s="399" t="n">
        <f aca="false">MATCH(t-pas/2-T_ini,CdP_t)</f>
        <v>23</v>
      </c>
      <c r="Q357" s="397" t="n">
        <f aca="false">(INDEX(CdP,2,i_P+1)-INDEX(CdP,2,i_P+0))/(INDEX(CdP,1,i_P+1)-INDEX(CdP,1,i_P+0))*(t-pas/2-T_ini-INDEX(CdP,1,i_P+0))+INDEX(CdP,2,i_P+0)</f>
        <v>0</v>
      </c>
      <c r="R357" s="396" t="n">
        <f aca="false">Poussee/(g*ISP)</f>
        <v>0</v>
      </c>
      <c r="S357" s="398" t="n">
        <f aca="false">S356-Débit*pas</f>
        <v>8.45</v>
      </c>
      <c r="T357" s="397" t="n">
        <f aca="false">m*g</f>
        <v>82.8945</v>
      </c>
      <c r="U357" s="400" t="n">
        <f aca="false">IF(pos_xz&lt;L_rampe,Poids*COS(Beta),0)</f>
        <v>0</v>
      </c>
      <c r="V357" s="396" t="n">
        <f aca="false">Rho_moyen*(20000-Alt_rampe-pos_z)/(20000+Alt_rampe+pos_z)</f>
        <v>1.09069726658749</v>
      </c>
      <c r="W357" s="397" t="n">
        <f aca="false">1/2*Rho*Sref*Cx*vit_xz^2</f>
        <v>4.29924006019562</v>
      </c>
      <c r="Y357" s="401" t="str">
        <f aca="false">IF(AND(pos_z&lt;=0,K356&gt;0),"Impact balistique","") &amp; IF(AND(H358&lt;0,vit_z&gt;=0),"Apogée","") &amp; IF(AND(Poussee=0,Q356&gt;0),"Fin de propulsion","") &amp; IF(AND(L358&gt;L_rampe,pos_xz&lt;=L_rampe),"Sortie de rampe","")</f>
        <v/>
      </c>
      <c r="Z357" s="402" t="str">
        <f aca="false">IF(ABS(t-T_para)&lt;pas/2,"Para","")</f>
        <v/>
      </c>
      <c r="AA357" s="403" t="str">
        <f aca="false">IF(ABS(t-T_satellite)&lt;pas/2,"Satellite","")</f>
        <v/>
      </c>
      <c r="AC357" s="399" t="e">
        <f aca="false">IF(ABS(t-ROUND(t,0))&lt;0.001,t,NA())</f>
        <v>#N/A</v>
      </c>
      <c r="AD357" s="404" t="e">
        <f aca="false">IF(ABS(t-ROUND(t,0))&lt;0.001,pos_x,NA())</f>
        <v>#N/A</v>
      </c>
      <c r="AE357" s="405" t="e">
        <f aca="false">IF(t&lt;T_para, pos_z, NA())</f>
        <v>#N/A</v>
      </c>
      <c r="AG357" s="396" t="n">
        <f aca="false">IF(AND(L356&lt;L_rampe,Poussee&lt;Poids*SIN(M356)),0,(-W356+Poussee)/m-Poids*SIN(M356)/m)</f>
        <v>6.75178993837218</v>
      </c>
      <c r="AH357" s="397" t="n">
        <f aca="false">IF(AND(L356&lt;L_rampe,Poussee&lt;Poids*SIN(M356)), g*SIN(M356), (-W356+Poussee)/m)</f>
        <v>-0.48745435321064</v>
      </c>
    </row>
    <row r="358" customFormat="false" ht="12.75" hidden="false" customHeight="false" outlineLevel="0" collapsed="false">
      <c r="A358" s="396" t="n">
        <f aca="false">IF(B357+0.01&lt;=T_ini+ROUNDUP(Temps_fin_propu,0), 0.01, IF(K357&gt;0, 0.1, 0.0001))</f>
        <v>0.1</v>
      </c>
      <c r="B358" s="397" t="n">
        <f aca="false">B357+pas</f>
        <v>17.4</v>
      </c>
      <c r="D358" s="396" t="n">
        <f aca="false">IF(AND(L357&lt;L_rampe,Poussee&lt;Poids*SIN(M357)),0,(-W357+Poussee)/m*COS(M357)-U357/m*SIN(M357))</f>
        <v>-0.335607549036261</v>
      </c>
      <c r="E358" s="398" t="n">
        <f aca="false">IF(AND(L357&lt;L_rampe,Poussee&lt;Poids*SIN(M357)),0,(-W357+Poussee)/m*SIN(M357)+U357/m*COS(M357)-Poids/m)</f>
        <v>-9.42759894174283</v>
      </c>
      <c r="F358" s="397" t="n">
        <f aca="false">SQRT(acc_x^2+acc_z^2)</f>
        <v>9.43357059831115</v>
      </c>
      <c r="G358" s="396" t="n">
        <f aca="false">G357+acc_x*pas</f>
        <v>21.3153979105651</v>
      </c>
      <c r="H358" s="398" t="n">
        <f aca="false">H357+acc_z*pas</f>
        <v>-25.2683878778338</v>
      </c>
      <c r="I358" s="397" t="n">
        <f aca="false">SQRT(vit_x^2+vit_z^2)</f>
        <v>33.058094531149</v>
      </c>
      <c r="J358" s="396" t="n">
        <f aca="false">J357+0.5*(vit_x+G357)*pas*(K357&gt;=0)</f>
        <v>442.708117917661</v>
      </c>
      <c r="K358" s="398" t="n">
        <f aca="false">K357+0.5*(vit_z+H357)*pas</f>
        <v>1157.4537270373</v>
      </c>
      <c r="L358" s="397" t="n">
        <f aca="false">SQRT(pos_x^2+pos_z^2)</f>
        <v>1239.22944118623</v>
      </c>
      <c r="M358" s="396" t="n">
        <f aca="false">IF(AND(L357&gt;L_rampe,G358&gt;0),ATAN2(G358,H358),$M$4)</f>
        <v>-0.870052994050397</v>
      </c>
      <c r="N358" s="397" t="n">
        <f aca="false">DEGREES(Beta)</f>
        <v>-49.8503645118087</v>
      </c>
      <c r="P358" s="399" t="n">
        <f aca="false">MATCH(t-pas/2-T_ini,CdP_t)</f>
        <v>23</v>
      </c>
      <c r="Q358" s="397" t="n">
        <f aca="false">(INDEX(CdP,2,i_P+1)-INDEX(CdP,2,i_P+0))/(INDEX(CdP,1,i_P+1)-INDEX(CdP,1,i_P+0))*(t-pas/2-T_ini-INDEX(CdP,1,i_P+0))+INDEX(CdP,2,i_P+0)</f>
        <v>0</v>
      </c>
      <c r="R358" s="396" t="n">
        <f aca="false">Poussee/(g*ISP)</f>
        <v>0</v>
      </c>
      <c r="S358" s="398" t="n">
        <f aca="false">S357-Débit*pas</f>
        <v>8.45</v>
      </c>
      <c r="T358" s="397" t="n">
        <f aca="false">m*g</f>
        <v>82.8945</v>
      </c>
      <c r="U358" s="400" t="n">
        <f aca="false">IF(pos_xz&lt;L_rampe,Poids*COS(Beta),0)</f>
        <v>0</v>
      </c>
      <c r="V358" s="396" t="n">
        <f aca="false">Rho_moyen*(20000-Alt_rampe-pos_z)/(20000+Alt_rampe+pos_z)</f>
        <v>1.09096867147498</v>
      </c>
      <c r="W358" s="397" t="n">
        <f aca="false">1/2*Rho*Sref*Cx*vit_xz^2</f>
        <v>4.48637385171382</v>
      </c>
      <c r="Y358" s="401" t="str">
        <f aca="false">IF(AND(pos_z&lt;=0,K357&gt;0),"Impact balistique","") &amp; IF(AND(H359&lt;0,vit_z&gt;=0),"Apogée","") &amp; IF(AND(Poussee=0,Q357&gt;0),"Fin de propulsion","") &amp; IF(AND(L359&gt;L_rampe,pos_xz&lt;=L_rampe),"Sortie de rampe","")</f>
        <v/>
      </c>
      <c r="Z358" s="402" t="str">
        <f aca="false">IF(ABS(t-T_para)&lt;pas/2,"Para","")</f>
        <v/>
      </c>
      <c r="AA358" s="403" t="str">
        <f aca="false">IF(ABS(t-T_satellite)&lt;pas/2,"Satellite","")</f>
        <v/>
      </c>
      <c r="AC358" s="399" t="e">
        <f aca="false">IF(ABS(t-ROUND(t,0))&lt;0.001,t,NA())</f>
        <v>#N/A</v>
      </c>
      <c r="AD358" s="404" t="e">
        <f aca="false">IF(ABS(t-ROUND(t,0))&lt;0.001,pos_x,NA())</f>
        <v>#N/A</v>
      </c>
      <c r="AE358" s="405" t="e">
        <f aca="false">IF(t&lt;T_para, pos_z, NA())</f>
        <v>#N/A</v>
      </c>
      <c r="AG358" s="396" t="n">
        <f aca="false">IF(AND(L357&lt;L_rampe,Poussee&lt;Poids*SIN(M357)),0,(-W357+Poussee)/m-Poids*SIN(M357)/m)</f>
        <v>6.86436481599932</v>
      </c>
      <c r="AH358" s="397" t="n">
        <f aca="false">IF(AND(L357&lt;L_rampe,Poussee&lt;Poids*SIN(M357)), g*SIN(M357), (-W357+Poussee)/m)</f>
        <v>-0.50878580594031</v>
      </c>
    </row>
    <row r="359" customFormat="false" ht="12.75" hidden="false" customHeight="false" outlineLevel="0" collapsed="false">
      <c r="A359" s="396" t="n">
        <f aca="false">IF(B358+0.01&lt;=T_ini+ROUNDUP(Temps_fin_propu,0), 0.01, IF(K358&gt;0, 0.1, 0.0001))</f>
        <v>0.1</v>
      </c>
      <c r="B359" s="397" t="n">
        <f aca="false">B358+pas</f>
        <v>17.5</v>
      </c>
      <c r="D359" s="396" t="n">
        <f aca="false">IF(AND(L358&lt;L_rampe,Poussee&lt;Poids*SIN(M358)),0,(-W358+Poussee)/m*COS(M358)-U358/m*SIN(M358))</f>
        <v>-0.342337424414671</v>
      </c>
      <c r="E359" s="398" t="n">
        <f aca="false">IF(AND(L358&lt;L_rampe,Poussee&lt;Poids*SIN(M358)),0,(-W358+Poussee)/m*SIN(M358)+U358/m*COS(M358)-Poids/m)</f>
        <v>-9.40417530643794</v>
      </c>
      <c r="F359" s="397" t="n">
        <f aca="false">SQRT(acc_x^2+acc_z^2)</f>
        <v>9.41040424776598</v>
      </c>
      <c r="G359" s="396" t="n">
        <f aca="false">G358+acc_x*pas</f>
        <v>21.2811641681236</v>
      </c>
      <c r="H359" s="398" t="n">
        <f aca="false">H358+acc_z*pas</f>
        <v>-26.2088054084776</v>
      </c>
      <c r="I359" s="397" t="n">
        <f aca="false">SQRT(vit_x^2+vit_z^2)</f>
        <v>33.7607676051667</v>
      </c>
      <c r="J359" s="396" t="n">
        <f aca="false">J358+0.5*(vit_x+G358)*pas*(K358&gt;=0)</f>
        <v>444.837946021596</v>
      </c>
      <c r="K359" s="398" t="n">
        <f aca="false">K358+0.5*(vit_z+H358)*pas</f>
        <v>1154.87986737299</v>
      </c>
      <c r="L359" s="397" t="n">
        <f aca="false">SQRT(pos_x^2+pos_z^2)</f>
        <v>1237.58971645863</v>
      </c>
      <c r="M359" s="396" t="n">
        <f aca="false">IF(AND(L358&gt;L_rampe,G359&gt;0),ATAN2(G359,H359),$M$4)</f>
        <v>-0.888789893827294</v>
      </c>
      <c r="N359" s="397" t="n">
        <f aca="false">DEGREES(Beta)</f>
        <v>-50.9239097901845</v>
      </c>
      <c r="P359" s="399" t="n">
        <f aca="false">MATCH(t-pas/2-T_ini,CdP_t)</f>
        <v>23</v>
      </c>
      <c r="Q359" s="397" t="n">
        <f aca="false">(INDEX(CdP,2,i_P+1)-INDEX(CdP,2,i_P+0))/(INDEX(CdP,1,i_P+1)-INDEX(CdP,1,i_P+0))*(t-pas/2-T_ini-INDEX(CdP,1,i_P+0))+INDEX(CdP,2,i_P+0)</f>
        <v>0</v>
      </c>
      <c r="R359" s="396" t="n">
        <f aca="false">Poussee/(g*ISP)</f>
        <v>0</v>
      </c>
      <c r="S359" s="398" t="n">
        <f aca="false">S358-Débit*pas</f>
        <v>8.45</v>
      </c>
      <c r="T359" s="397" t="n">
        <f aca="false">m*g</f>
        <v>82.8945</v>
      </c>
      <c r="U359" s="400" t="n">
        <f aca="false">IF(pos_xz&lt;L_rampe,Poids*COS(Beta),0)</f>
        <v>0</v>
      </c>
      <c r="V359" s="396" t="n">
        <f aca="false">Rho_moyen*(20000-Alt_rampe-pos_z)/(20000+Alt_rampe+pos_z)</f>
        <v>1.09125044940919</v>
      </c>
      <c r="W359" s="397" t="n">
        <f aca="false">1/2*Rho*Sref*Cx*vit_xz^2</f>
        <v>4.68033142218307</v>
      </c>
      <c r="Y359" s="401" t="str">
        <f aca="false">IF(AND(pos_z&lt;=0,K358&gt;0),"Impact balistique","") &amp; IF(AND(H360&lt;0,vit_z&gt;=0),"Apogée","") &amp; IF(AND(Poussee=0,Q358&gt;0),"Fin de propulsion","") &amp; IF(AND(L360&gt;L_rampe,pos_xz&lt;=L_rampe),"Sortie de rampe","")</f>
        <v/>
      </c>
      <c r="Z359" s="402" t="str">
        <f aca="false">IF(ABS(t-T_para)&lt;pas/2,"Para","")</f>
        <v/>
      </c>
      <c r="AA359" s="403" t="str">
        <f aca="false">IF(ABS(t-T_satellite)&lt;pas/2,"Satellite","")</f>
        <v/>
      </c>
      <c r="AC359" s="399" t="e">
        <f aca="false">IF(ABS(t-ROUND(t,0))&lt;0.001,t,NA())</f>
        <v>#N/A</v>
      </c>
      <c r="AD359" s="404" t="e">
        <f aca="false">IF(ABS(t-ROUND(t,0))&lt;0.001,pos_x,NA())</f>
        <v>#N/A</v>
      </c>
      <c r="AE359" s="405" t="e">
        <f aca="false">IF(t&lt;T_para, pos_z, NA())</f>
        <v>#N/A</v>
      </c>
      <c r="AG359" s="396" t="n">
        <f aca="false">IF(AND(L358&lt;L_rampe,Poussee&lt;Poids*SIN(M358)),0,(-W358+Poussee)/m-Poids*SIN(M358)/m)</f>
        <v>6.96747027195153</v>
      </c>
      <c r="AH359" s="397" t="n">
        <f aca="false">IF(AND(L358&lt;L_rampe,Poussee&lt;Poids*SIN(M358)), g*SIN(M358), (-W358+Poussee)/m)</f>
        <v>-0.530931816770866</v>
      </c>
    </row>
    <row r="360" customFormat="false" ht="12.75" hidden="false" customHeight="false" outlineLevel="0" collapsed="false">
      <c r="A360" s="396" t="n">
        <f aca="false">IF(B359+0.01&lt;=T_ini+ROUNDUP(Temps_fin_propu,0), 0.01, IF(K359&gt;0, 0.1, 0.0001))</f>
        <v>0.1</v>
      </c>
      <c r="B360" s="397" t="n">
        <f aca="false">B359+pas</f>
        <v>17.6</v>
      </c>
      <c r="D360" s="396" t="n">
        <f aca="false">IF(AND(L359&lt;L_rampe,Poussee&lt;Poids*SIN(M359)),0,(-W359+Poussee)/m*COS(M359)-U359/m*SIN(M359))</f>
        <v>-0.349142701439642</v>
      </c>
      <c r="E360" s="398" t="n">
        <f aca="false">IF(AND(L359&lt;L_rampe,Poussee&lt;Poids*SIN(M359)),0,(-W359+Poussee)/m*SIN(M359)+U359/m*COS(M359)-Poids/m)</f>
        <v>-9.38001350821173</v>
      </c>
      <c r="F360" s="397" t="n">
        <f aca="false">SQRT(acc_x^2+acc_z^2)</f>
        <v>9.38650915091458</v>
      </c>
      <c r="G360" s="396" t="n">
        <f aca="false">G359+acc_x*pas</f>
        <v>21.2462498979797</v>
      </c>
      <c r="H360" s="398" t="n">
        <f aca="false">H359+acc_z*pas</f>
        <v>-27.1468067592988</v>
      </c>
      <c r="I360" s="397" t="n">
        <f aca="false">SQRT(vit_x^2+vit_z^2)</f>
        <v>34.4724854333729</v>
      </c>
      <c r="J360" s="396" t="n">
        <f aca="false">J359+0.5*(vit_x+G359)*pas*(K359&gt;=0)</f>
        <v>446.964316724901</v>
      </c>
      <c r="K360" s="398" t="n">
        <f aca="false">K359+0.5*(vit_z+H359)*pas</f>
        <v>1152.2120867646</v>
      </c>
      <c r="L360" s="397" t="n">
        <f aca="false">SQRT(pos_x^2+pos_z^2)</f>
        <v>1235.86803232052</v>
      </c>
      <c r="M360" s="396" t="n">
        <f aca="false">IF(AND(L359&gt;L_rampe,G360&gt;0),ATAN2(G360,H360),$M$4)</f>
        <v>-0.90672908153349</v>
      </c>
      <c r="N360" s="397" t="n">
        <f aca="false">DEGREES(Beta)</f>
        <v>-51.9517495336425</v>
      </c>
      <c r="P360" s="399" t="n">
        <f aca="false">MATCH(t-pas/2-T_ini,CdP_t)</f>
        <v>23</v>
      </c>
      <c r="Q360" s="397" t="n">
        <f aca="false">(INDEX(CdP,2,i_P+1)-INDEX(CdP,2,i_P+0))/(INDEX(CdP,1,i_P+1)-INDEX(CdP,1,i_P+0))*(t-pas/2-T_ini-INDEX(CdP,1,i_P+0))+INDEX(CdP,2,i_P+0)</f>
        <v>0</v>
      </c>
      <c r="R360" s="396" t="n">
        <f aca="false">Poussee/(g*ISP)</f>
        <v>0</v>
      </c>
      <c r="S360" s="398" t="n">
        <f aca="false">S359-Débit*pas</f>
        <v>8.45</v>
      </c>
      <c r="T360" s="397" t="n">
        <f aca="false">m*g</f>
        <v>82.8945</v>
      </c>
      <c r="U360" s="400" t="n">
        <f aca="false">IF(pos_xz&lt;L_rampe,Poids*COS(Beta),0)</f>
        <v>0</v>
      </c>
      <c r="V360" s="396" t="n">
        <f aca="false">Rho_moyen*(20000-Alt_rampe-pos_z)/(20000+Alt_rampe+pos_z)</f>
        <v>1.09154258188251</v>
      </c>
      <c r="W360" s="397" t="n">
        <f aca="false">1/2*Rho*Sref*Cx*vit_xz^2</f>
        <v>4.88105187018653</v>
      </c>
      <c r="Y360" s="401" t="str">
        <f aca="false">IF(AND(pos_z&lt;=0,K359&gt;0),"Impact balistique","") &amp; IF(AND(H361&lt;0,vit_z&gt;=0),"Apogée","") &amp; IF(AND(Poussee=0,Q359&gt;0),"Fin de propulsion","") &amp; IF(AND(L361&gt;L_rampe,pos_xz&lt;=L_rampe),"Sortie de rampe","")</f>
        <v/>
      </c>
      <c r="Z360" s="402" t="str">
        <f aca="false">IF(ABS(t-T_para)&lt;pas/2,"Para","")</f>
        <v/>
      </c>
      <c r="AA360" s="403" t="str">
        <f aca="false">IF(ABS(t-T_satellite)&lt;pas/2,"Satellite","")</f>
        <v/>
      </c>
      <c r="AC360" s="399" t="e">
        <f aca="false">IF(ABS(t-ROUND(t,0))&lt;0.001,t,NA())</f>
        <v>#N/A</v>
      </c>
      <c r="AD360" s="404" t="e">
        <f aca="false">IF(ABS(t-ROUND(t,0))&lt;0.001,pos_x,NA())</f>
        <v>#N/A</v>
      </c>
      <c r="AE360" s="405" t="e">
        <f aca="false">IF(t&lt;T_para, pos_z, NA())</f>
        <v>#N/A</v>
      </c>
      <c r="AG360" s="396" t="n">
        <f aca="false">IF(AND(L359&lt;L_rampe,Poussee&lt;Poids*SIN(M359)),0,(-W359+Poussee)/m-Poids*SIN(M359)/m)</f>
        <v>7.06171104894213</v>
      </c>
      <c r="AH360" s="397" t="n">
        <f aca="false">IF(AND(L359&lt;L_rampe,Poussee&lt;Poids*SIN(M359)), g*SIN(M359), (-W359+Poussee)/m)</f>
        <v>-0.553885375406281</v>
      </c>
    </row>
    <row r="361" customFormat="false" ht="12.75" hidden="false" customHeight="false" outlineLevel="0" collapsed="false">
      <c r="A361" s="396" t="n">
        <f aca="false">IF(B360+0.01&lt;=T_ini+ROUNDUP(Temps_fin_propu,0), 0.01, IF(K360&gt;0, 0.1, 0.0001))</f>
        <v>0.1</v>
      </c>
      <c r="B361" s="397" t="n">
        <f aca="false">B360+pas</f>
        <v>17.7</v>
      </c>
      <c r="D361" s="396" t="n">
        <f aca="false">IF(AND(L360&lt;L_rampe,Poussee&lt;Poids*SIN(M360)),0,(-W360+Poussee)/m*COS(M360)-U360/m*SIN(M360))</f>
        <v>-0.356013447370893</v>
      </c>
      <c r="E361" s="398" t="n">
        <f aca="false">IF(AND(L360&lt;L_rampe,Poussee&lt;Poids*SIN(M360)),0,(-W360+Poussee)/m*SIN(M360)+U360/m*COS(M360)-Poids/m)</f>
        <v>-9.35511368802038</v>
      </c>
      <c r="F361" s="397" t="n">
        <f aca="false">SQRT(acc_x^2+acc_z^2)</f>
        <v>9.36188537050605</v>
      </c>
      <c r="G361" s="396" t="n">
        <f aca="false">G360+acc_x*pas</f>
        <v>21.2106485532426</v>
      </c>
      <c r="H361" s="398" t="n">
        <f aca="false">H360+acc_z*pas</f>
        <v>-28.0823181281008</v>
      </c>
      <c r="I361" s="397" t="n">
        <f aca="false">SQRT(vit_x^2+vit_z^2)</f>
        <v>35.1924452616898</v>
      </c>
      <c r="J361" s="396" t="n">
        <f aca="false">J360+0.5*(vit_x+G360)*pas*(K360&gt;=0)</f>
        <v>449.087161647462</v>
      </c>
      <c r="K361" s="398" t="n">
        <f aca="false">K360+0.5*(vit_z+H360)*pas</f>
        <v>1149.45063052023</v>
      </c>
      <c r="L361" s="397" t="n">
        <f aca="false">SQRT(pos_x^2+pos_z^2)</f>
        <v>1234.06484058169</v>
      </c>
      <c r="M361" s="396" t="n">
        <f aca="false">IF(AND(L360&gt;L_rampe,G361&gt;0),ATAN2(G361,H361),$M$4)</f>
        <v>-0.923910167819565</v>
      </c>
      <c r="N361" s="397" t="n">
        <f aca="false">DEGREES(Beta)</f>
        <v>-52.9361532652847</v>
      </c>
      <c r="P361" s="399" t="n">
        <f aca="false">MATCH(t-pas/2-T_ini,CdP_t)</f>
        <v>23</v>
      </c>
      <c r="Q361" s="397" t="n">
        <f aca="false">(INDEX(CdP,2,i_P+1)-INDEX(CdP,2,i_P+0))/(INDEX(CdP,1,i_P+1)-INDEX(CdP,1,i_P+0))*(t-pas/2-T_ini-INDEX(CdP,1,i_P+0))+INDEX(CdP,2,i_P+0)</f>
        <v>0</v>
      </c>
      <c r="R361" s="396" t="n">
        <f aca="false">Poussee/(g*ISP)</f>
        <v>0</v>
      </c>
      <c r="S361" s="398" t="n">
        <f aca="false">S360-Débit*pas</f>
        <v>8.45</v>
      </c>
      <c r="T361" s="397" t="n">
        <f aca="false">m*g</f>
        <v>82.8945</v>
      </c>
      <c r="U361" s="400" t="n">
        <f aca="false">IF(pos_xz&lt;L_rampe,Poids*COS(Beta),0)</f>
        <v>0</v>
      </c>
      <c r="V361" s="396" t="n">
        <f aca="false">Rho_moyen*(20000-Alt_rampe-pos_z)/(20000+Alt_rampe+pos_z)</f>
        <v>1.09184504983261</v>
      </c>
      <c r="W361" s="397" t="n">
        <f aca="false">1/2*Rho*Sref*Cx*vit_xz^2</f>
        <v>5.08847264144222</v>
      </c>
      <c r="Y361" s="401" t="str">
        <f aca="false">IF(AND(pos_z&lt;=0,K360&gt;0),"Impact balistique","") &amp; IF(AND(H362&lt;0,vit_z&gt;=0),"Apogée","") &amp; IF(AND(Poussee=0,Q360&gt;0),"Fin de propulsion","") &amp; IF(AND(L362&gt;L_rampe,pos_xz&lt;=L_rampe),"Sortie de rampe","")</f>
        <v/>
      </c>
      <c r="Z361" s="402" t="str">
        <f aca="false">IF(ABS(t-T_para)&lt;pas/2,"Para","")</f>
        <v/>
      </c>
      <c r="AA361" s="403" t="str">
        <f aca="false">IF(ABS(t-T_satellite)&lt;pas/2,"Satellite","")</f>
        <v/>
      </c>
      <c r="AC361" s="399" t="e">
        <f aca="false">IF(ABS(t-ROUND(t,0))&lt;0.001,t,NA())</f>
        <v>#N/A</v>
      </c>
      <c r="AD361" s="404" t="e">
        <f aca="false">IF(ABS(t-ROUND(t,0))&lt;0.001,pos_x,NA())</f>
        <v>#N/A</v>
      </c>
      <c r="AE361" s="405" t="e">
        <f aca="false">IF(t&lt;T_para, pos_z, NA())</f>
        <v>#N/A</v>
      </c>
      <c r="AG361" s="396" t="n">
        <f aca="false">IF(AND(L360&lt;L_rampe,Poussee&lt;Poids*SIN(M360)),0,(-W360+Poussee)/m-Poids*SIN(M360)/m)</f>
        <v>7.14765731952528</v>
      </c>
      <c r="AH361" s="397" t="n">
        <f aca="false">IF(AND(L360&lt;L_rampe,Poussee&lt;Poids*SIN(M360)), g*SIN(M360), (-W360+Poussee)/m)</f>
        <v>-0.577639274578288</v>
      </c>
    </row>
    <row r="362" customFormat="false" ht="12.75" hidden="false" customHeight="false" outlineLevel="0" collapsed="false">
      <c r="A362" s="396" t="n">
        <f aca="false">IF(B361+0.01&lt;=T_ini+ROUNDUP(Temps_fin_propu,0), 0.01, IF(K361&gt;0, 0.1, 0.0001))</f>
        <v>0.1</v>
      </c>
      <c r="B362" s="397" t="n">
        <f aca="false">B361+pas</f>
        <v>17.8</v>
      </c>
      <c r="D362" s="396" t="n">
        <f aca="false">IF(AND(L361&lt;L_rampe,Poussee&lt;Poids*SIN(M361)),0,(-W361+Poussee)/m*COS(M361)-U361/m*SIN(M361))</f>
        <v>-0.362940337843906</v>
      </c>
      <c r="E362" s="398" t="n">
        <f aca="false">IF(AND(L361&lt;L_rampe,Poussee&lt;Poids*SIN(M361)),0,(-W361+Poussee)/m*SIN(M361)+U361/m*COS(M361)-Poids/m)</f>
        <v>-9.32947692673005</v>
      </c>
      <c r="F362" s="397" t="n">
        <f aca="false">SQRT(acc_x^2+acc_z^2)</f>
        <v>9.3365339079994</v>
      </c>
      <c r="G362" s="396" t="n">
        <f aca="false">G361+acc_x*pas</f>
        <v>21.1743545194582</v>
      </c>
      <c r="H362" s="398" t="n">
        <f aca="false">H361+acc_z*pas</f>
        <v>-29.0152658207738</v>
      </c>
      <c r="I362" s="397" t="n">
        <f aca="false">SQRT(vit_x^2+vit_z^2)</f>
        <v>35.9198961575039</v>
      </c>
      <c r="J362" s="396" t="n">
        <f aca="false">J361+0.5*(vit_x+G361)*pas*(K361&gt;=0)</f>
        <v>451.206411801097</v>
      </c>
      <c r="K362" s="398" t="n">
        <f aca="false">K361+0.5*(vit_z+H361)*pas</f>
        <v>1146.59575132278</v>
      </c>
      <c r="L362" s="397" t="n">
        <f aca="false">SQRT(pos_x^2+pos_z^2)</f>
        <v>1232.18060486354</v>
      </c>
      <c r="M362" s="396" t="n">
        <f aca="false">IF(AND(L361&gt;L_rampe,G362&gt;0),ATAN2(G362,H362),$M$4)</f>
        <v>-0.940371237472298</v>
      </c>
      <c r="N362" s="397" t="n">
        <f aca="false">DEGREES(Beta)</f>
        <v>-53.8793030826572</v>
      </c>
      <c r="P362" s="399" t="n">
        <f aca="false">MATCH(t-pas/2-T_ini,CdP_t)</f>
        <v>23</v>
      </c>
      <c r="Q362" s="397" t="n">
        <f aca="false">(INDEX(CdP,2,i_P+1)-INDEX(CdP,2,i_P+0))/(INDEX(CdP,1,i_P+1)-INDEX(CdP,1,i_P+0))*(t-pas/2-T_ini-INDEX(CdP,1,i_P+0))+INDEX(CdP,2,i_P+0)</f>
        <v>0</v>
      </c>
      <c r="R362" s="396" t="n">
        <f aca="false">Poussee/(g*ISP)</f>
        <v>0</v>
      </c>
      <c r="S362" s="398" t="n">
        <f aca="false">S361-Débit*pas</f>
        <v>8.45</v>
      </c>
      <c r="T362" s="397" t="n">
        <f aca="false">m*g</f>
        <v>82.8945</v>
      </c>
      <c r="U362" s="400" t="n">
        <f aca="false">IF(pos_xz&lt;L_rampe,Poids*COS(Beta),0)</f>
        <v>0</v>
      </c>
      <c r="V362" s="396" t="n">
        <f aca="false">Rho_moyen*(20000-Alt_rampe-pos_z)/(20000+Alt_rampe+pos_z)</f>
        <v>1.09215783364019</v>
      </c>
      <c r="W362" s="397" t="n">
        <f aca="false">1/2*Rho*Sref*Cx*vit_xz^2</f>
        <v>5.30252954377776</v>
      </c>
      <c r="Y362" s="401" t="str">
        <f aca="false">IF(AND(pos_z&lt;=0,K361&gt;0),"Impact balistique","") &amp; IF(AND(H363&lt;0,vit_z&gt;=0),"Apogée","") &amp; IF(AND(Poussee=0,Q361&gt;0),"Fin de propulsion","") &amp; IF(AND(L363&gt;L_rampe,pos_xz&lt;=L_rampe),"Sortie de rampe","")</f>
        <v/>
      </c>
      <c r="Z362" s="402" t="str">
        <f aca="false">IF(ABS(t-T_para)&lt;pas/2,"Para","")</f>
        <v/>
      </c>
      <c r="AA362" s="403" t="str">
        <f aca="false">IF(ABS(t-T_satellite)&lt;pas/2,"Satellite","")</f>
        <v/>
      </c>
      <c r="AC362" s="399" t="e">
        <f aca="false">IF(ABS(t-ROUND(t,0))&lt;0.001,t,NA())</f>
        <v>#N/A</v>
      </c>
      <c r="AD362" s="404" t="e">
        <f aca="false">IF(ABS(t-ROUND(t,0))&lt;0.001,pos_x,NA())</f>
        <v>#N/A</v>
      </c>
      <c r="AE362" s="405" t="e">
        <f aca="false">IF(t&lt;T_para, pos_z, NA())</f>
        <v>#N/A</v>
      </c>
      <c r="AG362" s="396" t="n">
        <f aca="false">IF(AND(L361&lt;L_rampe,Poussee&lt;Poids*SIN(M361)),0,(-W361+Poussee)/m-Poids*SIN(M361)/m)</f>
        <v>7.22584455790093</v>
      </c>
      <c r="AH362" s="397" t="n">
        <f aca="false">IF(AND(L361&lt;L_rampe,Poussee&lt;Poids*SIN(M361)), g*SIN(M361), (-W361+Poussee)/m)</f>
        <v>-0.60218611141328</v>
      </c>
    </row>
    <row r="363" customFormat="false" ht="12.75" hidden="false" customHeight="false" outlineLevel="0" collapsed="false">
      <c r="A363" s="396" t="n">
        <f aca="false">IF(B362+0.01&lt;=T_ini+ROUNDUP(Temps_fin_propu,0), 0.01, IF(K362&gt;0, 0.1, 0.0001))</f>
        <v>0.1</v>
      </c>
      <c r="B363" s="397" t="n">
        <f aca="false">B362+pas</f>
        <v>17.9</v>
      </c>
      <c r="D363" s="396" t="n">
        <f aca="false">IF(AND(L362&lt;L_rampe,Poussee&lt;Poids*SIN(M362)),0,(-W362+Poussee)/m*COS(M362)-U362/m*SIN(M362))</f>
        <v>-0.369914619596791</v>
      </c>
      <c r="E363" s="398" t="n">
        <f aca="false">IF(AND(L362&lt;L_rampe,Poussee&lt;Poids*SIN(M362)),0,(-W362+Poussee)/m*SIN(M362)+U362/m*COS(M362)-Poids/m)</f>
        <v>-9.30310516130595</v>
      </c>
      <c r="F363" s="397" t="n">
        <f aca="false">SQRT(acc_x^2+acc_z^2)</f>
        <v>9.31045661974261</v>
      </c>
      <c r="G363" s="396" t="n">
        <f aca="false">G362+acc_x*pas</f>
        <v>21.1373630574985</v>
      </c>
      <c r="H363" s="398" t="n">
        <f aca="false">H362+acc_z*pas</f>
        <v>-29.9455763369044</v>
      </c>
      <c r="I363" s="397" t="n">
        <f aca="false">SQRT(vit_x^2+vit_z^2)</f>
        <v>36.6541356353396</v>
      </c>
      <c r="J363" s="396" t="n">
        <f aca="false">J362+0.5*(vit_x+G362)*pas*(K362&gt;=0)</f>
        <v>453.321997679945</v>
      </c>
      <c r="K363" s="398" t="n">
        <f aca="false">K362+0.5*(vit_z+H362)*pas</f>
        <v>1143.6477092149</v>
      </c>
      <c r="L363" s="397" t="n">
        <f aca="false">SQRT(pos_x^2+pos_z^2)</f>
        <v>1230.21580073295</v>
      </c>
      <c r="M363" s="396" t="n">
        <f aca="false">IF(AND(L362&gt;L_rampe,G363&gt;0),ATAN2(G363,H363),$M$4)</f>
        <v>-0.956148772419416</v>
      </c>
      <c r="N363" s="397" t="n">
        <f aca="false">DEGREES(Beta)</f>
        <v>-54.7832892462472</v>
      </c>
      <c r="P363" s="399" t="n">
        <f aca="false">MATCH(t-pas/2-T_ini,CdP_t)</f>
        <v>23</v>
      </c>
      <c r="Q363" s="397" t="n">
        <f aca="false">(INDEX(CdP,2,i_P+1)-INDEX(CdP,2,i_P+0))/(INDEX(CdP,1,i_P+1)-INDEX(CdP,1,i_P+0))*(t-pas/2-T_ini-INDEX(CdP,1,i_P+0))+INDEX(CdP,2,i_P+0)</f>
        <v>0</v>
      </c>
      <c r="R363" s="396" t="n">
        <f aca="false">Poussee/(g*ISP)</f>
        <v>0</v>
      </c>
      <c r="S363" s="398" t="n">
        <f aca="false">S362-Débit*pas</f>
        <v>8.45</v>
      </c>
      <c r="T363" s="397" t="n">
        <f aca="false">m*g</f>
        <v>82.8945</v>
      </c>
      <c r="U363" s="400" t="n">
        <f aca="false">IF(pos_xz&lt;L_rampe,Poids*COS(Beta),0)</f>
        <v>0</v>
      </c>
      <c r="V363" s="396" t="n">
        <f aca="false">Rho_moyen*(20000-Alt_rampe-pos_z)/(20000+Alt_rampe+pos_z)</f>
        <v>1.09248091312762</v>
      </c>
      <c r="W363" s="397" t="n">
        <f aca="false">1/2*Rho*Sref*Cx*vit_xz^2</f>
        <v>5.52315676522583</v>
      </c>
      <c r="Y363" s="401" t="str">
        <f aca="false">IF(AND(pos_z&lt;=0,K362&gt;0),"Impact balistique","") &amp; IF(AND(H364&lt;0,vit_z&gt;=0),"Apogée","") &amp; IF(AND(Poussee=0,Q362&gt;0),"Fin de propulsion","") &amp; IF(AND(L364&gt;L_rampe,pos_xz&lt;=L_rampe),"Sortie de rampe","")</f>
        <v/>
      </c>
      <c r="Z363" s="402" t="str">
        <f aca="false">IF(ABS(t-T_para)&lt;pas/2,"Para","")</f>
        <v/>
      </c>
      <c r="AA363" s="403" t="str">
        <f aca="false">IF(ABS(t-T_satellite)&lt;pas/2,"Satellite","")</f>
        <v/>
      </c>
      <c r="AC363" s="399" t="e">
        <f aca="false">IF(ABS(t-ROUND(t,0))&lt;0.001,t,NA())</f>
        <v>#N/A</v>
      </c>
      <c r="AD363" s="404" t="e">
        <f aca="false">IF(ABS(t-ROUND(t,0))&lt;0.001,pos_x,NA())</f>
        <v>#N/A</v>
      </c>
      <c r="AE363" s="405" t="e">
        <f aca="false">IF(t&lt;T_para, pos_z, NA())</f>
        <v>#N/A</v>
      </c>
      <c r="AG363" s="396" t="n">
        <f aca="false">IF(AND(L362&lt;L_rampe,Poussee&lt;Poids*SIN(M362)),0,(-W362+Poussee)/m-Poids*SIN(M362)/m)</f>
        <v>7.29677404320329</v>
      </c>
      <c r="AH363" s="397" t="n">
        <f aca="false">IF(AND(L362&lt;L_rampe,Poussee&lt;Poids*SIN(M362)), g*SIN(M362), (-W362+Poussee)/m)</f>
        <v>-0.627518289204468</v>
      </c>
    </row>
    <row r="364" customFormat="false" ht="12.75" hidden="false" customHeight="false" outlineLevel="0" collapsed="false">
      <c r="A364" s="396" t="n">
        <f aca="false">IF(B363+0.01&lt;=T_ini+ROUNDUP(Temps_fin_propu,0), 0.01, IF(K363&gt;0, 0.1, 0.0001))</f>
        <v>0.1</v>
      </c>
      <c r="B364" s="397" t="n">
        <f aca="false">B363+pas</f>
        <v>18</v>
      </c>
      <c r="D364" s="396" t="n">
        <f aca="false">IF(AND(L363&lt;L_rampe,Poussee&lt;Poids*SIN(M363)),0,(-W363+Poussee)/m*COS(M363)-U363/m*SIN(M363))</f>
        <v>-0.376928074127943</v>
      </c>
      <c r="E364" s="398" t="n">
        <f aca="false">IF(AND(L363&lt;L_rampe,Poussee&lt;Poids*SIN(M363)),0,(-W363+Poussee)/m*SIN(M363)+U363/m*COS(M363)-Poids/m)</f>
        <v>-9.2760011096646</v>
      </c>
      <c r="F364" s="397" t="n">
        <f aca="false">SQRT(acc_x^2+acc_z^2)</f>
        <v>9.28365614182067</v>
      </c>
      <c r="G364" s="396" t="n">
        <f aca="false">G363+acc_x*pas</f>
        <v>21.0996702500857</v>
      </c>
      <c r="H364" s="398" t="n">
        <f aca="false">H363+acc_z*pas</f>
        <v>-30.8731764478709</v>
      </c>
      <c r="I364" s="397" t="n">
        <f aca="false">SQRT(vit_x^2+vit_z^2)</f>
        <v>37.3945063965781</v>
      </c>
      <c r="J364" s="396" t="n">
        <f aca="false">J363+0.5*(vit_x+G363)*pas*(K363&gt;=0)</f>
        <v>455.433849345324</v>
      </c>
      <c r="K364" s="398" t="n">
        <f aca="false">K363+0.5*(vit_z+H363)*pas</f>
        <v>1140.60677157566</v>
      </c>
      <c r="L364" s="397" t="n">
        <f aca="false">SQRT(pos_x^2+pos_z^2)</f>
        <v>1228.17091583124</v>
      </c>
      <c r="M364" s="396" t="n">
        <f aca="false">IF(AND(L363&gt;L_rampe,G364&gt;0),ATAN2(G364,H364),$M$4)</f>
        <v>-0.97127761116713</v>
      </c>
      <c r="N364" s="397" t="n">
        <f aca="false">DEGREES(Beta)</f>
        <v>-55.6501078554252</v>
      </c>
      <c r="P364" s="399" t="n">
        <f aca="false">MATCH(t-pas/2-T_ini,CdP_t)</f>
        <v>23</v>
      </c>
      <c r="Q364" s="397" t="n">
        <f aca="false">(INDEX(CdP,2,i_P+1)-INDEX(CdP,2,i_P+0))/(INDEX(CdP,1,i_P+1)-INDEX(CdP,1,i_P+0))*(t-pas/2-T_ini-INDEX(CdP,1,i_P+0))+INDEX(CdP,2,i_P+0)</f>
        <v>0</v>
      </c>
      <c r="R364" s="396" t="n">
        <f aca="false">Poussee/(g*ISP)</f>
        <v>0</v>
      </c>
      <c r="S364" s="398" t="n">
        <f aca="false">S363-Débit*pas</f>
        <v>8.45</v>
      </c>
      <c r="T364" s="397" t="n">
        <f aca="false">m*g</f>
        <v>82.8945</v>
      </c>
      <c r="U364" s="400" t="n">
        <f aca="false">IF(pos_xz&lt;L_rampe,Poids*COS(Beta),0)</f>
        <v>0</v>
      </c>
      <c r="V364" s="396" t="n">
        <f aca="false">Rho_moyen*(20000-Alt_rampe-pos_z)/(20000+Alt_rampe+pos_z)</f>
        <v>1.09281426755841</v>
      </c>
      <c r="W364" s="397" t="n">
        <f aca="false">1/2*Rho*Sref*Cx*vit_xz^2</f>
        <v>5.75028689496554</v>
      </c>
      <c r="Y364" s="401" t="str">
        <f aca="false">IF(AND(pos_z&lt;=0,K363&gt;0),"Impact balistique","") &amp; IF(AND(H365&lt;0,vit_z&gt;=0),"Apogée","") &amp; IF(AND(Poussee=0,Q363&gt;0),"Fin de propulsion","") &amp; IF(AND(L365&gt;L_rampe,pos_xz&lt;=L_rampe),"Sortie de rampe","")</f>
        <v/>
      </c>
      <c r="Z364" s="402" t="str">
        <f aca="false">IF(ABS(t-T_para)&lt;pas/2,"Para","")</f>
        <v/>
      </c>
      <c r="AA364" s="403" t="str">
        <f aca="false">IF(ABS(t-T_satellite)&lt;pas/2,"Satellite","")</f>
        <v/>
      </c>
      <c r="AC364" s="399" t="n">
        <f aca="false">IF(ABS(t-ROUND(t,0))&lt;0.001,t,NA())</f>
        <v>18</v>
      </c>
      <c r="AD364" s="404" t="n">
        <f aca="false">IF(ABS(t-ROUND(t,0))&lt;0.001,pos_x,NA())</f>
        <v>455.433849345324</v>
      </c>
      <c r="AE364" s="405" t="e">
        <f aca="false">IF(t&lt;T_para, pos_z, NA())</f>
        <v>#N/A</v>
      </c>
      <c r="AG364" s="396" t="n">
        <f aca="false">IF(AND(L363&lt;L_rampe,Poussee&lt;Poids*SIN(M363)),0,(-W363+Poussee)/m-Poids*SIN(M363)/m)</f>
        <v>7.36091382608225</v>
      </c>
      <c r="AH364" s="397" t="n">
        <f aca="false">IF(AND(L363&lt;L_rampe,Poussee&lt;Poids*SIN(M363)), g*SIN(M363), (-W363+Poussee)/m)</f>
        <v>-0.653628019553353</v>
      </c>
    </row>
    <row r="365" customFormat="false" ht="12.75" hidden="false" customHeight="false" outlineLevel="0" collapsed="false">
      <c r="A365" s="396" t="n">
        <f aca="false">IF(B364+0.01&lt;=T_ini+ROUNDUP(Temps_fin_propu,0), 0.01, IF(K364&gt;0, 0.1, 0.0001))</f>
        <v>0.1</v>
      </c>
      <c r="B365" s="397" t="n">
        <f aca="false">B364+pas</f>
        <v>18.1</v>
      </c>
      <c r="D365" s="396" t="n">
        <f aca="false">IF(AND(L364&lt;L_rampe,Poussee&lt;Poids*SIN(M364)),0,(-W364+Poussee)/m*COS(M364)-U364/m*SIN(M364))</f>
        <v>-0.383972982683214</v>
      </c>
      <c r="E365" s="398" t="n">
        <f aca="false">IF(AND(L364&lt;L_rampe,Poussee&lt;Poids*SIN(M364)),0,(-W364+Poussee)/m*SIN(M364)+U364/m*COS(M364)-Poids/m)</f>
        <v>-9.2481682033374</v>
      </c>
      <c r="F365" s="397" t="n">
        <f aca="false">SQRT(acc_x^2+acc_z^2)</f>
        <v>9.2561358227206</v>
      </c>
      <c r="G365" s="396" t="n">
        <f aca="false">G364+acc_x*pas</f>
        <v>21.0612729518174</v>
      </c>
      <c r="H365" s="398" t="n">
        <f aca="false">H364+acc_z*pas</f>
        <v>-31.7979932682046</v>
      </c>
      <c r="I365" s="397" t="n">
        <f aca="false">SQRT(vit_x^2+vit_z^2)</f>
        <v>38.1403932102927</v>
      </c>
      <c r="J365" s="396" t="n">
        <f aca="false">J364+0.5*(vit_x+G364)*pas*(K364&gt;=0)</f>
        <v>457.541896505419</v>
      </c>
      <c r="K365" s="398" t="n">
        <f aca="false">K364+0.5*(vit_z+H364)*pas</f>
        <v>1137.47321308986</v>
      </c>
      <c r="L365" s="397" t="n">
        <f aca="false">SQRT(pos_x^2+pos_z^2)</f>
        <v>1226.04644999883</v>
      </c>
      <c r="M365" s="396" t="n">
        <f aca="false">IF(AND(L364&gt;L_rampe,G365&gt;0),ATAN2(G365,H365),$M$4)</f>
        <v>-0.985790937179445</v>
      </c>
      <c r="N365" s="397" t="n">
        <f aca="false">DEGREES(Beta)</f>
        <v>-56.4816601826283</v>
      </c>
      <c r="P365" s="399" t="n">
        <f aca="false">MATCH(t-pas/2-T_ini,CdP_t)</f>
        <v>23</v>
      </c>
      <c r="Q365" s="397" t="n">
        <f aca="false">(INDEX(CdP,2,i_P+1)-INDEX(CdP,2,i_P+0))/(INDEX(CdP,1,i_P+1)-INDEX(CdP,1,i_P+0))*(t-pas/2-T_ini-INDEX(CdP,1,i_P+0))+INDEX(CdP,2,i_P+0)</f>
        <v>0</v>
      </c>
      <c r="R365" s="396" t="n">
        <f aca="false">Poussee/(g*ISP)</f>
        <v>0</v>
      </c>
      <c r="S365" s="398" t="n">
        <f aca="false">S364-Débit*pas</f>
        <v>8.45</v>
      </c>
      <c r="T365" s="397" t="n">
        <f aca="false">m*g</f>
        <v>82.8945</v>
      </c>
      <c r="U365" s="400" t="n">
        <f aca="false">IF(pos_xz&lt;L_rampe,Poids*COS(Beta),0)</f>
        <v>0</v>
      </c>
      <c r="V365" s="396" t="n">
        <f aca="false">Rho_moyen*(20000-Alt_rampe-pos_z)/(20000+Alt_rampe+pos_z)</f>
        <v>1.09315787563746</v>
      </c>
      <c r="W365" s="397" t="n">
        <f aca="false">1/2*Rho*Sref*Cx*vit_xz^2</f>
        <v>5.98385094686083</v>
      </c>
      <c r="Y365" s="401" t="str">
        <f aca="false">IF(AND(pos_z&lt;=0,K364&gt;0),"Impact balistique","") &amp; IF(AND(H366&lt;0,vit_z&gt;=0),"Apogée","") &amp; IF(AND(Poussee=0,Q364&gt;0),"Fin de propulsion","") &amp; IF(AND(L366&gt;L_rampe,pos_xz&lt;=L_rampe),"Sortie de rampe","")</f>
        <v/>
      </c>
      <c r="Z365" s="402" t="str">
        <f aca="false">IF(ABS(t-T_para)&lt;pas/2,"Para","")</f>
        <v/>
      </c>
      <c r="AA365" s="403" t="str">
        <f aca="false">IF(ABS(t-T_satellite)&lt;pas/2,"Satellite","")</f>
        <v/>
      </c>
      <c r="AC365" s="399" t="e">
        <f aca="false">IF(ABS(t-ROUND(t,0))&lt;0.001,t,NA())</f>
        <v>#N/A</v>
      </c>
      <c r="AD365" s="404" t="e">
        <f aca="false">IF(ABS(t-ROUND(t,0))&lt;0.001,pos_x,NA())</f>
        <v>#N/A</v>
      </c>
      <c r="AE365" s="405" t="e">
        <f aca="false">IF(t&lt;T_para, pos_z, NA())</f>
        <v>#N/A</v>
      </c>
      <c r="AG365" s="396" t="n">
        <f aca="false">IF(AND(L364&lt;L_rampe,Poussee&lt;Poids*SIN(M364)),0,(-W364+Poussee)/m-Poids*SIN(M364)/m)</f>
        <v>7.41870002239294</v>
      </c>
      <c r="AH365" s="397" t="n">
        <f aca="false">IF(AND(L364&lt;L_rampe,Poussee&lt;Poids*SIN(M364)), g*SIN(M364), (-W364+Poussee)/m)</f>
        <v>-0.680507324847993</v>
      </c>
    </row>
    <row r="366" customFormat="false" ht="12.75" hidden="false" customHeight="false" outlineLevel="0" collapsed="false">
      <c r="A366" s="396" t="n">
        <f aca="false">IF(B365+0.01&lt;=T_ini+ROUNDUP(Temps_fin_propu,0), 0.01, IF(K365&gt;0, 0.1, 0.0001))</f>
        <v>0.1</v>
      </c>
      <c r="B366" s="397" t="n">
        <f aca="false">B365+pas</f>
        <v>18.2</v>
      </c>
      <c r="D366" s="396" t="n">
        <f aca="false">IF(AND(L365&lt;L_rampe,Poussee&lt;Poids*SIN(M365)),0,(-W365+Poussee)/m*COS(M365)-U365/m*SIN(M365))</f>
        <v>-0.391042092843313</v>
      </c>
      <c r="E366" s="398" t="n">
        <f aca="false">IF(AND(L365&lt;L_rampe,Poussee&lt;Poids*SIN(M365)),0,(-W365+Poussee)/m*SIN(M365)+U365/m*COS(M365)-Poids/m)</f>
        <v>-9.21961052713847</v>
      </c>
      <c r="F366" s="397" t="n">
        <f aca="false">SQRT(acc_x^2+acc_z^2)</f>
        <v>9.22789966300554</v>
      </c>
      <c r="G366" s="396" t="n">
        <f aca="false">G365+acc_x*pas</f>
        <v>21.022168742533</v>
      </c>
      <c r="H366" s="398" t="n">
        <f aca="false">H365+acc_z*pas</f>
        <v>-32.7199543209185</v>
      </c>
      <c r="I366" s="397" t="n">
        <f aca="false">SQRT(vit_x^2+vit_z^2)</f>
        <v>38.891219952613</v>
      </c>
      <c r="J366" s="396" t="n">
        <f aca="false">J365+0.5*(vit_x+G365)*pas*(K365&gt;=0)</f>
        <v>459.646068590137</v>
      </c>
      <c r="K366" s="398" t="n">
        <f aca="false">K365+0.5*(vit_z+H365)*pas</f>
        <v>1134.2473157104</v>
      </c>
      <c r="L366" s="397" t="n">
        <f aca="false">SQRT(pos_x^2+pos_z^2)</f>
        <v>1223.84291539667</v>
      </c>
      <c r="M366" s="396" t="n">
        <f aca="false">IF(AND(L365&gt;L_rampe,G366&gt;0),ATAN2(G366,H366),$M$4)</f>
        <v>-0.999720289894745</v>
      </c>
      <c r="N366" s="397" t="n">
        <f aca="false">DEGREES(Beta)</f>
        <v>-57.279753304564</v>
      </c>
      <c r="P366" s="399" t="n">
        <f aca="false">MATCH(t-pas/2-T_ini,CdP_t)</f>
        <v>23</v>
      </c>
      <c r="Q366" s="397" t="n">
        <f aca="false">(INDEX(CdP,2,i_P+1)-INDEX(CdP,2,i_P+0))/(INDEX(CdP,1,i_P+1)-INDEX(CdP,1,i_P+0))*(t-pas/2-T_ini-INDEX(CdP,1,i_P+0))+INDEX(CdP,2,i_P+0)</f>
        <v>0</v>
      </c>
      <c r="R366" s="396" t="n">
        <f aca="false">Poussee/(g*ISP)</f>
        <v>0</v>
      </c>
      <c r="S366" s="398" t="n">
        <f aca="false">S365-Débit*pas</f>
        <v>8.45</v>
      </c>
      <c r="T366" s="397" t="n">
        <f aca="false">m*g</f>
        <v>82.8945</v>
      </c>
      <c r="U366" s="400" t="n">
        <f aca="false">IF(pos_xz&lt;L_rampe,Poids*COS(Beta),0)</f>
        <v>0</v>
      </c>
      <c r="V366" s="396" t="n">
        <f aca="false">Rho_moyen*(20000-Alt_rampe-pos_z)/(20000+Alt_rampe+pos_z)</f>
        <v>1.09351171551188</v>
      </c>
      <c r="W366" s="397" t="n">
        <f aca="false">1/2*Rho*Sref*Cx*vit_xz^2</f>
        <v>6.22377838537033</v>
      </c>
      <c r="Y366" s="401" t="str">
        <f aca="false">IF(AND(pos_z&lt;=0,K365&gt;0),"Impact balistique","") &amp; IF(AND(H367&lt;0,vit_z&gt;=0),"Apogée","") &amp; IF(AND(Poussee=0,Q365&gt;0),"Fin de propulsion","") &amp; IF(AND(L367&gt;L_rampe,pos_xz&lt;=L_rampe),"Sortie de rampe","")</f>
        <v/>
      </c>
      <c r="Z366" s="402" t="str">
        <f aca="false">IF(ABS(t-T_para)&lt;pas/2,"Para","")</f>
        <v/>
      </c>
      <c r="AA366" s="403" t="str">
        <f aca="false">IF(ABS(t-T_satellite)&lt;pas/2,"Satellite","")</f>
        <v/>
      </c>
      <c r="AC366" s="399" t="e">
        <f aca="false">IF(ABS(t-ROUND(t,0))&lt;0.001,t,NA())</f>
        <v>#N/A</v>
      </c>
      <c r="AD366" s="404" t="e">
        <f aca="false">IF(ABS(t-ROUND(t,0))&lt;0.001,pos_x,NA())</f>
        <v>#N/A</v>
      </c>
      <c r="AE366" s="405" t="e">
        <f aca="false">IF(t&lt;T_para, pos_z, NA())</f>
        <v>#N/A</v>
      </c>
      <c r="AG366" s="396" t="n">
        <f aca="false">IF(AND(L365&lt;L_rampe,Poussee&lt;Poids*SIN(M365)),0,(-W365+Poussee)/m-Poids*SIN(M365)/m)</f>
        <v>7.47053832542824</v>
      </c>
      <c r="AH366" s="397" t="n">
        <f aca="false">IF(AND(L365&lt;L_rampe,Poussee&lt;Poids*SIN(M365)), g*SIN(M365), (-W365+Poussee)/m)</f>
        <v>-0.708148041048619</v>
      </c>
    </row>
    <row r="367" customFormat="false" ht="12.75" hidden="false" customHeight="false" outlineLevel="0" collapsed="false">
      <c r="A367" s="396" t="n">
        <f aca="false">IF(B366+0.01&lt;=T_ini+ROUNDUP(Temps_fin_propu,0), 0.01, IF(K366&gt;0, 0.1, 0.0001))</f>
        <v>0.1</v>
      </c>
      <c r="B367" s="397" t="n">
        <f aca="false">B366+pas</f>
        <v>18.3</v>
      </c>
      <c r="D367" s="396" t="n">
        <f aca="false">IF(AND(L366&lt;L_rampe,Poussee&lt;Poids*SIN(M366)),0,(-W366+Poussee)/m*COS(M366)-U366/m*SIN(M366))</f>
        <v>-0.398128586881225</v>
      </c>
      <c r="E367" s="398" t="n">
        <f aca="false">IF(AND(L366&lt;L_rampe,Poussee&lt;Poids*SIN(M366)),0,(-W366+Poussee)/m*SIN(M366)+U366/m*COS(M366)-Poids/m)</f>
        <v>-9.19033276508483</v>
      </c>
      <c r="F367" s="397" t="n">
        <f aca="false">SQRT(acc_x^2+acc_z^2)</f>
        <v>9.19895226124605</v>
      </c>
      <c r="G367" s="396" t="n">
        <f aca="false">G366+acc_x*pas</f>
        <v>20.9823558838449</v>
      </c>
      <c r="H367" s="398" t="n">
        <f aca="false">H366+acc_z*pas</f>
        <v>-33.6389875974269</v>
      </c>
      <c r="I367" s="397" t="n">
        <f aca="false">SQRT(vit_x^2+vit_z^2)</f>
        <v>39.646446814515</v>
      </c>
      <c r="J367" s="396" t="n">
        <f aca="false">J366+0.5*(vit_x+G366)*pas*(K366&gt;=0)</f>
        <v>461.746294821456</v>
      </c>
      <c r="K367" s="398" t="n">
        <f aca="false">K366+0.5*(vit_z+H366)*pas</f>
        <v>1130.92936861448</v>
      </c>
      <c r="L367" s="397" t="n">
        <f aca="false">SQRT(pos_x^2+pos_z^2)</f>
        <v>1221.56083662505</v>
      </c>
      <c r="M367" s="396" t="n">
        <f aca="false">IF(AND(L366&gt;L_rampe,G367&gt;0),ATAN2(G367,H367),$M$4)</f>
        <v>-1.01309559312867</v>
      </c>
      <c r="N367" s="397" t="n">
        <f aca="false">DEGREES(Beta)</f>
        <v>-58.0461017295757</v>
      </c>
      <c r="P367" s="399" t="n">
        <f aca="false">MATCH(t-pas/2-T_ini,CdP_t)</f>
        <v>23</v>
      </c>
      <c r="Q367" s="397" t="n">
        <f aca="false">(INDEX(CdP,2,i_P+1)-INDEX(CdP,2,i_P+0))/(INDEX(CdP,1,i_P+1)-INDEX(CdP,1,i_P+0))*(t-pas/2-T_ini-INDEX(CdP,1,i_P+0))+INDEX(CdP,2,i_P+0)</f>
        <v>0</v>
      </c>
      <c r="R367" s="396" t="n">
        <f aca="false">Poussee/(g*ISP)</f>
        <v>0</v>
      </c>
      <c r="S367" s="398" t="n">
        <f aca="false">S366-Débit*pas</f>
        <v>8.45</v>
      </c>
      <c r="T367" s="397" t="n">
        <f aca="false">m*g</f>
        <v>82.8945</v>
      </c>
      <c r="U367" s="400" t="n">
        <f aca="false">IF(pos_xz&lt;L_rampe,Poids*COS(Beta),0)</f>
        <v>0</v>
      </c>
      <c r="V367" s="396" t="n">
        <f aca="false">Rho_moyen*(20000-Alt_rampe-pos_z)/(20000+Alt_rampe+pos_z)</f>
        <v>1.09387576477252</v>
      </c>
      <c r="W367" s="397" t="n">
        <f aca="false">1/2*Rho*Sref*Cx*vit_xz^2</f>
        <v>6.46999715362415</v>
      </c>
      <c r="Y367" s="401" t="str">
        <f aca="false">IF(AND(pos_z&lt;=0,K366&gt;0),"Impact balistique","") &amp; IF(AND(H368&lt;0,vit_z&gt;=0),"Apogée","") &amp; IF(AND(Poussee=0,Q366&gt;0),"Fin de propulsion","") &amp; IF(AND(L368&gt;L_rampe,pos_xz&lt;=L_rampe),"Sortie de rampe","")</f>
        <v/>
      </c>
      <c r="Z367" s="402" t="str">
        <f aca="false">IF(ABS(t-T_para)&lt;pas/2,"Para","")</f>
        <v/>
      </c>
      <c r="AA367" s="403" t="str">
        <f aca="false">IF(ABS(t-T_satellite)&lt;pas/2,"Satellite","")</f>
        <v/>
      </c>
      <c r="AC367" s="399" t="e">
        <f aca="false">IF(ABS(t-ROUND(t,0))&lt;0.001,t,NA())</f>
        <v>#N/A</v>
      </c>
      <c r="AD367" s="404" t="e">
        <f aca="false">IF(ABS(t-ROUND(t,0))&lt;0.001,pos_x,NA())</f>
        <v>#N/A</v>
      </c>
      <c r="AE367" s="405" t="e">
        <f aca="false">IF(t&lt;T_para, pos_z, NA())</f>
        <v>#N/A</v>
      </c>
      <c r="AG367" s="396" t="n">
        <f aca="false">IF(AND(L366&lt;L_rampe,Poussee&lt;Poids*SIN(M366)),0,(-W366+Poussee)/m-Poids*SIN(M366)/m)</f>
        <v>7.51680565148564</v>
      </c>
      <c r="AH367" s="397" t="n">
        <f aca="false">IF(AND(L366&lt;L_rampe,Poussee&lt;Poids*SIN(M366)), g*SIN(M366), (-W366+Poussee)/m)</f>
        <v>-0.736541820753886</v>
      </c>
    </row>
    <row r="368" customFormat="false" ht="12.75" hidden="false" customHeight="false" outlineLevel="0" collapsed="false">
      <c r="A368" s="396" t="n">
        <f aca="false">IF(B367+0.01&lt;=T_ini+ROUNDUP(Temps_fin_propu,0), 0.01, IF(K367&gt;0, 0.1, 0.0001))</f>
        <v>0.1</v>
      </c>
      <c r="B368" s="397" t="n">
        <f aca="false">B367+pas</f>
        <v>18.4</v>
      </c>
      <c r="D368" s="396" t="n">
        <f aca="false">IF(AND(L367&lt;L_rampe,Poussee&lt;Poids*SIN(M367)),0,(-W367+Poussee)/m*COS(M367)-U367/m*SIN(M367))</f>
        <v>-0.405226051981198</v>
      </c>
      <c r="E368" s="398" t="n">
        <f aca="false">IF(AND(L367&lt;L_rampe,Poussee&lt;Poids*SIN(M367)),0,(-W367+Poussee)/m*SIN(M367)+U367/m*COS(M367)-Poids/m)</f>
        <v>-9.16034015187755</v>
      </c>
      <c r="F368" s="397" t="n">
        <f aca="false">SQRT(acc_x^2+acc_z^2)</f>
        <v>9.16929876551661</v>
      </c>
      <c r="G368" s="396" t="n">
        <f aca="false">G367+acc_x*pas</f>
        <v>20.9418332786468</v>
      </c>
      <c r="H368" s="398" t="n">
        <f aca="false">H367+acc_z*pas</f>
        <v>-34.5550216126147</v>
      </c>
      <c r="I368" s="397" t="n">
        <f aca="false">SQRT(vit_x^2+vit_z^2)</f>
        <v>40.405567682176</v>
      </c>
      <c r="J368" s="396" t="n">
        <f aca="false">J367+0.5*(vit_x+G367)*pas*(K367&gt;=0)</f>
        <v>463.84250427958</v>
      </c>
      <c r="K368" s="398" t="n">
        <f aca="false">K367+0.5*(vit_z+H367)*pas</f>
        <v>1127.51966815398</v>
      </c>
      <c r="L368" s="397" t="n">
        <f aca="false">SQRT(pos_x^2+pos_z^2)</f>
        <v>1219.20075084065</v>
      </c>
      <c r="M368" s="396" t="n">
        <f aca="false">IF(AND(L367&gt;L_rampe,G368&gt;0),ATAN2(G368,H368),$M$4)</f>
        <v>-1.02594519653178</v>
      </c>
      <c r="N368" s="397" t="n">
        <f aca="false">DEGREES(Beta)</f>
        <v>-58.7823297729907</v>
      </c>
      <c r="P368" s="399" t="n">
        <f aca="false">MATCH(t-pas/2-T_ini,CdP_t)</f>
        <v>23</v>
      </c>
      <c r="Q368" s="397" t="n">
        <f aca="false">(INDEX(CdP,2,i_P+1)-INDEX(CdP,2,i_P+0))/(INDEX(CdP,1,i_P+1)-INDEX(CdP,1,i_P+0))*(t-pas/2-T_ini-INDEX(CdP,1,i_P+0))+INDEX(CdP,2,i_P+0)</f>
        <v>0</v>
      </c>
      <c r="R368" s="396" t="n">
        <f aca="false">Poussee/(g*ISP)</f>
        <v>0</v>
      </c>
      <c r="S368" s="398" t="n">
        <f aca="false">S367-Débit*pas</f>
        <v>8.45</v>
      </c>
      <c r="T368" s="397" t="n">
        <f aca="false">m*g</f>
        <v>82.8945</v>
      </c>
      <c r="U368" s="400" t="n">
        <f aca="false">IF(pos_xz&lt;L_rampe,Poids*COS(Beta),0)</f>
        <v>0</v>
      </c>
      <c r="V368" s="396" t="n">
        <f aca="false">Rho_moyen*(20000-Alt_rampe-pos_z)/(20000+Alt_rampe+pos_z)</f>
        <v>1.09425000045599</v>
      </c>
      <c r="W368" s="397" t="n">
        <f aca="false">1/2*Rho*Sref*Cx*vit_xz^2</f>
        <v>6.72243370348122</v>
      </c>
      <c r="Y368" s="401" t="str">
        <f aca="false">IF(AND(pos_z&lt;=0,K367&gt;0),"Impact balistique","") &amp; IF(AND(H369&lt;0,vit_z&gt;=0),"Apogée","") &amp; IF(AND(Poussee=0,Q367&gt;0),"Fin de propulsion","") &amp; IF(AND(L369&gt;L_rampe,pos_xz&lt;=L_rampe),"Sortie de rampe","")</f>
        <v/>
      </c>
      <c r="Z368" s="402" t="str">
        <f aca="false">IF(ABS(t-T_para)&lt;pas/2,"Para","")</f>
        <v/>
      </c>
      <c r="AA368" s="403" t="str">
        <f aca="false">IF(ABS(t-T_satellite)&lt;pas/2,"Satellite","")</f>
        <v/>
      </c>
      <c r="AC368" s="399" t="e">
        <f aca="false">IF(ABS(t-ROUND(t,0))&lt;0.001,t,NA())</f>
        <v>#N/A</v>
      </c>
      <c r="AD368" s="404" t="e">
        <f aca="false">IF(ABS(t-ROUND(t,0))&lt;0.001,pos_x,NA())</f>
        <v>#N/A</v>
      </c>
      <c r="AE368" s="405" t="e">
        <f aca="false">IF(t&lt;T_para, pos_z, NA())</f>
        <v>#N/A</v>
      </c>
      <c r="AG368" s="396" t="n">
        <f aca="false">IF(AND(L367&lt;L_rampe,Poussee&lt;Poids*SIN(M367)),0,(-W367+Poussee)/m-Poids*SIN(M367)/m)</f>
        <v>7.55785185297977</v>
      </c>
      <c r="AH368" s="397" t="n">
        <f aca="false">IF(AND(L367&lt;L_rampe,Poussee&lt;Poids*SIN(M367)), g*SIN(M367), (-W367+Poussee)/m)</f>
        <v>-0.765680136523568</v>
      </c>
    </row>
    <row r="369" customFormat="false" ht="12.75" hidden="false" customHeight="false" outlineLevel="0" collapsed="false">
      <c r="A369" s="396" t="n">
        <f aca="false">IF(B368+0.01&lt;=T_ini+ROUNDUP(Temps_fin_propu,0), 0.01, IF(K368&gt;0, 0.1, 0.0001))</f>
        <v>0.1</v>
      </c>
      <c r="B369" s="397" t="n">
        <f aca="false">B368+pas</f>
        <v>18.5</v>
      </c>
      <c r="D369" s="396" t="n">
        <f aca="false">IF(AND(L368&lt;L_rampe,Poussee&lt;Poids*SIN(M368)),0,(-W368+Poussee)/m*COS(M368)-U368/m*SIN(M368))</f>
        <v>-0.412328452351229</v>
      </c>
      <c r="E369" s="398" t="n">
        <f aca="false">IF(AND(L368&lt;L_rampe,Poussee&lt;Poids*SIN(M368)),0,(-W368+Poussee)/m*SIN(M368)+U368/m*COS(M368)-Poids/m)</f>
        <v>-9.12963842931456</v>
      </c>
      <c r="F369" s="397" t="n">
        <f aca="false">SQRT(acc_x^2+acc_z^2)</f>
        <v>9.13894482982777</v>
      </c>
      <c r="G369" s="396" t="n">
        <f aca="false">G368+acc_x*pas</f>
        <v>20.9006004334117</v>
      </c>
      <c r="H369" s="398" t="n">
        <f aca="false">H368+acc_z*pas</f>
        <v>-35.4679854555462</v>
      </c>
      <c r="I369" s="397" t="n">
        <f aca="false">SQRT(vit_x^2+vit_z^2)</f>
        <v>41.1681076897149</v>
      </c>
      <c r="J369" s="396" t="n">
        <f aca="false">J368+0.5*(vit_x+G368)*pas*(K368&gt;=0)</f>
        <v>465.934625965183</v>
      </c>
      <c r="K369" s="398" t="n">
        <f aca="false">K368+0.5*(vit_z+H368)*pas</f>
        <v>1124.01851780057</v>
      </c>
      <c r="L369" s="397" t="n">
        <f aca="false">SQRT(pos_x^2+pos_z^2)</f>
        <v>1216.76320787239</v>
      </c>
      <c r="M369" s="396" t="n">
        <f aca="false">IF(AND(L368&gt;L_rampe,G369&gt;0),ATAN2(G369,H369),$M$4)</f>
        <v>-1.03829592656178</v>
      </c>
      <c r="N369" s="397" t="n">
        <f aca="false">DEGREES(Beta)</f>
        <v>-59.4899744776152</v>
      </c>
      <c r="P369" s="399" t="n">
        <f aca="false">MATCH(t-pas/2-T_ini,CdP_t)</f>
        <v>23</v>
      </c>
      <c r="Q369" s="397" t="n">
        <f aca="false">(INDEX(CdP,2,i_P+1)-INDEX(CdP,2,i_P+0))/(INDEX(CdP,1,i_P+1)-INDEX(CdP,1,i_P+0))*(t-pas/2-T_ini-INDEX(CdP,1,i_P+0))+INDEX(CdP,2,i_P+0)</f>
        <v>0</v>
      </c>
      <c r="R369" s="396" t="n">
        <f aca="false">Poussee/(g*ISP)</f>
        <v>0</v>
      </c>
      <c r="S369" s="398" t="n">
        <f aca="false">S368-Débit*pas</f>
        <v>8.45</v>
      </c>
      <c r="T369" s="397" t="n">
        <f aca="false">m*g</f>
        <v>82.8945</v>
      </c>
      <c r="U369" s="400" t="n">
        <f aca="false">IF(pos_xz&lt;L_rampe,Poids*COS(Beta),0)</f>
        <v>0</v>
      </c>
      <c r="V369" s="396" t="n">
        <f aca="false">Rho_moyen*(20000-Alt_rampe-pos_z)/(20000+Alt_rampe+pos_z)</f>
        <v>1.09463439904719</v>
      </c>
      <c r="W369" s="397" t="n">
        <f aca="false">1/2*Rho*Sref*Cx*vit_xz^2</f>
        <v>6.98101302739791</v>
      </c>
      <c r="Y369" s="401" t="str">
        <f aca="false">IF(AND(pos_z&lt;=0,K368&gt;0),"Impact balistique","") &amp; IF(AND(H370&lt;0,vit_z&gt;=0),"Apogée","") &amp; IF(AND(Poussee=0,Q368&gt;0),"Fin de propulsion","") &amp; IF(AND(L370&gt;L_rampe,pos_xz&lt;=L_rampe),"Sortie de rampe","")</f>
        <v/>
      </c>
      <c r="Z369" s="402" t="str">
        <f aca="false">IF(ABS(t-T_para)&lt;pas/2,"Para","")</f>
        <v/>
      </c>
      <c r="AA369" s="403" t="str">
        <f aca="false">IF(ABS(t-T_satellite)&lt;pas/2,"Satellite","")</f>
        <v/>
      </c>
      <c r="AC369" s="399" t="e">
        <f aca="false">IF(ABS(t-ROUND(t,0))&lt;0.001,t,NA())</f>
        <v>#N/A</v>
      </c>
      <c r="AD369" s="404" t="e">
        <f aca="false">IF(ABS(t-ROUND(t,0))&lt;0.001,pos_x,NA())</f>
        <v>#N/A</v>
      </c>
      <c r="AE369" s="405" t="e">
        <f aca="false">IF(t&lt;T_para, pos_z, NA())</f>
        <v>#N/A</v>
      </c>
      <c r="AG369" s="396" t="n">
        <f aca="false">IF(AND(L368&lt;L_rampe,Poussee&lt;Poids*SIN(M368)),0,(-W368+Poussee)/m-Poids*SIN(M368)/m)</f>
        <v>7.59400144922344</v>
      </c>
      <c r="AH369" s="397" t="n">
        <f aca="false">IF(AND(L368&lt;L_rampe,Poussee&lt;Poids*SIN(M368)), g*SIN(M368), (-W368+Poussee)/m)</f>
        <v>-0.795554284435647</v>
      </c>
    </row>
    <row r="370" customFormat="false" ht="12.75" hidden="false" customHeight="false" outlineLevel="0" collapsed="false">
      <c r="A370" s="396" t="n">
        <f aca="false">IF(B369+0.01&lt;=T_ini+ROUNDUP(Temps_fin_propu,0), 0.01, IF(K369&gt;0, 0.1, 0.0001))</f>
        <v>0.1</v>
      </c>
      <c r="B370" s="397" t="n">
        <f aca="false">B369+pas</f>
        <v>18.6</v>
      </c>
      <c r="D370" s="396" t="n">
        <f aca="false">IF(AND(L369&lt;L_rampe,Poussee&lt;Poids*SIN(M369)),0,(-W369+Poussee)/m*COS(M369)-U369/m*SIN(M369))</f>
        <v>-0.419430103216495</v>
      </c>
      <c r="E370" s="398" t="n">
        <f aca="false">IF(AND(L369&lt;L_rampe,Poussee&lt;Poids*SIN(M369)),0,(-W369+Poussee)/m*SIN(M369)+U369/m*COS(M369)-Poids/m)</f>
        <v>-9.09823380706711</v>
      </c>
      <c r="F370" s="397" t="n">
        <f aca="false">SQRT(acc_x^2+acc_z^2)</f>
        <v>9.10789657492569</v>
      </c>
      <c r="G370" s="396" t="n">
        <f aca="false">G369+acc_x*pas</f>
        <v>20.85865742309</v>
      </c>
      <c r="H370" s="398" t="n">
        <f aca="false">H369+acc_z*pas</f>
        <v>-36.3778088362529</v>
      </c>
      <c r="I370" s="397" t="n">
        <f aca="false">SQRT(vit_x^2+vit_z^2)</f>
        <v>41.933620940968</v>
      </c>
      <c r="J370" s="396" t="n">
        <f aca="false">J369+0.5*(vit_x+G369)*pas*(K369&gt;=0)</f>
        <v>468.022588858008</v>
      </c>
      <c r="K370" s="398" t="n">
        <f aca="false">K369+0.5*(vit_z+H369)*pas</f>
        <v>1120.42622808598</v>
      </c>
      <c r="L370" s="397" t="n">
        <f aca="false">SQRT(pos_x^2+pos_z^2)</f>
        <v>1214.24877033676</v>
      </c>
      <c r="M370" s="396" t="n">
        <f aca="false">IF(AND(L369&gt;L_rampe,G370&gt;0),ATAN2(G370,H370),$M$4)</f>
        <v>-1.05017314410335</v>
      </c>
      <c r="N370" s="397" t="n">
        <f aca="false">DEGREES(Beta)</f>
        <v>-60.1704889151062</v>
      </c>
      <c r="P370" s="399" t="n">
        <f aca="false">MATCH(t-pas/2-T_ini,CdP_t)</f>
        <v>23</v>
      </c>
      <c r="Q370" s="397" t="n">
        <f aca="false">(INDEX(CdP,2,i_P+1)-INDEX(CdP,2,i_P+0))/(INDEX(CdP,1,i_P+1)-INDEX(CdP,1,i_P+0))*(t-pas/2-T_ini-INDEX(CdP,1,i_P+0))+INDEX(CdP,2,i_P+0)</f>
        <v>0</v>
      </c>
      <c r="R370" s="396" t="n">
        <f aca="false">Poussee/(g*ISP)</f>
        <v>0</v>
      </c>
      <c r="S370" s="398" t="n">
        <f aca="false">S369-Débit*pas</f>
        <v>8.45</v>
      </c>
      <c r="T370" s="397" t="n">
        <f aca="false">m*g</f>
        <v>82.8945</v>
      </c>
      <c r="U370" s="400" t="n">
        <f aca="false">IF(pos_xz&lt;L_rampe,Poids*COS(Beta),0)</f>
        <v>0</v>
      </c>
      <c r="V370" s="396" t="n">
        <f aca="false">Rho_moyen*(20000-Alt_rampe-pos_z)/(20000+Alt_rampe+pos_z)</f>
        <v>1.09502893648234</v>
      </c>
      <c r="W370" s="397" t="n">
        <f aca="false">1/2*Rho*Sref*Cx*vit_xz^2</f>
        <v>7.24565869195263</v>
      </c>
      <c r="Y370" s="401" t="str">
        <f aca="false">IF(AND(pos_z&lt;=0,K369&gt;0),"Impact balistique","") &amp; IF(AND(H371&lt;0,vit_z&gt;=0),"Apogée","") &amp; IF(AND(Poussee=0,Q369&gt;0),"Fin de propulsion","") &amp; IF(AND(L371&gt;L_rampe,pos_xz&lt;=L_rampe),"Sortie de rampe","")</f>
        <v/>
      </c>
      <c r="Z370" s="402" t="str">
        <f aca="false">IF(ABS(t-T_para)&lt;pas/2,"Para","")</f>
        <v/>
      </c>
      <c r="AA370" s="403" t="str">
        <f aca="false">IF(ABS(t-T_satellite)&lt;pas/2,"Satellite","")</f>
        <v/>
      </c>
      <c r="AC370" s="399" t="e">
        <f aca="false">IF(ABS(t-ROUND(t,0))&lt;0.001,t,NA())</f>
        <v>#N/A</v>
      </c>
      <c r="AD370" s="404" t="e">
        <f aca="false">IF(ABS(t-ROUND(t,0))&lt;0.001,pos_x,NA())</f>
        <v>#N/A</v>
      </c>
      <c r="AE370" s="405" t="e">
        <f aca="false">IF(t&lt;T_para, pos_z, NA())</f>
        <v>#N/A</v>
      </c>
      <c r="AG370" s="396" t="n">
        <f aca="false">IF(AND(L369&lt;L_rampe,Poussee&lt;Poids*SIN(M369)),0,(-W369+Poussee)/m-Poids*SIN(M369)/m)</f>
        <v>7.62555533786587</v>
      </c>
      <c r="AH370" s="397" t="n">
        <f aca="false">IF(AND(L369&lt;L_rampe,Poussee&lt;Poids*SIN(M369)), g*SIN(M369), (-W369+Poussee)/m)</f>
        <v>-0.826155387857741</v>
      </c>
    </row>
    <row r="371" customFormat="false" ht="12.75" hidden="false" customHeight="false" outlineLevel="0" collapsed="false">
      <c r="A371" s="396" t="n">
        <f aca="false">IF(B370+0.01&lt;=T_ini+ROUNDUP(Temps_fin_propu,0), 0.01, IF(K370&gt;0, 0.1, 0.0001))</f>
        <v>0.1</v>
      </c>
      <c r="B371" s="397" t="n">
        <f aca="false">B370+pas</f>
        <v>18.7</v>
      </c>
      <c r="D371" s="396" t="n">
        <f aca="false">IF(AND(L370&lt;L_rampe,Poussee&lt;Poids*SIN(M370)),0,(-W370+Poussee)/m*COS(M370)-U370/m*SIN(M370))</f>
        <v>-0.426525646648859</v>
      </c>
      <c r="E371" s="398" t="n">
        <f aca="false">IF(AND(L370&lt;L_rampe,Poussee&lt;Poids*SIN(M370)),0,(-W370+Poussee)/m*SIN(M370)+U370/m*COS(M370)-Poids/m)</f>
        <v>-9.0661329273103</v>
      </c>
      <c r="F371" s="397" t="n">
        <f aca="false">SQRT(acc_x^2+acc_z^2)</f>
        <v>9.07616055294909</v>
      </c>
      <c r="G371" s="396" t="n">
        <f aca="false">G370+acc_x*pas</f>
        <v>20.8160048584251</v>
      </c>
      <c r="H371" s="398" t="n">
        <f aca="false">H370+acc_z*pas</f>
        <v>-37.2844221289839</v>
      </c>
      <c r="I371" s="397" t="n">
        <f aca="false">SQRT(vit_x^2+vit_z^2)</f>
        <v>42.7016883947022</v>
      </c>
      <c r="J371" s="396" t="n">
        <f aca="false">J370+0.5*(vit_x+G370)*pas*(K370&gt;=0)</f>
        <v>470.106321972084</v>
      </c>
      <c r="K371" s="398" t="n">
        <f aca="false">K370+0.5*(vit_z+H370)*pas</f>
        <v>1116.74311653772</v>
      </c>
      <c r="L371" s="397" t="n">
        <f aca="false">SQRT(pos_x^2+pos_z^2)</f>
        <v>1211.65801375326</v>
      </c>
      <c r="M371" s="396" t="n">
        <f aca="false">IF(AND(L370&gt;L_rampe,G371&gt;0),ATAN2(G371,H371),$M$4)</f>
        <v>-1.06160080643555</v>
      </c>
      <c r="N371" s="397" t="n">
        <f aca="false">DEGREES(Beta)</f>
        <v>-60.8252457364418</v>
      </c>
      <c r="P371" s="399" t="n">
        <f aca="false">MATCH(t-pas/2-T_ini,CdP_t)</f>
        <v>23</v>
      </c>
      <c r="Q371" s="397" t="n">
        <f aca="false">(INDEX(CdP,2,i_P+1)-INDEX(CdP,2,i_P+0))/(INDEX(CdP,1,i_P+1)-INDEX(CdP,1,i_P+0))*(t-pas/2-T_ini-INDEX(CdP,1,i_P+0))+INDEX(CdP,2,i_P+0)</f>
        <v>0</v>
      </c>
      <c r="R371" s="396" t="n">
        <f aca="false">Poussee/(g*ISP)</f>
        <v>0</v>
      </c>
      <c r="S371" s="398" t="n">
        <f aca="false">S370-Débit*pas</f>
        <v>8.45</v>
      </c>
      <c r="T371" s="397" t="n">
        <f aca="false">m*g</f>
        <v>82.8945</v>
      </c>
      <c r="U371" s="400" t="n">
        <f aca="false">IF(pos_xz&lt;L_rampe,Poids*COS(Beta),0)</f>
        <v>0</v>
      </c>
      <c r="V371" s="396" t="n">
        <f aca="false">Rho_moyen*(20000-Alt_rampe-pos_z)/(20000+Alt_rampe+pos_z)</f>
        <v>1.09543358815239</v>
      </c>
      <c r="W371" s="397" t="n">
        <f aca="false">1/2*Rho*Sref*Cx*vit_xz^2</f>
        <v>7.51629287288454</v>
      </c>
      <c r="Y371" s="401" t="str">
        <f aca="false">IF(AND(pos_z&lt;=0,K370&gt;0),"Impact balistique","") &amp; IF(AND(H372&lt;0,vit_z&gt;=0),"Apogée","") &amp; IF(AND(Poussee=0,Q370&gt;0),"Fin de propulsion","") &amp; IF(AND(L372&gt;L_rampe,pos_xz&lt;=L_rampe),"Sortie de rampe","")</f>
        <v/>
      </c>
      <c r="Z371" s="402" t="str">
        <f aca="false">IF(ABS(t-T_para)&lt;pas/2,"Para","")</f>
        <v/>
      </c>
      <c r="AA371" s="403" t="str">
        <f aca="false">IF(ABS(t-T_satellite)&lt;pas/2,"Satellite","")</f>
        <v/>
      </c>
      <c r="AC371" s="399" t="e">
        <f aca="false">IF(ABS(t-ROUND(t,0))&lt;0.001,t,NA())</f>
        <v>#N/A</v>
      </c>
      <c r="AD371" s="404" t="e">
        <f aca="false">IF(ABS(t-ROUND(t,0))&lt;0.001,pos_x,NA())</f>
        <v>#N/A</v>
      </c>
      <c r="AE371" s="405" t="e">
        <f aca="false">IF(t&lt;T_para, pos_z, NA())</f>
        <v>#N/A</v>
      </c>
      <c r="AG371" s="396" t="n">
        <f aca="false">IF(AND(L370&lt;L_rampe,Poussee&lt;Poids*SIN(M370)),0,(-W370+Poussee)/m-Poids*SIN(M370)/m)</f>
        <v>7.65279246025286</v>
      </c>
      <c r="AH371" s="397" t="n">
        <f aca="false">IF(AND(L370&lt;L_rampe,Poussee&lt;Poids*SIN(M370)), g*SIN(M370), (-W370+Poussee)/m)</f>
        <v>-0.857474401414513</v>
      </c>
    </row>
    <row r="372" customFormat="false" ht="12.75" hidden="false" customHeight="false" outlineLevel="0" collapsed="false">
      <c r="A372" s="396" t="n">
        <f aca="false">IF(B371+0.01&lt;=T_ini+ROUNDUP(Temps_fin_propu,0), 0.01, IF(K371&gt;0, 0.1, 0.0001))</f>
        <v>0.1</v>
      </c>
      <c r="B372" s="397" t="n">
        <f aca="false">B371+pas</f>
        <v>18.8</v>
      </c>
      <c r="D372" s="396" t="n">
        <f aca="false">IF(AND(L371&lt;L_rampe,Poussee&lt;Poids*SIN(M371)),0,(-W371+Poussee)/m*COS(M371)-U371/m*SIN(M371))</f>
        <v>-0.43361002916483</v>
      </c>
      <c r="E372" s="398" t="n">
        <f aca="false">IF(AND(L371&lt;L_rampe,Poussee&lt;Poids*SIN(M371)),0,(-W371+Poussee)/m*SIN(M371)+U371/m*COS(M371)-Poids/m)</f>
        <v>-9.03334283275308</v>
      </c>
      <c r="F372" s="397" t="n">
        <f aca="false">SQRT(acc_x^2+acc_z^2)</f>
        <v>9.04374371548884</v>
      </c>
      <c r="G372" s="396" t="n">
        <f aca="false">G371+acc_x*pas</f>
        <v>20.7726438555087</v>
      </c>
      <c r="H372" s="398" t="n">
        <f aca="false">H371+acc_z*pas</f>
        <v>-38.1877564122592</v>
      </c>
      <c r="I372" s="397" t="n">
        <f aca="false">SQRT(vit_x^2+vit_z^2)</f>
        <v>43.4719159061324</v>
      </c>
      <c r="J372" s="396" t="n">
        <f aca="false">J371+0.5*(vit_x+G371)*pas*(K371&gt;=0)</f>
        <v>472.185754407781</v>
      </c>
      <c r="K372" s="398" t="n">
        <f aca="false">K371+0.5*(vit_z+H371)*pas</f>
        <v>1112.96950761066</v>
      </c>
      <c r="L372" s="397" t="n">
        <f aca="false">SQRT(pos_x^2+pos_z^2)</f>
        <v>1208.99152666045</v>
      </c>
      <c r="M372" s="396" t="n">
        <f aca="false">IF(AND(L371&gt;L_rampe,G372&gt;0),ATAN2(G372,H372),$M$4)</f>
        <v>-1.07260153172011</v>
      </c>
      <c r="N372" s="397" t="n">
        <f aca="false">DEGREES(Beta)</f>
        <v>-61.4555408668298</v>
      </c>
      <c r="P372" s="399" t="n">
        <f aca="false">MATCH(t-pas/2-T_ini,CdP_t)</f>
        <v>23</v>
      </c>
      <c r="Q372" s="397" t="n">
        <f aca="false">(INDEX(CdP,2,i_P+1)-INDEX(CdP,2,i_P+0))/(INDEX(CdP,1,i_P+1)-INDEX(CdP,1,i_P+0))*(t-pas/2-T_ini-INDEX(CdP,1,i_P+0))+INDEX(CdP,2,i_P+0)</f>
        <v>0</v>
      </c>
      <c r="R372" s="396" t="n">
        <f aca="false">Poussee/(g*ISP)</f>
        <v>0</v>
      </c>
      <c r="S372" s="398" t="n">
        <f aca="false">S371-Débit*pas</f>
        <v>8.45</v>
      </c>
      <c r="T372" s="397" t="n">
        <f aca="false">m*g</f>
        <v>82.8945</v>
      </c>
      <c r="U372" s="400" t="n">
        <f aca="false">IF(pos_xz&lt;L_rampe,Poids*COS(Beta),0)</f>
        <v>0</v>
      </c>
      <c r="V372" s="396" t="n">
        <f aca="false">Rho_moyen*(20000-Alt_rampe-pos_z)/(20000+Alt_rampe+pos_z)</f>
        <v>1.09584832890687</v>
      </c>
      <c r="W372" s="397" t="n">
        <f aca="false">1/2*Rho*Sref*Cx*vit_xz^2</f>
        <v>7.79283639151563</v>
      </c>
      <c r="Y372" s="401" t="str">
        <f aca="false">IF(AND(pos_z&lt;=0,K371&gt;0),"Impact balistique","") &amp; IF(AND(H373&lt;0,vit_z&gt;=0),"Apogée","") &amp; IF(AND(Poussee=0,Q371&gt;0),"Fin de propulsion","") &amp; IF(AND(L373&gt;L_rampe,pos_xz&lt;=L_rampe),"Sortie de rampe","")</f>
        <v/>
      </c>
      <c r="Z372" s="402" t="str">
        <f aca="false">IF(ABS(t-T_para)&lt;pas/2,"Para","")</f>
        <v/>
      </c>
      <c r="AA372" s="403" t="str">
        <f aca="false">IF(ABS(t-T_satellite)&lt;pas/2,"Satellite","")</f>
        <v/>
      </c>
      <c r="AC372" s="399" t="e">
        <f aca="false">IF(ABS(t-ROUND(t,0))&lt;0.001,t,NA())</f>
        <v>#N/A</v>
      </c>
      <c r="AD372" s="404" t="e">
        <f aca="false">IF(ABS(t-ROUND(t,0))&lt;0.001,pos_x,NA())</f>
        <v>#N/A</v>
      </c>
      <c r="AE372" s="405" t="e">
        <f aca="false">IF(t&lt;T_para, pos_z, NA())</f>
        <v>#N/A</v>
      </c>
      <c r="AG372" s="396" t="n">
        <f aca="false">IF(AND(L371&lt;L_rampe,Poussee&lt;Poids*SIN(M371)),0,(-W371+Poussee)/m-Poids*SIN(M371)/m)</f>
        <v>7.67597140208409</v>
      </c>
      <c r="AH372" s="397" t="n">
        <f aca="false">IF(AND(L371&lt;L_rampe,Poussee&lt;Poids*SIN(M371)), g*SIN(M371), (-W371+Poussee)/m)</f>
        <v>-0.889502115134265</v>
      </c>
    </row>
    <row r="373" customFormat="false" ht="12.75" hidden="false" customHeight="false" outlineLevel="0" collapsed="false">
      <c r="A373" s="396" t="n">
        <f aca="false">IF(B372+0.01&lt;=T_ini+ROUNDUP(Temps_fin_propu,0), 0.01, IF(K372&gt;0, 0.1, 0.0001))</f>
        <v>0.1</v>
      </c>
      <c r="B373" s="397" t="n">
        <f aca="false">B372+pas</f>
        <v>18.9</v>
      </c>
      <c r="D373" s="396" t="n">
        <f aca="false">IF(AND(L372&lt;L_rampe,Poussee&lt;Poids*SIN(M372)),0,(-W372+Poussee)/m*COS(M372)-U372/m*SIN(M372))</f>
        <v>-0.440678481009133</v>
      </c>
      <c r="E373" s="398" t="n">
        <f aca="false">IF(AND(L372&lt;L_rampe,Poussee&lt;Poids*SIN(M372)),0,(-W372+Poussee)/m*SIN(M372)+U372/m*COS(M372)-Poids/m)</f>
        <v>-8.99987093766409</v>
      </c>
      <c r="F373" s="397" t="n">
        <f aca="false">SQRT(acc_x^2+acc_z^2)</f>
        <v>9.01065338464615</v>
      </c>
      <c r="G373" s="396" t="n">
        <f aca="false">G372+acc_x*pas</f>
        <v>20.7285760074077</v>
      </c>
      <c r="H373" s="398" t="n">
        <f aca="false">H372+acc_z*pas</f>
        <v>-39.0877435060256</v>
      </c>
      <c r="I373" s="397" t="n">
        <f aca="false">SQRT(vit_x^2+vit_z^2)</f>
        <v>44.2439324166346</v>
      </c>
      <c r="J373" s="396" t="n">
        <f aca="false">J372+0.5*(vit_x+G372)*pas*(K372&gt;=0)</f>
        <v>474.260815400926</v>
      </c>
      <c r="K373" s="398" t="n">
        <f aca="false">K372+0.5*(vit_z+H372)*pas</f>
        <v>1109.10573261474</v>
      </c>
      <c r="L373" s="397" t="n">
        <f aca="false">SQRT(pos_x^2+pos_z^2)</f>
        <v>1206.24991073311</v>
      </c>
      <c r="M373" s="396" t="n">
        <f aca="false">IF(AND(L372&gt;L_rampe,G373&gt;0),ATAN2(G373,H373),$M$4)</f>
        <v>-1.0831966645763</v>
      </c>
      <c r="N373" s="397" t="n">
        <f aca="false">DEGREES(Beta)</f>
        <v>-62.0625972628699</v>
      </c>
      <c r="P373" s="399" t="n">
        <f aca="false">MATCH(t-pas/2-T_ini,CdP_t)</f>
        <v>23</v>
      </c>
      <c r="Q373" s="397" t="n">
        <f aca="false">(INDEX(CdP,2,i_P+1)-INDEX(CdP,2,i_P+0))/(INDEX(CdP,1,i_P+1)-INDEX(CdP,1,i_P+0))*(t-pas/2-T_ini-INDEX(CdP,1,i_P+0))+INDEX(CdP,2,i_P+0)</f>
        <v>0</v>
      </c>
      <c r="R373" s="396" t="n">
        <f aca="false">Poussee/(g*ISP)</f>
        <v>0</v>
      </c>
      <c r="S373" s="398" t="n">
        <f aca="false">S372-Débit*pas</f>
        <v>8.45</v>
      </c>
      <c r="T373" s="397" t="n">
        <f aca="false">m*g</f>
        <v>82.8945</v>
      </c>
      <c r="U373" s="400" t="n">
        <f aca="false">IF(pos_xz&lt;L_rampe,Poids*COS(Beta),0)</f>
        <v>0</v>
      </c>
      <c r="V373" s="396" t="n">
        <f aca="false">Rho_moyen*(20000-Alt_rampe-pos_z)/(20000+Alt_rampe+pos_z)</f>
        <v>1.09627313305804</v>
      </c>
      <c r="W373" s="397" t="n">
        <f aca="false">1/2*Rho*Sref*Cx*vit_xz^2</f>
        <v>8.07520875243574</v>
      </c>
      <c r="Y373" s="401" t="str">
        <f aca="false">IF(AND(pos_z&lt;=0,K372&gt;0),"Impact balistique","") &amp; IF(AND(H374&lt;0,vit_z&gt;=0),"Apogée","") &amp; IF(AND(Poussee=0,Q372&gt;0),"Fin de propulsion","") &amp; IF(AND(L374&gt;L_rampe,pos_xz&lt;=L_rampe),"Sortie de rampe","")</f>
        <v/>
      </c>
      <c r="Z373" s="402" t="str">
        <f aca="false">IF(ABS(t-T_para)&lt;pas/2,"Para","")</f>
        <v/>
      </c>
      <c r="AA373" s="403" t="str">
        <f aca="false">IF(ABS(t-T_satellite)&lt;pas/2,"Satellite","")</f>
        <v/>
      </c>
      <c r="AC373" s="399" t="e">
        <f aca="false">IF(ABS(t-ROUND(t,0))&lt;0.001,t,NA())</f>
        <v>#N/A</v>
      </c>
      <c r="AD373" s="404" t="e">
        <f aca="false">IF(ABS(t-ROUND(t,0))&lt;0.001,pos_x,NA())</f>
        <v>#N/A</v>
      </c>
      <c r="AE373" s="405" t="e">
        <f aca="false">IF(t&lt;T_para, pos_z, NA())</f>
        <v>#N/A</v>
      </c>
      <c r="AG373" s="396" t="n">
        <f aca="false">IF(AND(L372&lt;L_rampe,Poussee&lt;Poids*SIN(M372)),0,(-W372+Poussee)/m-Poids*SIN(M372)/m)</f>
        <v>7.69533191706664</v>
      </c>
      <c r="AH373" s="397" t="n">
        <f aca="false">IF(AND(L372&lt;L_rampe,Poussee&lt;Poids*SIN(M372)), g*SIN(M372), (-W372+Poussee)/m)</f>
        <v>-0.922229158759246</v>
      </c>
    </row>
    <row r="374" customFormat="false" ht="12.75" hidden="false" customHeight="false" outlineLevel="0" collapsed="false">
      <c r="A374" s="396" t="n">
        <f aca="false">IF(B373+0.01&lt;=T_ini+ROUNDUP(Temps_fin_propu,0), 0.01, IF(K373&gt;0, 0.1, 0.0001))</f>
        <v>0.1</v>
      </c>
      <c r="B374" s="397" t="n">
        <f aca="false">B373+pas</f>
        <v>19</v>
      </c>
      <c r="D374" s="396" t="n">
        <f aca="false">IF(AND(L373&lt;L_rampe,Poussee&lt;Poids*SIN(M373)),0,(-W373+Poussee)/m*COS(M373)-U373/m*SIN(M373))</f>
        <v>-0.447726497031643</v>
      </c>
      <c r="E374" s="398" t="n">
        <f aca="false">IF(AND(L373&lt;L_rampe,Poussee&lt;Poids*SIN(M373)),0,(-W373+Poussee)/m*SIN(M373)+U373/m*COS(M373)-Poids/m)</f>
        <v>-8.96572500153556</v>
      </c>
      <c r="F374" s="397" t="n">
        <f aca="false">SQRT(acc_x^2+acc_z^2)</f>
        <v>8.97689722673174</v>
      </c>
      <c r="G374" s="396" t="n">
        <f aca="false">G373+acc_x*pas</f>
        <v>20.6838033577046</v>
      </c>
      <c r="H374" s="398" t="n">
        <f aca="false">H373+acc_z*pas</f>
        <v>-39.9843160061792</v>
      </c>
      <c r="I374" s="397" t="n">
        <f aca="false">SQRT(vit_x^2+vit_z^2)</f>
        <v>45.0173882829978</v>
      </c>
      <c r="J374" s="396" t="n">
        <f aca="false">J373+0.5*(vit_x+G373)*pas*(K373&gt;=0)</f>
        <v>476.331434369182</v>
      </c>
      <c r="K374" s="398" t="n">
        <f aca="false">K373+0.5*(vit_z+H373)*pas</f>
        <v>1105.15212963913</v>
      </c>
      <c r="L374" s="397" t="n">
        <f aca="false">SQRT(pos_x^2+pos_z^2)</f>
        <v>1203.43378090118</v>
      </c>
      <c r="M374" s="396" t="n">
        <f aca="false">IF(AND(L373&gt;L_rampe,G374&gt;0),ATAN2(G374,H374),$M$4)</f>
        <v>-1.09340634163042</v>
      </c>
      <c r="N374" s="397" t="n">
        <f aca="false">DEGREES(Beta)</f>
        <v>-62.6475686682624</v>
      </c>
      <c r="P374" s="399" t="n">
        <f aca="false">MATCH(t-pas/2-T_ini,CdP_t)</f>
        <v>23</v>
      </c>
      <c r="Q374" s="397" t="n">
        <f aca="false">(INDEX(CdP,2,i_P+1)-INDEX(CdP,2,i_P+0))/(INDEX(CdP,1,i_P+1)-INDEX(CdP,1,i_P+0))*(t-pas/2-T_ini-INDEX(CdP,1,i_P+0))+INDEX(CdP,2,i_P+0)</f>
        <v>0</v>
      </c>
      <c r="R374" s="396" t="n">
        <f aca="false">Poussee/(g*ISP)</f>
        <v>0</v>
      </c>
      <c r="S374" s="398" t="n">
        <f aca="false">S373-Débit*pas</f>
        <v>8.45</v>
      </c>
      <c r="T374" s="397" t="n">
        <f aca="false">m*g</f>
        <v>82.8945</v>
      </c>
      <c r="U374" s="400" t="n">
        <f aca="false">IF(pos_xz&lt;L_rampe,Poids*COS(Beta),0)</f>
        <v>0</v>
      </c>
      <c r="V374" s="396" t="n">
        <f aca="false">Rho_moyen*(20000-Alt_rampe-pos_z)/(20000+Alt_rampe+pos_z)</f>
        <v>1.09670797438539</v>
      </c>
      <c r="W374" s="397" t="n">
        <f aca="false">1/2*Rho*Sref*Cx*vit_xz^2</f>
        <v>8.36332818233881</v>
      </c>
      <c r="Y374" s="401" t="str">
        <f aca="false">IF(AND(pos_z&lt;=0,K373&gt;0),"Impact balistique","") &amp; IF(AND(H375&lt;0,vit_z&gt;=0),"Apogée","") &amp; IF(AND(Poussee=0,Q373&gt;0),"Fin de propulsion","") &amp; IF(AND(L375&gt;L_rampe,pos_xz&lt;=L_rampe),"Sortie de rampe","")</f>
        <v/>
      </c>
      <c r="Z374" s="402" t="str">
        <f aca="false">IF(ABS(t-T_para)&lt;pas/2,"Para","")</f>
        <v/>
      </c>
      <c r="AA374" s="403" t="str">
        <f aca="false">IF(ABS(t-T_satellite)&lt;pas/2,"Satellite","")</f>
        <v/>
      </c>
      <c r="AC374" s="399" t="n">
        <f aca="false">IF(ABS(t-ROUND(t,0))&lt;0.001,t,NA())</f>
        <v>19</v>
      </c>
      <c r="AD374" s="404" t="n">
        <f aca="false">IF(ABS(t-ROUND(t,0))&lt;0.001,pos_x,NA())</f>
        <v>476.331434369182</v>
      </c>
      <c r="AE374" s="405" t="e">
        <f aca="false">IF(t&lt;T_para, pos_z, NA())</f>
        <v>#N/A</v>
      </c>
      <c r="AG374" s="396" t="n">
        <f aca="false">IF(AND(L373&lt;L_rampe,Poussee&lt;Poids*SIN(M373)),0,(-W373+Poussee)/m-Poids*SIN(M373)/m)</f>
        <v>7.71109636613271</v>
      </c>
      <c r="AH374" s="397" t="n">
        <f aca="false">IF(AND(L373&lt;L_rampe,Poussee&lt;Poids*SIN(M373)), g*SIN(M373), (-W373+Poussee)/m)</f>
        <v>-0.955646006205413</v>
      </c>
    </row>
    <row r="375" customFormat="false" ht="12.75" hidden="false" customHeight="false" outlineLevel="0" collapsed="false">
      <c r="A375" s="396" t="n">
        <f aca="false">IF(B374+0.01&lt;=T_ini+ROUNDUP(Temps_fin_propu,0), 0.01, IF(K374&gt;0, 0.1, 0.0001))</f>
        <v>0.1</v>
      </c>
      <c r="B375" s="397" t="n">
        <f aca="false">B374+pas</f>
        <v>19.1</v>
      </c>
      <c r="D375" s="396" t="n">
        <f aca="false">IF(AND(L374&lt;L_rampe,Poussee&lt;Poids*SIN(M374)),0,(-W374+Poussee)/m*COS(M374)-U374/m*SIN(M374))</f>
        <v>-0.454749819060414</v>
      </c>
      <c r="E375" s="398" t="n">
        <f aca="false">IF(AND(L374&lt;L_rampe,Poussee&lt;Poids*SIN(M374)),0,(-W374+Poussee)/m*SIN(M374)+U374/m*COS(M374)-Poids/m)</f>
        <v>-8.93091310507014</v>
      </c>
      <c r="F375" s="397" t="n">
        <f aca="false">SQRT(acc_x^2+acc_z^2)</f>
        <v>8.94248322829006</v>
      </c>
      <c r="G375" s="396" t="n">
        <f aca="false">G374+acc_x*pas</f>
        <v>20.6383283757985</v>
      </c>
      <c r="H375" s="398" t="n">
        <f aca="false">H374+acc_z*pas</f>
        <v>-40.8774073166862</v>
      </c>
      <c r="I375" s="397" t="n">
        <f aca="false">SQRT(vit_x^2+vit_z^2)</f>
        <v>45.7919537373277</v>
      </c>
      <c r="J375" s="396" t="n">
        <f aca="false">J374+0.5*(vit_x+G374)*pas*(K374&gt;=0)</f>
        <v>478.397540955857</v>
      </c>
      <c r="K375" s="398" t="n">
        <f aca="false">K374+0.5*(vit_z+H374)*pas</f>
        <v>1101.10904347299</v>
      </c>
      <c r="L375" s="397" t="n">
        <f aca="false">SQRT(pos_x^2+pos_z^2)</f>
        <v>1200.54376547072</v>
      </c>
      <c r="M375" s="396" t="n">
        <f aca="false">IF(AND(L374&gt;L_rampe,G375&gt;0),ATAN2(G375,H375),$M$4)</f>
        <v>-1.10324955619155</v>
      </c>
      <c r="N375" s="397" t="n">
        <f aca="false">DEGREES(Beta)</f>
        <v>-63.2115433194572</v>
      </c>
      <c r="P375" s="399" t="n">
        <f aca="false">MATCH(t-pas/2-T_ini,CdP_t)</f>
        <v>23</v>
      </c>
      <c r="Q375" s="397" t="n">
        <f aca="false">(INDEX(CdP,2,i_P+1)-INDEX(CdP,2,i_P+0))/(INDEX(CdP,1,i_P+1)-INDEX(CdP,1,i_P+0))*(t-pas/2-T_ini-INDEX(CdP,1,i_P+0))+INDEX(CdP,2,i_P+0)</f>
        <v>0</v>
      </c>
      <c r="R375" s="396" t="n">
        <f aca="false">Poussee/(g*ISP)</f>
        <v>0</v>
      </c>
      <c r="S375" s="398" t="n">
        <f aca="false">S374-Débit*pas</f>
        <v>8.45</v>
      </c>
      <c r="T375" s="397" t="n">
        <f aca="false">m*g</f>
        <v>82.8945</v>
      </c>
      <c r="U375" s="400" t="n">
        <f aca="false">IF(pos_xz&lt;L_rampe,Poids*COS(Beta),0)</f>
        <v>0</v>
      </c>
      <c r="V375" s="396" t="n">
        <f aca="false">Rho_moyen*(20000-Alt_rampe-pos_z)/(20000+Alt_rampe+pos_z)</f>
        <v>1.09715282614052</v>
      </c>
      <c r="W375" s="397" t="n">
        <f aca="false">1/2*Rho*Sref*Cx*vit_xz^2</f>
        <v>8.65711166990666</v>
      </c>
      <c r="Y375" s="401" t="str">
        <f aca="false">IF(AND(pos_z&lt;=0,K374&gt;0),"Impact balistique","") &amp; IF(AND(H376&lt;0,vit_z&gt;=0),"Apogée","") &amp; IF(AND(Poussee=0,Q374&gt;0),"Fin de propulsion","") &amp; IF(AND(L376&gt;L_rampe,pos_xz&lt;=L_rampe),"Sortie de rampe","")</f>
        <v/>
      </c>
      <c r="Z375" s="402" t="str">
        <f aca="false">IF(ABS(t-T_para)&lt;pas/2,"Para","")</f>
        <v/>
      </c>
      <c r="AA375" s="403" t="str">
        <f aca="false">IF(ABS(t-T_satellite)&lt;pas/2,"Satellite","")</f>
        <v/>
      </c>
      <c r="AC375" s="399" t="e">
        <f aca="false">IF(ABS(t-ROUND(t,0))&lt;0.001,t,NA())</f>
        <v>#N/A</v>
      </c>
      <c r="AD375" s="404" t="e">
        <f aca="false">IF(ABS(t-ROUND(t,0))&lt;0.001,pos_x,NA())</f>
        <v>#N/A</v>
      </c>
      <c r="AE375" s="405" t="e">
        <f aca="false">IF(t&lt;T_para, pos_z, NA())</f>
        <v>#N/A</v>
      </c>
      <c r="AG375" s="396" t="n">
        <f aca="false">IF(AND(L374&lt;L_rampe,Poussee&lt;Poids*SIN(M374)),0,(-W374+Poussee)/m-Poids*SIN(M374)/m)</f>
        <v>7.72347106848422</v>
      </c>
      <c r="AH375" s="397" t="n">
        <f aca="false">IF(AND(L374&lt;L_rampe,Poussee&lt;Poids*SIN(M374)), g*SIN(M374), (-W374+Poussee)/m)</f>
        <v>-0.989742980158439</v>
      </c>
    </row>
    <row r="376" customFormat="false" ht="12.75" hidden="false" customHeight="false" outlineLevel="0" collapsed="false">
      <c r="A376" s="396" t="n">
        <f aca="false">IF(B375+0.01&lt;=T_ini+ROUNDUP(Temps_fin_propu,0), 0.01, IF(K375&gt;0, 0.1, 0.0001))</f>
        <v>0.1</v>
      </c>
      <c r="B376" s="397" t="n">
        <f aca="false">B375+pas</f>
        <v>19.2</v>
      </c>
      <c r="D376" s="396" t="n">
        <f aca="false">IF(AND(L375&lt;L_rampe,Poussee&lt;Poids*SIN(M375)),0,(-W375+Poussee)/m*COS(M375)-U375/m*SIN(M375))</f>
        <v>-0.461744419671833</v>
      </c>
      <c r="E376" s="398" t="n">
        <f aca="false">IF(AND(L375&lt;L_rampe,Poussee&lt;Poids*SIN(M375)),0,(-W375+Poussee)/m*SIN(M375)+U375/m*COS(M375)-Poids/m)</f>
        <v>-8.89544362821235</v>
      </c>
      <c r="F376" s="397" t="n">
        <f aca="false">SQRT(acc_x^2+acc_z^2)</f>
        <v>8.90741967417062</v>
      </c>
      <c r="G376" s="396" t="n">
        <f aca="false">G375+acc_x*pas</f>
        <v>20.5921539338314</v>
      </c>
      <c r="H376" s="398" t="n">
        <f aca="false">H375+acc_z*pas</f>
        <v>-41.7669516795074</v>
      </c>
      <c r="I376" s="397" t="n">
        <f aca="false">SQRT(vit_x^2+vit_z^2)</f>
        <v>46.5673174687238</v>
      </c>
      <c r="J376" s="396" t="n">
        <f aca="false">J375+0.5*(vit_x+G375)*pas*(K375&gt;=0)</f>
        <v>480.459065071339</v>
      </c>
      <c r="K376" s="398" t="n">
        <f aca="false">K375+0.5*(vit_z+H375)*pas</f>
        <v>1096.97682552318</v>
      </c>
      <c r="L376" s="397" t="n">
        <f aca="false">SQRT(pos_x^2+pos_z^2)</f>
        <v>1197.58050624755</v>
      </c>
      <c r="M376" s="396" t="n">
        <f aca="false">IF(AND(L375&gt;L_rampe,G376&gt;0),ATAN2(G376,H376),$M$4)</f>
        <v>-1.11274422141909</v>
      </c>
      <c r="N376" s="397" t="n">
        <f aca="false">DEGREES(Beta)</f>
        <v>-63.7555475648844</v>
      </c>
      <c r="P376" s="399" t="n">
        <f aca="false">MATCH(t-pas/2-T_ini,CdP_t)</f>
        <v>23</v>
      </c>
      <c r="Q376" s="397" t="n">
        <f aca="false">(INDEX(CdP,2,i_P+1)-INDEX(CdP,2,i_P+0))/(INDEX(CdP,1,i_P+1)-INDEX(CdP,1,i_P+0))*(t-pas/2-T_ini-INDEX(CdP,1,i_P+0))+INDEX(CdP,2,i_P+0)</f>
        <v>0</v>
      </c>
      <c r="R376" s="396" t="n">
        <f aca="false">Poussee/(g*ISP)</f>
        <v>0</v>
      </c>
      <c r="S376" s="398" t="n">
        <f aca="false">S375-Débit*pas</f>
        <v>8.45</v>
      </c>
      <c r="T376" s="397" t="n">
        <f aca="false">m*g</f>
        <v>82.8945</v>
      </c>
      <c r="U376" s="400" t="n">
        <f aca="false">IF(pos_xz&lt;L_rampe,Poids*COS(Beta),0)</f>
        <v>0</v>
      </c>
      <c r="V376" s="396" t="n">
        <f aca="false">Rho_moyen*(20000-Alt_rampe-pos_z)/(20000+Alt_rampe+pos_z)</f>
        <v>1.09760766105216</v>
      </c>
      <c r="W376" s="397" t="n">
        <f aca="false">1/2*Rho*Sref*Cx*vit_xz^2</f>
        <v>8.9564750066436</v>
      </c>
      <c r="Y376" s="401" t="str">
        <f aca="false">IF(AND(pos_z&lt;=0,K375&gt;0),"Impact balistique","") &amp; IF(AND(H377&lt;0,vit_z&gt;=0),"Apogée","") &amp; IF(AND(Poussee=0,Q375&gt;0),"Fin de propulsion","") &amp; IF(AND(L377&gt;L_rampe,pos_xz&lt;=L_rampe),"Sortie de rampe","")</f>
        <v/>
      </c>
      <c r="Z376" s="402" t="str">
        <f aca="false">IF(ABS(t-T_para)&lt;pas/2,"Para","")</f>
        <v/>
      </c>
      <c r="AA376" s="403" t="str">
        <f aca="false">IF(ABS(t-T_satellite)&lt;pas/2,"Satellite","")</f>
        <v/>
      </c>
      <c r="AC376" s="399" t="e">
        <f aca="false">IF(ABS(t-ROUND(t,0))&lt;0.001,t,NA())</f>
        <v>#N/A</v>
      </c>
      <c r="AD376" s="404" t="e">
        <f aca="false">IF(ABS(t-ROUND(t,0))&lt;0.001,pos_x,NA())</f>
        <v>#N/A</v>
      </c>
      <c r="AE376" s="405" t="e">
        <f aca="false">IF(t&lt;T_para, pos_z, NA())</f>
        <v>#N/A</v>
      </c>
      <c r="AG376" s="396" t="n">
        <f aca="false">IF(AND(L375&lt;L_rampe,Poussee&lt;Poids*SIN(M375)),0,(-W375+Poussee)/m-Poids*SIN(M375)/m)</f>
        <v>7.73264756348527</v>
      </c>
      <c r="AH376" s="397" t="n">
        <f aca="false">IF(AND(L375&lt;L_rampe,Poussee&lt;Poids*SIN(M375)), g*SIN(M375), (-W375+Poussee)/m)</f>
        <v>-1.02451025679369</v>
      </c>
    </row>
    <row r="377" customFormat="false" ht="12.75" hidden="false" customHeight="false" outlineLevel="0" collapsed="false">
      <c r="A377" s="396" t="n">
        <f aca="false">IF(B376+0.01&lt;=T_ini+ROUNDUP(Temps_fin_propu,0), 0.01, IF(K376&gt;0, 0.1, 0.0001))</f>
        <v>0.1</v>
      </c>
      <c r="B377" s="397" t="n">
        <f aca="false">B376+pas</f>
        <v>19.3</v>
      </c>
      <c r="D377" s="396" t="n">
        <f aca="false">IF(AND(L376&lt;L_rampe,Poussee&lt;Poids*SIN(M376)),0,(-W376+Poussee)/m*COS(M376)-U376/m*SIN(M376))</f>
        <v>-0.468706487259682</v>
      </c>
      <c r="E377" s="398" t="n">
        <f aca="false">IF(AND(L376&lt;L_rampe,Poussee&lt;Poids*SIN(M376)),0,(-W376+Poussee)/m*SIN(M376)+U376/m*COS(M376)-Poids/m)</f>
        <v>-8.85932522998072</v>
      </c>
      <c r="F377" s="397" t="n">
        <f aca="false">SQRT(acc_x^2+acc_z^2)</f>
        <v>8.87171512740193</v>
      </c>
      <c r="G377" s="396" t="n">
        <f aca="false">G376+acc_x*pas</f>
        <v>20.5452832851054</v>
      </c>
      <c r="H377" s="398" t="n">
        <f aca="false">H376+acc_z*pas</f>
        <v>-42.6528842025055</v>
      </c>
      <c r="I377" s="397" t="n">
        <f aca="false">SQRT(vit_x^2+vit_z^2)</f>
        <v>47.3431853180325</v>
      </c>
      <c r="J377" s="396" t="n">
        <f aca="false">J376+0.5*(vit_x+G376)*pas*(K376&gt;=0)</f>
        <v>482.515936932286</v>
      </c>
      <c r="K377" s="398" t="n">
        <f aca="false">K376+0.5*(vit_z+H376)*pas</f>
        <v>1092.75583372908</v>
      </c>
      <c r="L377" s="397" t="n">
        <f aca="false">SQRT(pos_x^2+pos_z^2)</f>
        <v>1194.54465866395</v>
      </c>
      <c r="M377" s="396" t="n">
        <f aca="false">IF(AND(L376&gt;L_rampe,G377&gt;0),ATAN2(G377,H377),$M$4)</f>
        <v>-1.1219072315197</v>
      </c>
      <c r="N377" s="397" t="n">
        <f aca="false">DEGREES(Beta)</f>
        <v>-64.2805493712852</v>
      </c>
      <c r="P377" s="399" t="n">
        <f aca="false">MATCH(t-pas/2-T_ini,CdP_t)</f>
        <v>23</v>
      </c>
      <c r="Q377" s="397" t="n">
        <f aca="false">(INDEX(CdP,2,i_P+1)-INDEX(CdP,2,i_P+0))/(INDEX(CdP,1,i_P+1)-INDEX(CdP,1,i_P+0))*(t-pas/2-T_ini-INDEX(CdP,1,i_P+0))+INDEX(CdP,2,i_P+0)</f>
        <v>0</v>
      </c>
      <c r="R377" s="396" t="n">
        <f aca="false">Poussee/(g*ISP)</f>
        <v>0</v>
      </c>
      <c r="S377" s="398" t="n">
        <f aca="false">S376-Débit*pas</f>
        <v>8.45</v>
      </c>
      <c r="T377" s="397" t="n">
        <f aca="false">m*g</f>
        <v>82.8945</v>
      </c>
      <c r="U377" s="400" t="n">
        <f aca="false">IF(pos_xz&lt;L_rampe,Poids*COS(Beta),0)</f>
        <v>0</v>
      </c>
      <c r="V377" s="396" t="n">
        <f aca="false">Rho_moyen*(20000-Alt_rampe-pos_z)/(20000+Alt_rampe+pos_z)</f>
        <v>1.0980724513316</v>
      </c>
      <c r="W377" s="397" t="n">
        <f aca="false">1/2*Rho*Sref*Cx*vit_xz^2</f>
        <v>9.26133282857137</v>
      </c>
      <c r="Y377" s="401" t="str">
        <f aca="false">IF(AND(pos_z&lt;=0,K376&gt;0),"Impact balistique","") &amp; IF(AND(H378&lt;0,vit_z&gt;=0),"Apogée","") &amp; IF(AND(Poussee=0,Q376&gt;0),"Fin de propulsion","") &amp; IF(AND(L378&gt;L_rampe,pos_xz&lt;=L_rampe),"Sortie de rampe","")</f>
        <v/>
      </c>
      <c r="Z377" s="402" t="str">
        <f aca="false">IF(ABS(t-T_para)&lt;pas/2,"Para","")</f>
        <v/>
      </c>
      <c r="AA377" s="403" t="str">
        <f aca="false">IF(ABS(t-T_satellite)&lt;pas/2,"Satellite","")</f>
        <v/>
      </c>
      <c r="AC377" s="399" t="e">
        <f aca="false">IF(ABS(t-ROUND(t,0))&lt;0.001,t,NA())</f>
        <v>#N/A</v>
      </c>
      <c r="AD377" s="404" t="e">
        <f aca="false">IF(ABS(t-ROUND(t,0))&lt;0.001,pos_x,NA())</f>
        <v>#N/A</v>
      </c>
      <c r="AE377" s="405" t="e">
        <f aca="false">IF(t&lt;T_para, pos_z, NA())</f>
        <v>#N/A</v>
      </c>
      <c r="AG377" s="396" t="n">
        <f aca="false">IF(AND(L376&lt;L_rampe,Poussee&lt;Poids*SIN(M376)),0,(-W376+Poussee)/m-Poids*SIN(M376)/m)</f>
        <v>7.73880378444064</v>
      </c>
      <c r="AH377" s="397" t="n">
        <f aca="false">IF(AND(L376&lt;L_rampe,Poussee&lt;Poids*SIN(M376)), g*SIN(M376), (-W376+Poussee)/m)</f>
        <v>-1.05993787060871</v>
      </c>
    </row>
    <row r="378" customFormat="false" ht="12.75" hidden="false" customHeight="false" outlineLevel="0" collapsed="false">
      <c r="A378" s="396" t="n">
        <f aca="false">IF(B377+0.01&lt;=T_ini+ROUNDUP(Temps_fin_propu,0), 0.01, IF(K377&gt;0, 0.1, 0.0001))</f>
        <v>0.1</v>
      </c>
      <c r="B378" s="397" t="n">
        <f aca="false">B377+pas</f>
        <v>19.4</v>
      </c>
      <c r="D378" s="396" t="n">
        <f aca="false">IF(AND(L377&lt;L_rampe,Poussee&lt;Poids*SIN(M377)),0,(-W377+Poussee)/m*COS(M377)-U377/m*SIN(M377))</f>
        <v>-0.475632412307347</v>
      </c>
      <c r="E378" s="398" t="n">
        <f aca="false">IF(AND(L377&lt;L_rampe,Poussee&lt;Poids*SIN(M377)),0,(-W377+Poussee)/m*SIN(M377)+U377/m*COS(M377)-Poids/m)</f>
        <v>-8.82256682988591</v>
      </c>
      <c r="F378" s="397" t="n">
        <f aca="false">SQRT(acc_x^2+acc_z^2)</f>
        <v>8.83537841065341</v>
      </c>
      <c r="G378" s="396" t="n">
        <f aca="false">G377+acc_x*pas</f>
        <v>20.4977200438747</v>
      </c>
      <c r="H378" s="398" t="n">
        <f aca="false">H377+acc_z*pas</f>
        <v>-43.5351408854941</v>
      </c>
      <c r="I378" s="397" t="n">
        <f aca="false">SQRT(vit_x^2+vit_z^2)</f>
        <v>48.1192790772771</v>
      </c>
      <c r="J378" s="396" t="n">
        <f aca="false">J377+0.5*(vit_x+G377)*pas*(K377&gt;=0)</f>
        <v>484.568087098735</v>
      </c>
      <c r="K378" s="398" t="n">
        <f aca="false">K377+0.5*(vit_z+H377)*pas</f>
        <v>1088.44643247468</v>
      </c>
      <c r="L378" s="397" t="n">
        <f aca="false">SQRT(pos_x^2+pos_z^2)</f>
        <v>1191.43689190884</v>
      </c>
      <c r="M378" s="396" t="n">
        <f aca="false">IF(AND(L377&gt;L_rampe,G378&gt;0),ATAN2(G378,H378),$M$4)</f>
        <v>-1.13075452064959</v>
      </c>
      <c r="N378" s="397" t="n">
        <f aca="false">DEGREES(Beta)</f>
        <v>-64.7874616985601</v>
      </c>
      <c r="P378" s="399" t="n">
        <f aca="false">MATCH(t-pas/2-T_ini,CdP_t)</f>
        <v>23</v>
      </c>
      <c r="Q378" s="397" t="n">
        <f aca="false">(INDEX(CdP,2,i_P+1)-INDEX(CdP,2,i_P+0))/(INDEX(CdP,1,i_P+1)-INDEX(CdP,1,i_P+0))*(t-pas/2-T_ini-INDEX(CdP,1,i_P+0))+INDEX(CdP,2,i_P+0)</f>
        <v>0</v>
      </c>
      <c r="R378" s="396" t="n">
        <f aca="false">Poussee/(g*ISP)</f>
        <v>0</v>
      </c>
      <c r="S378" s="398" t="n">
        <f aca="false">S377-Débit*pas</f>
        <v>8.45</v>
      </c>
      <c r="T378" s="397" t="n">
        <f aca="false">m*g</f>
        <v>82.8945</v>
      </c>
      <c r="U378" s="400" t="n">
        <f aca="false">IF(pos_xz&lt;L_rampe,Poids*COS(Beta),0)</f>
        <v>0</v>
      </c>
      <c r="V378" s="396" t="n">
        <f aca="false">Rho_moyen*(20000-Alt_rampe-pos_z)/(20000+Alt_rampe+pos_z)</f>
        <v>1.09854716867827</v>
      </c>
      <c r="W378" s="397" t="n">
        <f aca="false">1/2*Rho*Sref*Cx*vit_xz^2</f>
        <v>9.57159865869919</v>
      </c>
      <c r="Y378" s="401" t="str">
        <f aca="false">IF(AND(pos_z&lt;=0,K377&gt;0),"Impact balistique","") &amp; IF(AND(H379&lt;0,vit_z&gt;=0),"Apogée","") &amp; IF(AND(Poussee=0,Q377&gt;0),"Fin de propulsion","") &amp; IF(AND(L379&gt;L_rampe,pos_xz&lt;=L_rampe),"Sortie de rampe","")</f>
        <v/>
      </c>
      <c r="Z378" s="402" t="str">
        <f aca="false">IF(ABS(t-T_para)&lt;pas/2,"Para","")</f>
        <v/>
      </c>
      <c r="AA378" s="403" t="str">
        <f aca="false">IF(ABS(t-T_satellite)&lt;pas/2,"Satellite","")</f>
        <v/>
      </c>
      <c r="AC378" s="399" t="e">
        <f aca="false">IF(ABS(t-ROUND(t,0))&lt;0.001,t,NA())</f>
        <v>#N/A</v>
      </c>
      <c r="AD378" s="404" t="e">
        <f aca="false">IF(ABS(t-ROUND(t,0))&lt;0.001,pos_x,NA())</f>
        <v>#N/A</v>
      </c>
      <c r="AE378" s="405" t="e">
        <f aca="false">IF(t&lt;T_para, pos_z, NA())</f>
        <v>#N/A</v>
      </c>
      <c r="AG378" s="396" t="n">
        <f aca="false">IF(AND(L377&lt;L_rampe,Poussee&lt;Poids*SIN(M377)),0,(-W377+Poussee)/m-Poids*SIN(M377)/m)</f>
        <v>7.74210514673476</v>
      </c>
      <c r="AH378" s="397" t="n">
        <f aca="false">IF(AND(L377&lt;L_rampe,Poussee&lt;Poids*SIN(M377)), g*SIN(M377), (-W377+Poussee)/m)</f>
        <v>-1.09601571935756</v>
      </c>
    </row>
    <row r="379" customFormat="false" ht="12.75" hidden="false" customHeight="false" outlineLevel="0" collapsed="false">
      <c r="A379" s="396" t="n">
        <f aca="false">IF(B378+0.01&lt;=T_ini+ROUNDUP(Temps_fin_propu,0), 0.01, IF(K378&gt;0, 0.1, 0.0001))</f>
        <v>0.1</v>
      </c>
      <c r="B379" s="397" t="n">
        <f aca="false">B378+pas</f>
        <v>19.5</v>
      </c>
      <c r="D379" s="396" t="n">
        <f aca="false">IF(AND(L378&lt;L_rampe,Poussee&lt;Poids*SIN(M378)),0,(-W378+Poussee)/m*COS(M378)-U378/m*SIN(M378))</f>
        <v>-0.482518774771087</v>
      </c>
      <c r="E379" s="398" t="n">
        <f aca="false">IF(AND(L378&lt;L_rampe,Poussee&lt;Poids*SIN(M378)),0,(-W378+Poussee)/m*SIN(M378)+U378/m*COS(M378)-Poids/m)</f>
        <v>-8.78517759074709</v>
      </c>
      <c r="F379" s="397" t="n">
        <f aca="false">SQRT(acc_x^2+acc_z^2)</f>
        <v>8.79841858909722</v>
      </c>
      <c r="G379" s="396" t="n">
        <f aca="false">G378+acc_x*pas</f>
        <v>20.4494681663975</v>
      </c>
      <c r="H379" s="398" t="n">
        <f aca="false">H378+acc_z*pas</f>
        <v>-44.4136586445688</v>
      </c>
      <c r="I379" s="397" t="n">
        <f aca="false">SQRT(vit_x^2+vit_z^2)</f>
        <v>48.8953353857481</v>
      </c>
      <c r="J379" s="396" t="n">
        <f aca="false">J378+0.5*(vit_x+G378)*pas*(K378&gt;=0)</f>
        <v>486.615446509248</v>
      </c>
      <c r="K379" s="398" t="n">
        <f aca="false">K378+0.5*(vit_z+H378)*pas</f>
        <v>1084.04899249818</v>
      </c>
      <c r="L379" s="397" t="n">
        <f aca="false">SQRT(pos_x^2+pos_z^2)</f>
        <v>1188.25788906184</v>
      </c>
      <c r="M379" s="396" t="n">
        <f aca="false">IF(AND(L378&gt;L_rampe,G379&gt;0),ATAN2(G379,H379),$M$4)</f>
        <v>-1.13930111930715</v>
      </c>
      <c r="N379" s="397" t="n">
        <f aca="false">DEGREES(Beta)</f>
        <v>-65.2771457308304</v>
      </c>
      <c r="P379" s="399" t="n">
        <f aca="false">MATCH(t-pas/2-T_ini,CdP_t)</f>
        <v>23</v>
      </c>
      <c r="Q379" s="397" t="n">
        <f aca="false">(INDEX(CdP,2,i_P+1)-INDEX(CdP,2,i_P+0))/(INDEX(CdP,1,i_P+1)-INDEX(CdP,1,i_P+0))*(t-pas/2-T_ini-INDEX(CdP,1,i_P+0))+INDEX(CdP,2,i_P+0)</f>
        <v>0</v>
      </c>
      <c r="R379" s="396" t="n">
        <f aca="false">Poussee/(g*ISP)</f>
        <v>0</v>
      </c>
      <c r="S379" s="398" t="n">
        <f aca="false">S378-Débit*pas</f>
        <v>8.45</v>
      </c>
      <c r="T379" s="397" t="n">
        <f aca="false">m*g</f>
        <v>82.8945</v>
      </c>
      <c r="U379" s="400" t="n">
        <f aca="false">IF(pos_xz&lt;L_rampe,Poids*COS(Beta),0)</f>
        <v>0</v>
      </c>
      <c r="V379" s="396" t="n">
        <f aca="false">Rho_moyen*(20000-Alt_rampe-pos_z)/(20000+Alt_rampe+pos_z)</f>
        <v>1.09903178428557</v>
      </c>
      <c r="W379" s="397" t="n">
        <f aca="false">1/2*Rho*Sref*Cx*vit_xz^2</f>
        <v>9.88718495018907</v>
      </c>
      <c r="Y379" s="401" t="str">
        <f aca="false">IF(AND(pos_z&lt;=0,K378&gt;0),"Impact balistique","") &amp; IF(AND(H380&lt;0,vit_z&gt;=0),"Apogée","") &amp; IF(AND(Poussee=0,Q378&gt;0),"Fin de propulsion","") &amp; IF(AND(L380&gt;L_rampe,pos_xz&lt;=L_rampe),"Sortie de rampe","")</f>
        <v/>
      </c>
      <c r="Z379" s="402" t="str">
        <f aca="false">IF(ABS(t-T_para)&lt;pas/2,"Para","")</f>
        <v/>
      </c>
      <c r="AA379" s="403" t="str">
        <f aca="false">IF(ABS(t-T_satellite)&lt;pas/2,"Satellite","")</f>
        <v/>
      </c>
      <c r="AC379" s="399" t="e">
        <f aca="false">IF(ABS(t-ROUND(t,0))&lt;0.001,t,NA())</f>
        <v>#N/A</v>
      </c>
      <c r="AD379" s="404" t="e">
        <f aca="false">IF(ABS(t-ROUND(t,0))&lt;0.001,pos_x,NA())</f>
        <v>#N/A</v>
      </c>
      <c r="AE379" s="405" t="e">
        <f aca="false">IF(t&lt;T_para, pos_z, NA())</f>
        <v>#N/A</v>
      </c>
      <c r="AG379" s="396" t="n">
        <f aca="false">IF(AND(L378&lt;L_rampe,Poussee&lt;Poids*SIN(M378)),0,(-W378+Poussee)/m-Poids*SIN(M378)/m)</f>
        <v>7.74270555379176</v>
      </c>
      <c r="AH379" s="397" t="n">
        <f aca="false">IF(AND(L378&lt;L_rampe,Poussee&lt;Poids*SIN(M378)), g*SIN(M378), (-W378+Poussee)/m)</f>
        <v>-1.13273356907683</v>
      </c>
    </row>
    <row r="380" customFormat="false" ht="12.75" hidden="false" customHeight="false" outlineLevel="0" collapsed="false">
      <c r="A380" s="396" t="n">
        <f aca="false">IF(B379+0.01&lt;=T_ini+ROUNDUP(Temps_fin_propu,0), 0.01, IF(K379&gt;0, 0.1, 0.0001))</f>
        <v>0.1</v>
      </c>
      <c r="B380" s="397" t="n">
        <f aca="false">B379+pas</f>
        <v>19.6</v>
      </c>
      <c r="D380" s="396" t="n">
        <f aca="false">IF(AND(L379&lt;L_rampe,Poussee&lt;Poids*SIN(M379)),0,(-W379+Poussee)/m*COS(M379)-U379/m*SIN(M379))</f>
        <v>-0.489362332486755</v>
      </c>
      <c r="E380" s="398" t="n">
        <f aca="false">IF(AND(L379&lt;L_rampe,Poussee&lt;Poids*SIN(M379)),0,(-W379+Poussee)/m*SIN(M379)+U379/m*COS(M379)-Poids/m)</f>
        <v>-8.74716690274173</v>
      </c>
      <c r="F380" s="397" t="n">
        <f aca="false">SQRT(acc_x^2+acc_z^2)</f>
        <v>8.76084495450509</v>
      </c>
      <c r="G380" s="396" t="n">
        <f aca="false">G379+acc_x*pas</f>
        <v>20.4005319331489</v>
      </c>
      <c r="H380" s="398" t="n">
        <f aca="false">H379+acc_z*pas</f>
        <v>-45.288375334843</v>
      </c>
      <c r="I380" s="397" t="n">
        <f aca="false">SQRT(vit_x^2+vit_z^2)</f>
        <v>49.6711047151665</v>
      </c>
      <c r="J380" s="396" t="n">
        <f aca="false">J379+0.5*(vit_x+G379)*pas*(K379&gt;=0)</f>
        <v>488.657946514226</v>
      </c>
      <c r="K380" s="398" t="n">
        <f aca="false">K379+0.5*(vit_z+H379)*pas</f>
        <v>1079.56389079921</v>
      </c>
      <c r="L380" s="397" t="n">
        <f aca="false">SQRT(pos_x^2+pos_z^2)</f>
        <v>1185.00834723179</v>
      </c>
      <c r="M380" s="396" t="n">
        <f aca="false">IF(AND(L379&gt;L_rampe,G380&gt;0),ATAN2(G380,H380),$M$4)</f>
        <v>-1.14756120808755</v>
      </c>
      <c r="N380" s="397" t="n">
        <f aca="false">DEGREES(Beta)</f>
        <v>-65.7504139563504</v>
      </c>
      <c r="P380" s="399" t="n">
        <f aca="false">MATCH(t-pas/2-T_ini,CdP_t)</f>
        <v>23</v>
      </c>
      <c r="Q380" s="397" t="n">
        <f aca="false">(INDEX(CdP,2,i_P+1)-INDEX(CdP,2,i_P+0))/(INDEX(CdP,1,i_P+1)-INDEX(CdP,1,i_P+0))*(t-pas/2-T_ini-INDEX(CdP,1,i_P+0))+INDEX(CdP,2,i_P+0)</f>
        <v>0</v>
      </c>
      <c r="R380" s="396" t="n">
        <f aca="false">Poussee/(g*ISP)</f>
        <v>0</v>
      </c>
      <c r="S380" s="398" t="n">
        <f aca="false">S379-Débit*pas</f>
        <v>8.45</v>
      </c>
      <c r="T380" s="397" t="n">
        <f aca="false">m*g</f>
        <v>82.8945</v>
      </c>
      <c r="U380" s="400" t="n">
        <f aca="false">IF(pos_xz&lt;L_rampe,Poids*COS(Beta),0)</f>
        <v>0</v>
      </c>
      <c r="V380" s="396" t="n">
        <f aca="false">Rho_moyen*(20000-Alt_rampe-pos_z)/(20000+Alt_rampe+pos_z)</f>
        <v>1.09952626884693</v>
      </c>
      <c r="W380" s="397" t="n">
        <f aca="false">1/2*Rho*Sref*Cx*vit_xz^2</f>
        <v>10.2080031301402</v>
      </c>
      <c r="Y380" s="401" t="str">
        <f aca="false">IF(AND(pos_z&lt;=0,K379&gt;0),"Impact balistique","") &amp; IF(AND(H381&lt;0,vit_z&gt;=0),"Apogée","") &amp; IF(AND(Poussee=0,Q379&gt;0),"Fin de propulsion","") &amp; IF(AND(L381&gt;L_rampe,pos_xz&lt;=L_rampe),"Sortie de rampe","")</f>
        <v/>
      </c>
      <c r="Z380" s="402" t="str">
        <f aca="false">IF(ABS(t-T_para)&lt;pas/2,"Para","")</f>
        <v/>
      </c>
      <c r="AA380" s="403" t="str">
        <f aca="false">IF(ABS(t-T_satellite)&lt;pas/2,"Satellite","")</f>
        <v/>
      </c>
      <c r="AC380" s="399" t="e">
        <f aca="false">IF(ABS(t-ROUND(t,0))&lt;0.001,t,NA())</f>
        <v>#N/A</v>
      </c>
      <c r="AD380" s="404" t="e">
        <f aca="false">IF(ABS(t-ROUND(t,0))&lt;0.001,pos_x,NA())</f>
        <v>#N/A</v>
      </c>
      <c r="AE380" s="405" t="e">
        <f aca="false">IF(t&lt;T_para, pos_z, NA())</f>
        <v>#N/A</v>
      </c>
      <c r="AG380" s="396" t="n">
        <f aca="false">IF(AND(L379&lt;L_rampe,Poussee&lt;Poids*SIN(M379)),0,(-W379+Poussee)/m-Poids*SIN(M379)/m)</f>
        <v>7.74074832495657</v>
      </c>
      <c r="AH380" s="397" t="n">
        <f aca="false">IF(AND(L379&lt;L_rampe,Poussee&lt;Poids*SIN(M379)), g*SIN(M379), (-W379+Poussee)/m)</f>
        <v>-1.17008105919397</v>
      </c>
    </row>
    <row r="381" customFormat="false" ht="12.75" hidden="false" customHeight="false" outlineLevel="0" collapsed="false">
      <c r="A381" s="396" t="n">
        <f aca="false">IF(B380+0.01&lt;=T_ini+ROUNDUP(Temps_fin_propu,0), 0.01, IF(K380&gt;0, 0.1, 0.0001))</f>
        <v>0.1</v>
      </c>
      <c r="B381" s="397" t="n">
        <f aca="false">B380+pas</f>
        <v>19.7</v>
      </c>
      <c r="D381" s="396" t="n">
        <f aca="false">IF(AND(L380&lt;L_rampe,Poussee&lt;Poids*SIN(M380)),0,(-W380+Poussee)/m*COS(M380)-U380/m*SIN(M380))</f>
        <v>-0.496160010517297</v>
      </c>
      <c r="E381" s="398" t="n">
        <f aca="false">IF(AND(L380&lt;L_rampe,Poussee&lt;Poids*SIN(M380)),0,(-W380+Poussee)/m*SIN(M380)+U380/m*COS(M380)-Poids/m)</f>
        <v>-8.70854436854487</v>
      </c>
      <c r="F381" s="397" t="n">
        <f aca="false">SQRT(acc_x^2+acc_z^2)</f>
        <v>8.72266701043615</v>
      </c>
      <c r="G381" s="396" t="n">
        <f aca="false">G380+acc_x*pas</f>
        <v>20.3509159320971</v>
      </c>
      <c r="H381" s="398" t="n">
        <f aca="false">H380+acc_z*pas</f>
        <v>-46.1592297716974</v>
      </c>
      <c r="I381" s="397" t="n">
        <f aca="false">SQRT(vit_x^2+vit_z^2)</f>
        <v>50.4463504367922</v>
      </c>
      <c r="J381" s="396" t="n">
        <f aca="false">J380+0.5*(vit_x+G380)*pas*(K380&gt;=0)</f>
        <v>490.695518907488</v>
      </c>
      <c r="K381" s="398" t="n">
        <f aca="false">K380+0.5*(vit_z+H380)*pas</f>
        <v>1074.99151054388</v>
      </c>
      <c r="L381" s="397" t="n">
        <f aca="false">SQRT(pos_x^2+pos_z^2)</f>
        <v>1181.68897769984</v>
      </c>
      <c r="M381" s="396" t="n">
        <f aca="false">IF(AND(L380&gt;L_rampe,G381&gt;0),ATAN2(G381,H381),$M$4)</f>
        <v>-1.15554816873804</v>
      </c>
      <c r="N381" s="397" t="n">
        <f aca="false">DEGREES(Beta)</f>
        <v>-66.2080330927607</v>
      </c>
      <c r="P381" s="399" t="n">
        <f aca="false">MATCH(t-pas/2-T_ini,CdP_t)</f>
        <v>23</v>
      </c>
      <c r="Q381" s="397" t="n">
        <f aca="false">(INDEX(CdP,2,i_P+1)-INDEX(CdP,2,i_P+0))/(INDEX(CdP,1,i_P+1)-INDEX(CdP,1,i_P+0))*(t-pas/2-T_ini-INDEX(CdP,1,i_P+0))+INDEX(CdP,2,i_P+0)</f>
        <v>0</v>
      </c>
      <c r="R381" s="396" t="n">
        <f aca="false">Poussee/(g*ISP)</f>
        <v>0</v>
      </c>
      <c r="S381" s="398" t="n">
        <f aca="false">S380-Débit*pas</f>
        <v>8.45</v>
      </c>
      <c r="T381" s="397" t="n">
        <f aca="false">m*g</f>
        <v>82.8945</v>
      </c>
      <c r="U381" s="400" t="n">
        <f aca="false">IF(pos_xz&lt;L_rampe,Poids*COS(Beta),0)</f>
        <v>0</v>
      </c>
      <c r="V381" s="396" t="n">
        <f aca="false">Rho_moyen*(20000-Alt_rampe-pos_z)/(20000+Alt_rampe+pos_z)</f>
        <v>1.10003059256205</v>
      </c>
      <c r="W381" s="397" t="n">
        <f aca="false">1/2*Rho*Sref*Cx*vit_xz^2</f>
        <v>10.5339636439212</v>
      </c>
      <c r="Y381" s="401" t="str">
        <f aca="false">IF(AND(pos_z&lt;=0,K380&gt;0),"Impact balistique","") &amp; IF(AND(H382&lt;0,vit_z&gt;=0),"Apogée","") &amp; IF(AND(Poussee=0,Q380&gt;0),"Fin de propulsion","") &amp; IF(AND(L382&gt;L_rampe,pos_xz&lt;=L_rampe),"Sortie de rampe","")</f>
        <v/>
      </c>
      <c r="Z381" s="402" t="str">
        <f aca="false">IF(ABS(t-T_para)&lt;pas/2,"Para","")</f>
        <v/>
      </c>
      <c r="AA381" s="403" t="str">
        <f aca="false">IF(ABS(t-T_satellite)&lt;pas/2,"Satellite","")</f>
        <v/>
      </c>
      <c r="AC381" s="399" t="e">
        <f aca="false">IF(ABS(t-ROUND(t,0))&lt;0.001,t,NA())</f>
        <v>#N/A</v>
      </c>
      <c r="AD381" s="404" t="e">
        <f aca="false">IF(ABS(t-ROUND(t,0))&lt;0.001,pos_x,NA())</f>
        <v>#N/A</v>
      </c>
      <c r="AE381" s="405" t="e">
        <f aca="false">IF(t&lt;T_para, pos_z, NA())</f>
        <v>#N/A</v>
      </c>
      <c r="AG381" s="396" t="n">
        <f aca="false">IF(AND(L380&lt;L_rampe,Poussee&lt;Poids*SIN(M380)),0,(-W380+Poussee)/m-Poids*SIN(M380)/m)</f>
        <v>7.7363670497739</v>
      </c>
      <c r="AH381" s="397" t="n">
        <f aca="false">IF(AND(L380&lt;L_rampe,Poussee&lt;Poids*SIN(M380)), g*SIN(M380), (-W380+Poussee)/m)</f>
        <v>-1.2080477077089</v>
      </c>
    </row>
    <row r="382" customFormat="false" ht="12.75" hidden="false" customHeight="false" outlineLevel="0" collapsed="false">
      <c r="A382" s="396" t="n">
        <f aca="false">IF(B381+0.01&lt;=T_ini+ROUNDUP(Temps_fin_propu,0), 0.01, IF(K381&gt;0, 0.1, 0.0001))</f>
        <v>0.1</v>
      </c>
      <c r="B382" s="397" t="n">
        <f aca="false">B381+pas</f>
        <v>19.8</v>
      </c>
      <c r="D382" s="396" t="n">
        <f aca="false">IF(AND(L381&lt;L_rampe,Poussee&lt;Poids*SIN(M381)),0,(-W381+Poussee)/m*COS(M381)-U381/m*SIN(M381))</f>
        <v>-0.502908891363543</v>
      </c>
      <c r="E382" s="398" t="n">
        <f aca="false">IF(AND(L381&lt;L_rampe,Poussee&lt;Poids*SIN(M381)),0,(-W381+Poussee)/m*SIN(M381)+U381/m*COS(M381)-Poids/m)</f>
        <v>-8.66931978943184</v>
      </c>
      <c r="F382" s="397" t="n">
        <f aca="false">SQRT(acc_x^2+acc_z^2)</f>
        <v>8.68389445838946</v>
      </c>
      <c r="G382" s="396" t="n">
        <f aca="false">G381+acc_x*pas</f>
        <v>20.3006250429608</v>
      </c>
      <c r="H382" s="398" t="n">
        <f aca="false">H381+acc_z*pas</f>
        <v>-47.0261617506406</v>
      </c>
      <c r="I382" s="397" t="n">
        <f aca="false">SQRT(vit_x^2+vit_z^2)</f>
        <v>51.2208479638155</v>
      </c>
      <c r="J382" s="396" t="n">
        <f aca="false">J381+0.5*(vit_x+G381)*pas*(K381&gt;=0)</f>
        <v>492.728095956241</v>
      </c>
      <c r="K382" s="398" t="n">
        <f aca="false">K381+0.5*(vit_z+H381)*pas</f>
        <v>1070.33224096776</v>
      </c>
      <c r="L382" s="397" t="n">
        <f aca="false">SQRT(pos_x^2+pos_z^2)</f>
        <v>1178.30050606784</v>
      </c>
      <c r="M382" s="396" t="n">
        <f aca="false">IF(AND(L381&gt;L_rampe,G382&gt;0),ATAN2(G382,H382),$M$4)</f>
        <v>-1.16327463250457</v>
      </c>
      <c r="N382" s="397" t="n">
        <f aca="false">DEGREES(Beta)</f>
        <v>-66.6507268571439</v>
      </c>
      <c r="P382" s="399" t="n">
        <f aca="false">MATCH(t-pas/2-T_ini,CdP_t)</f>
        <v>23</v>
      </c>
      <c r="Q382" s="397" t="n">
        <f aca="false">(INDEX(CdP,2,i_P+1)-INDEX(CdP,2,i_P+0))/(INDEX(CdP,1,i_P+1)-INDEX(CdP,1,i_P+0))*(t-pas/2-T_ini-INDEX(CdP,1,i_P+0))+INDEX(CdP,2,i_P+0)</f>
        <v>0</v>
      </c>
      <c r="R382" s="396" t="n">
        <f aca="false">Poussee/(g*ISP)</f>
        <v>0</v>
      </c>
      <c r="S382" s="398" t="n">
        <f aca="false">S381-Débit*pas</f>
        <v>8.45</v>
      </c>
      <c r="T382" s="397" t="n">
        <f aca="false">m*g</f>
        <v>82.8945</v>
      </c>
      <c r="U382" s="400" t="n">
        <f aca="false">IF(pos_xz&lt;L_rampe,Poids*COS(Beta),0)</f>
        <v>0</v>
      </c>
      <c r="V382" s="396" t="n">
        <f aca="false">Rho_moyen*(20000-Alt_rampe-pos_z)/(20000+Alt_rampe+pos_z)</f>
        <v>1.10054472514333</v>
      </c>
      <c r="W382" s="397" t="n">
        <f aca="false">1/2*Rho*Sref*Cx*vit_xz^2</f>
        <v>10.8649759999809</v>
      </c>
      <c r="Y382" s="401" t="str">
        <f aca="false">IF(AND(pos_z&lt;=0,K381&gt;0),"Impact balistique","") &amp; IF(AND(H383&lt;0,vit_z&gt;=0),"Apogée","") &amp; IF(AND(Poussee=0,Q381&gt;0),"Fin de propulsion","") &amp; IF(AND(L383&gt;L_rampe,pos_xz&lt;=L_rampe),"Sortie de rampe","")</f>
        <v/>
      </c>
      <c r="Z382" s="402" t="str">
        <f aca="false">IF(ABS(t-T_para)&lt;pas/2,"Para","")</f>
        <v/>
      </c>
      <c r="AA382" s="403" t="str">
        <f aca="false">IF(ABS(t-T_satellite)&lt;pas/2,"Satellite","")</f>
        <v/>
      </c>
      <c r="AC382" s="399" t="e">
        <f aca="false">IF(ABS(t-ROUND(t,0))&lt;0.001,t,NA())</f>
        <v>#N/A</v>
      </c>
      <c r="AD382" s="404" t="e">
        <f aca="false">IF(ABS(t-ROUND(t,0))&lt;0.001,pos_x,NA())</f>
        <v>#N/A</v>
      </c>
      <c r="AE382" s="405" t="e">
        <f aca="false">IF(t&lt;T_para, pos_z, NA())</f>
        <v>#N/A</v>
      </c>
      <c r="AG382" s="396" t="n">
        <f aca="false">IF(AND(L381&lt;L_rampe,Poussee&lt;Poids*SIN(M381)),0,(-W381+Poussee)/m-Poids*SIN(M381)/m)</f>
        <v>7.72968637332132</v>
      </c>
      <c r="AH382" s="397" t="n">
        <f aca="false">IF(AND(L381&lt;L_rampe,Poussee&lt;Poids*SIN(M381)), g*SIN(M381), (-W381+Poussee)/m)</f>
        <v>-1.24662291644038</v>
      </c>
    </row>
    <row r="383" customFormat="false" ht="12.75" hidden="false" customHeight="false" outlineLevel="0" collapsed="false">
      <c r="A383" s="396" t="n">
        <f aca="false">IF(B382+0.01&lt;=T_ini+ROUNDUP(Temps_fin_propu,0), 0.01, IF(K382&gt;0, 0.1, 0.0001))</f>
        <v>0.1</v>
      </c>
      <c r="B383" s="397" t="n">
        <f aca="false">B382+pas</f>
        <v>19.9</v>
      </c>
      <c r="D383" s="396" t="n">
        <f aca="false">IF(AND(L382&lt;L_rampe,Poussee&lt;Poids*SIN(M382)),0,(-W382+Poussee)/m*COS(M382)-U382/m*SIN(M382))</f>
        <v>-0.509606205966068</v>
      </c>
      <c r="E383" s="398" t="n">
        <f aca="false">IF(AND(L382&lt;L_rampe,Poussee&lt;Poids*SIN(M382)),0,(-W382+Poussee)/m*SIN(M382)+U382/m*COS(M382)-Poids/m)</f>
        <v>-8.6295031522342</v>
      </c>
      <c r="F383" s="397" t="n">
        <f aca="false">SQRT(acc_x^2+acc_z^2)</f>
        <v>8.64453718481095</v>
      </c>
      <c r="G383" s="396" t="n">
        <f aca="false">G382+acc_x*pas</f>
        <v>20.2496644223642</v>
      </c>
      <c r="H383" s="398" t="n">
        <f aca="false">H382+acc_z*pas</f>
        <v>-47.889112065864</v>
      </c>
      <c r="I383" s="397" t="n">
        <f aca="false">SQRT(vit_x^2+vit_z^2)</f>
        <v>51.9943839628401</v>
      </c>
      <c r="J383" s="396" t="n">
        <f aca="false">J382+0.5*(vit_x+G382)*pas*(K382&gt;=0)</f>
        <v>494.755610429507</v>
      </c>
      <c r="K383" s="398" t="n">
        <f aca="false">K382+0.5*(vit_z+H382)*pas</f>
        <v>1065.58647727694</v>
      </c>
      <c r="L383" s="397" t="n">
        <f aca="false">SQRT(pos_x^2+pos_z^2)</f>
        <v>1174.84367241218</v>
      </c>
      <c r="M383" s="396" t="n">
        <f aca="false">IF(AND(L382&gt;L_rampe,G383&gt;0),ATAN2(G383,H383),$M$4)</f>
        <v>-1.17075252579962</v>
      </c>
      <c r="N383" s="397" t="n">
        <f aca="false">DEGREES(Beta)</f>
        <v>-67.0791785825993</v>
      </c>
      <c r="P383" s="399" t="n">
        <f aca="false">MATCH(t-pas/2-T_ini,CdP_t)</f>
        <v>23</v>
      </c>
      <c r="Q383" s="397" t="n">
        <f aca="false">(INDEX(CdP,2,i_P+1)-INDEX(CdP,2,i_P+0))/(INDEX(CdP,1,i_P+1)-INDEX(CdP,1,i_P+0))*(t-pas/2-T_ini-INDEX(CdP,1,i_P+0))+INDEX(CdP,2,i_P+0)</f>
        <v>0</v>
      </c>
      <c r="R383" s="396" t="n">
        <f aca="false">Poussee/(g*ISP)</f>
        <v>0</v>
      </c>
      <c r="S383" s="398" t="n">
        <f aca="false">S382-Débit*pas</f>
        <v>8.45</v>
      </c>
      <c r="T383" s="397" t="n">
        <f aca="false">m*g</f>
        <v>82.8945</v>
      </c>
      <c r="U383" s="400" t="n">
        <f aca="false">IF(pos_xz&lt;L_rampe,Poids*COS(Beta),0)</f>
        <v>0</v>
      </c>
      <c r="V383" s="396" t="n">
        <f aca="false">Rho_moyen*(20000-Alt_rampe-pos_z)/(20000+Alt_rampe+pos_z)</f>
        <v>1.10106863582248</v>
      </c>
      <c r="W383" s="397" t="n">
        <f aca="false">1/2*Rho*Sref*Cx*vit_xz^2</f>
        <v>11.2009488150738</v>
      </c>
      <c r="Y383" s="401" t="str">
        <f aca="false">IF(AND(pos_z&lt;=0,K382&gt;0),"Impact balistique","") &amp; IF(AND(H384&lt;0,vit_z&gt;=0),"Apogée","") &amp; IF(AND(Poussee=0,Q382&gt;0),"Fin de propulsion","") &amp; IF(AND(L384&gt;L_rampe,pos_xz&lt;=L_rampe),"Sortie de rampe","")</f>
        <v/>
      </c>
      <c r="Z383" s="402" t="str">
        <f aca="false">IF(ABS(t-T_para)&lt;pas/2,"Para","")</f>
        <v/>
      </c>
      <c r="AA383" s="403" t="str">
        <f aca="false">IF(ABS(t-T_satellite)&lt;pas/2,"Satellite","")</f>
        <v/>
      </c>
      <c r="AC383" s="399" t="e">
        <f aca="false">IF(ABS(t-ROUND(t,0))&lt;0.001,t,NA())</f>
        <v>#N/A</v>
      </c>
      <c r="AD383" s="404" t="e">
        <f aca="false">IF(ABS(t-ROUND(t,0))&lt;0.001,pos_x,NA())</f>
        <v>#N/A</v>
      </c>
      <c r="AE383" s="405" t="e">
        <f aca="false">IF(t&lt;T_para, pos_z, NA())</f>
        <v>#N/A</v>
      </c>
      <c r="AG383" s="396" t="n">
        <f aca="false">IF(AND(L382&lt;L_rampe,Poussee&lt;Poids*SIN(M382)),0,(-W382+Poussee)/m-Poids*SIN(M382)/m)</f>
        <v>7.7208227172873</v>
      </c>
      <c r="AH383" s="397" t="n">
        <f aca="false">IF(AND(L382&lt;L_rampe,Poussee&lt;Poids*SIN(M382)), g*SIN(M382), (-W382+Poussee)/m)</f>
        <v>-1.28579597632911</v>
      </c>
    </row>
    <row r="384" customFormat="false" ht="12.75" hidden="false" customHeight="false" outlineLevel="0" collapsed="false">
      <c r="A384" s="396" t="n">
        <f aca="false">IF(B383+0.01&lt;=T_ini+ROUNDUP(Temps_fin_propu,0), 0.01, IF(K383&gt;0, 0.1, 0.0001))</f>
        <v>0.1</v>
      </c>
      <c r="B384" s="397" t="n">
        <f aca="false">B383+pas</f>
        <v>20</v>
      </c>
      <c r="D384" s="396" t="n">
        <f aca="false">IF(AND(L383&lt;L_rampe,Poussee&lt;Poids*SIN(M383)),0,(-W383+Poussee)/m*COS(M383)-U383/m*SIN(M383))</f>
        <v>-0.51624932543107</v>
      </c>
      <c r="E384" s="398" t="n">
        <f aca="false">IF(AND(L383&lt;L_rampe,Poussee&lt;Poids*SIN(M383)),0,(-W383+Poussee)/m*SIN(M383)+U383/m*COS(M383)-Poids/m)</f>
        <v>-8.58910461705277</v>
      </c>
      <c r="F384" s="397" t="n">
        <f aca="false">SQRT(acc_x^2+acc_z^2)</f>
        <v>8.60460524885862</v>
      </c>
      <c r="G384" s="396" t="n">
        <f aca="false">G383+acc_x*pas</f>
        <v>20.1980394898211</v>
      </c>
      <c r="H384" s="398" t="n">
        <f aca="false">H383+acc_z*pas</f>
        <v>-48.7480225275693</v>
      </c>
      <c r="I384" s="397" t="n">
        <f aca="false">SQRT(vit_x^2+vit_z^2)</f>
        <v>52.7667556287174</v>
      </c>
      <c r="J384" s="396" t="n">
        <f aca="false">J383+0.5*(vit_x+G383)*pas*(K383&gt;=0)</f>
        <v>496.777995625116</v>
      </c>
      <c r="K384" s="398" t="n">
        <f aca="false">K383+0.5*(vit_z+H383)*pas</f>
        <v>1060.75462054727</v>
      </c>
      <c r="L384" s="397" t="n">
        <f aca="false">SQRT(pos_x^2+pos_z^2)</f>
        <v>1171.31923144362</v>
      </c>
      <c r="M384" s="396" t="n">
        <f aca="false">IF(AND(L383&gt;L_rampe,G384&gt;0),ATAN2(G384,H384),$M$4)</f>
        <v>-1.17799311325058</v>
      </c>
      <c r="N384" s="397" t="n">
        <f aca="false">DEGREES(Beta)</f>
        <v>-67.4940336847348</v>
      </c>
      <c r="P384" s="399" t="n">
        <f aca="false">MATCH(t-pas/2-T_ini,CdP_t)</f>
        <v>23</v>
      </c>
      <c r="Q384" s="397" t="n">
        <f aca="false">(INDEX(CdP,2,i_P+1)-INDEX(CdP,2,i_P+0))/(INDEX(CdP,1,i_P+1)-INDEX(CdP,1,i_P+0))*(t-pas/2-T_ini-INDEX(CdP,1,i_P+0))+INDEX(CdP,2,i_P+0)</f>
        <v>0</v>
      </c>
      <c r="R384" s="396" t="n">
        <f aca="false">Poussee/(g*ISP)</f>
        <v>0</v>
      </c>
      <c r="S384" s="398" t="n">
        <f aca="false">S383-Débit*pas</f>
        <v>8.45</v>
      </c>
      <c r="T384" s="397" t="n">
        <f aca="false">m*g</f>
        <v>82.8945</v>
      </c>
      <c r="U384" s="400" t="n">
        <f aca="false">IF(pos_xz&lt;L_rampe,Poids*COS(Beta),0)</f>
        <v>0</v>
      </c>
      <c r="V384" s="396" t="n">
        <f aca="false">Rho_moyen*(20000-Alt_rampe-pos_z)/(20000+Alt_rampe+pos_z)</f>
        <v>1.10160229335727</v>
      </c>
      <c r="W384" s="397" t="n">
        <f aca="false">1/2*Rho*Sref*Cx*vit_xz^2</f>
        <v>11.5417898598364</v>
      </c>
      <c r="Y384" s="401" t="str">
        <f aca="false">IF(AND(pos_z&lt;=0,K383&gt;0),"Impact balistique","") &amp; IF(AND(H385&lt;0,vit_z&gt;=0),"Apogée","") &amp; IF(AND(Poussee=0,Q383&gt;0),"Fin de propulsion","") &amp; IF(AND(L385&gt;L_rampe,pos_xz&lt;=L_rampe),"Sortie de rampe","")</f>
        <v/>
      </c>
      <c r="Z384" s="402" t="str">
        <f aca="false">IF(ABS(t-T_para)&lt;pas/2,"Para","")</f>
        <v/>
      </c>
      <c r="AA384" s="403" t="str">
        <f aca="false">IF(ABS(t-T_satellite)&lt;pas/2,"Satellite","")</f>
        <v/>
      </c>
      <c r="AC384" s="399" t="n">
        <f aca="false">IF(ABS(t-ROUND(t,0))&lt;0.001,t,NA())</f>
        <v>20</v>
      </c>
      <c r="AD384" s="404" t="n">
        <f aca="false">IF(ABS(t-ROUND(t,0))&lt;0.001,pos_x,NA())</f>
        <v>496.777995625116</v>
      </c>
      <c r="AE384" s="405" t="e">
        <f aca="false">IF(t&lt;T_para, pos_z, NA())</f>
        <v>#N/A</v>
      </c>
      <c r="AG384" s="396" t="n">
        <f aca="false">IF(AND(L383&lt;L_rampe,Poussee&lt;Poids*SIN(M383)),0,(-W383+Poussee)/m-Poids*SIN(M383)/m)</f>
        <v>7.7098849414144</v>
      </c>
      <c r="AH384" s="397" t="n">
        <f aca="false">IF(AND(L383&lt;L_rampe,Poussee&lt;Poids*SIN(M383)), g*SIN(M383), (-W383+Poussee)/m)</f>
        <v>-1.32555607278979</v>
      </c>
    </row>
    <row r="385" customFormat="false" ht="12.75" hidden="false" customHeight="false" outlineLevel="0" collapsed="false">
      <c r="A385" s="396" t="n">
        <f aca="false">IF(B384+0.01&lt;=T_ini+ROUNDUP(Temps_fin_propu,0), 0.01, IF(K384&gt;0, 0.1, 0.0001))</f>
        <v>0.1</v>
      </c>
      <c r="B385" s="397" t="n">
        <f aca="false">B384+pas</f>
        <v>20.1</v>
      </c>
      <c r="D385" s="396" t="n">
        <f aca="false">IF(AND(L384&lt;L_rampe,Poussee&lt;Poids*SIN(M384)),0,(-W384+Poussee)/m*COS(M384)-U384/m*SIN(M384))</f>
        <v>-0.522835753418283</v>
      </c>
      <c r="E385" s="398" t="n">
        <f aca="false">IF(AND(L384&lt;L_rampe,Poussee&lt;Poids*SIN(M384)),0,(-W384+Poussee)/m*SIN(M384)+U384/m*COS(M384)-Poids/m)</f>
        <v>-8.5481345056436</v>
      </c>
      <c r="F385" s="397" t="n">
        <f aca="false">SQRT(acc_x^2+acc_z^2)</f>
        <v>8.56410887084157</v>
      </c>
      <c r="G385" s="396" t="n">
        <f aca="false">G384+acc_x*pas</f>
        <v>20.1457559144792</v>
      </c>
      <c r="H385" s="398" t="n">
        <f aca="false">H384+acc_z*pas</f>
        <v>-49.6028359781337</v>
      </c>
      <c r="I385" s="397" t="n">
        <f aca="false">SQRT(vit_x^2+vit_z^2)</f>
        <v>53.5377700174317</v>
      </c>
      <c r="J385" s="396" t="n">
        <f aca="false">J384+0.5*(vit_x+G384)*pas*(K384&gt;=0)</f>
        <v>498.795185395331</v>
      </c>
      <c r="K385" s="398" t="n">
        <f aca="false">K384+0.5*(vit_z+H384)*pas</f>
        <v>1055.83707762198</v>
      </c>
      <c r="L385" s="397" t="n">
        <f aca="false">SQRT(pos_x^2+pos_z^2)</f>
        <v>1167.72795267343</v>
      </c>
      <c r="M385" s="396" t="n">
        <f aca="false">IF(AND(L384&gt;L_rampe,G385&gt;0),ATAN2(G385,H385),$M$4)</f>
        <v>-1.1850070382094</v>
      </c>
      <c r="N385" s="397" t="n">
        <f aca="false">DEGREES(Beta)</f>
        <v>-67.8959019826966</v>
      </c>
      <c r="P385" s="399" t="n">
        <f aca="false">MATCH(t-pas/2-T_ini,CdP_t)</f>
        <v>23</v>
      </c>
      <c r="Q385" s="397" t="n">
        <f aca="false">(INDEX(CdP,2,i_P+1)-INDEX(CdP,2,i_P+0))/(INDEX(CdP,1,i_P+1)-INDEX(CdP,1,i_P+0))*(t-pas/2-T_ini-INDEX(CdP,1,i_P+0))+INDEX(CdP,2,i_P+0)</f>
        <v>0</v>
      </c>
      <c r="R385" s="396" t="n">
        <f aca="false">Poussee/(g*ISP)</f>
        <v>0</v>
      </c>
      <c r="S385" s="398" t="n">
        <f aca="false">S384-Débit*pas</f>
        <v>8.45</v>
      </c>
      <c r="T385" s="397" t="n">
        <f aca="false">m*g</f>
        <v>82.8945</v>
      </c>
      <c r="U385" s="400" t="n">
        <f aca="false">IF(pos_xz&lt;L_rampe,Poids*COS(Beta),0)</f>
        <v>0</v>
      </c>
      <c r="V385" s="396" t="n">
        <f aca="false">Rho_moyen*(20000-Alt_rampe-pos_z)/(20000+Alt_rampe+pos_z)</f>
        <v>1.10214566603846</v>
      </c>
      <c r="W385" s="397" t="n">
        <f aca="false">1/2*Rho*Sref*Cx*vit_xz^2</f>
        <v>11.8874061046567</v>
      </c>
      <c r="Y385" s="401" t="str">
        <f aca="false">IF(AND(pos_z&lt;=0,K384&gt;0),"Impact balistique","") &amp; IF(AND(H386&lt;0,vit_z&gt;=0),"Apogée","") &amp; IF(AND(Poussee=0,Q384&gt;0),"Fin de propulsion","") &amp; IF(AND(L386&gt;L_rampe,pos_xz&lt;=L_rampe),"Sortie de rampe","")</f>
        <v/>
      </c>
      <c r="Z385" s="402" t="str">
        <f aca="false">IF(ABS(t-T_para)&lt;pas/2,"Para","")</f>
        <v/>
      </c>
      <c r="AA385" s="403" t="str">
        <f aca="false">IF(ABS(t-T_satellite)&lt;pas/2,"Satellite","")</f>
        <v/>
      </c>
      <c r="AC385" s="399" t="e">
        <f aca="false">IF(ABS(t-ROUND(t,0))&lt;0.001,t,NA())</f>
        <v>#N/A</v>
      </c>
      <c r="AD385" s="404" t="e">
        <f aca="false">IF(ABS(t-ROUND(t,0))&lt;0.001,pos_x,NA())</f>
        <v>#N/A</v>
      </c>
      <c r="AE385" s="405" t="e">
        <f aca="false">IF(t&lt;T_para, pos_z, NA())</f>
        <v>#N/A</v>
      </c>
      <c r="AG385" s="396" t="n">
        <f aca="false">IF(AND(L384&lt;L_rampe,Poussee&lt;Poids*SIN(M384)),0,(-W384+Poussee)/m-Poids*SIN(M384)/m)</f>
        <v>7.69697494978329</v>
      </c>
      <c r="AH385" s="397" t="n">
        <f aca="false">IF(AND(L384&lt;L_rampe,Poussee&lt;Poids*SIN(M384)), g*SIN(M384), (-W384+Poussee)/m)</f>
        <v>-1.3658922911049</v>
      </c>
    </row>
    <row r="386" customFormat="false" ht="12.75" hidden="false" customHeight="false" outlineLevel="0" collapsed="false">
      <c r="A386" s="396" t="n">
        <f aca="false">IF(B385+0.01&lt;=T_ini+ROUNDUP(Temps_fin_propu,0), 0.01, IF(K385&gt;0, 0.1, 0.0001))</f>
        <v>0.1</v>
      </c>
      <c r="B386" s="397" t="n">
        <f aca="false">B385+pas</f>
        <v>20.2</v>
      </c>
      <c r="D386" s="396" t="n">
        <f aca="false">IF(AND(L385&lt;L_rampe,Poussee&lt;Poids*SIN(M385)),0,(-W385+Poussee)/m*COS(M385)-U385/m*SIN(M385))</f>
        <v>-0.529363119133767</v>
      </c>
      <c r="E386" s="398" t="n">
        <f aca="false">IF(AND(L385&lt;L_rampe,Poussee&lt;Poids*SIN(M385)),0,(-W385+Poussee)/m*SIN(M385)+U385/m*COS(M385)-Poids/m)</f>
        <v>-8.50660329040355</v>
      </c>
      <c r="F386" s="397" t="n">
        <f aca="false">SQRT(acc_x^2+acc_z^2)</f>
        <v>8.52305842125956</v>
      </c>
      <c r="G386" s="396" t="n">
        <f aca="false">G385+acc_x*pas</f>
        <v>20.0928196025659</v>
      </c>
      <c r="H386" s="398" t="n">
        <f aca="false">H385+acc_z*pas</f>
        <v>-50.453496307174</v>
      </c>
      <c r="I386" s="397" t="n">
        <f aca="false">SQRT(vit_x^2+vit_z^2)</f>
        <v>54.3072434321544</v>
      </c>
      <c r="J386" s="396" t="n">
        <f aca="false">J385+0.5*(vit_x+G385)*pas*(K385&gt;=0)</f>
        <v>500.807114171183</v>
      </c>
      <c r="K386" s="398" t="n">
        <f aca="false">K385+0.5*(vit_z+H385)*pas</f>
        <v>1050.83426100772</v>
      </c>
      <c r="L386" s="397" t="n">
        <f aca="false">SQRT(pos_x^2+pos_z^2)</f>
        <v>1164.07062058627</v>
      </c>
      <c r="M386" s="396" t="n">
        <f aca="false">IF(AND(L385&gt;L_rampe,G386&gt;0),ATAN2(G386,H386),$M$4)</f>
        <v>-1.19180436081896</v>
      </c>
      <c r="N386" s="397" t="n">
        <f aca="false">DEGREES(Beta)</f>
        <v>-68.2853598802134</v>
      </c>
      <c r="P386" s="399" t="n">
        <f aca="false">MATCH(t-pas/2-T_ini,CdP_t)</f>
        <v>23</v>
      </c>
      <c r="Q386" s="397" t="n">
        <f aca="false">(INDEX(CdP,2,i_P+1)-INDEX(CdP,2,i_P+0))/(INDEX(CdP,1,i_P+1)-INDEX(CdP,1,i_P+0))*(t-pas/2-T_ini-INDEX(CdP,1,i_P+0))+INDEX(CdP,2,i_P+0)</f>
        <v>0</v>
      </c>
      <c r="R386" s="396" t="n">
        <f aca="false">Poussee/(g*ISP)</f>
        <v>0</v>
      </c>
      <c r="S386" s="398" t="n">
        <f aca="false">S385-Débit*pas</f>
        <v>8.45</v>
      </c>
      <c r="T386" s="397" t="n">
        <f aca="false">m*g</f>
        <v>82.8945</v>
      </c>
      <c r="U386" s="400" t="n">
        <f aca="false">IF(pos_xz&lt;L_rampe,Poids*COS(Beta),0)</f>
        <v>0</v>
      </c>
      <c r="V386" s="396" t="n">
        <f aca="false">Rho_moyen*(20000-Alt_rampe-pos_z)/(20000+Alt_rampe+pos_z)</f>
        <v>1.10269872169685</v>
      </c>
      <c r="W386" s="397" t="n">
        <f aca="false">1/2*Rho*Sref*Cx*vit_xz^2</f>
        <v>12.2377037657774</v>
      </c>
      <c r="Y386" s="401" t="str">
        <f aca="false">IF(AND(pos_z&lt;=0,K385&gt;0),"Impact balistique","") &amp; IF(AND(H387&lt;0,vit_z&gt;=0),"Apogée","") &amp; IF(AND(Poussee=0,Q385&gt;0),"Fin de propulsion","") &amp; IF(AND(L387&gt;L_rampe,pos_xz&lt;=L_rampe),"Sortie de rampe","")</f>
        <v/>
      </c>
      <c r="Z386" s="402" t="str">
        <f aca="false">IF(ABS(t-T_para)&lt;pas/2,"Para","")</f>
        <v/>
      </c>
      <c r="AA386" s="403" t="str">
        <f aca="false">IF(ABS(t-T_satellite)&lt;pas/2,"Satellite","")</f>
        <v/>
      </c>
      <c r="AC386" s="399" t="e">
        <f aca="false">IF(ABS(t-ROUND(t,0))&lt;0.001,t,NA())</f>
        <v>#N/A</v>
      </c>
      <c r="AD386" s="404" t="e">
        <f aca="false">IF(ABS(t-ROUND(t,0))&lt;0.001,pos_x,NA())</f>
        <v>#N/A</v>
      </c>
      <c r="AE386" s="405" t="e">
        <f aca="false">IF(t&lt;T_para, pos_z, NA())</f>
        <v>#N/A</v>
      </c>
      <c r="AG386" s="396" t="n">
        <f aca="false">IF(AND(L385&lt;L_rampe,Poussee&lt;Poids*SIN(M385)),0,(-W385+Poussee)/m-Poids*SIN(M385)/m)</f>
        <v>7.68218824622</v>
      </c>
      <c r="AH386" s="397" t="n">
        <f aca="false">IF(AND(L385&lt;L_rampe,Poussee&lt;Poids*SIN(M385)), g*SIN(M385), (-W385+Poussee)/m)</f>
        <v>-1.40679362185286</v>
      </c>
    </row>
    <row r="387" customFormat="false" ht="12.75" hidden="false" customHeight="false" outlineLevel="0" collapsed="false">
      <c r="A387" s="396" t="n">
        <f aca="false">IF(B386+0.01&lt;=T_ini+ROUNDUP(Temps_fin_propu,0), 0.01, IF(K386&gt;0, 0.1, 0.0001))</f>
        <v>0.1</v>
      </c>
      <c r="B387" s="397" t="n">
        <f aca="false">B386+pas</f>
        <v>20.3</v>
      </c>
      <c r="D387" s="396" t="n">
        <f aca="false">IF(AND(L386&lt;L_rampe,Poussee&lt;Poids*SIN(M386)),0,(-W386+Poussee)/m*COS(M386)-U386/m*SIN(M386))</f>
        <v>-0.535829170875003</v>
      </c>
      <c r="E387" s="398" t="n">
        <f aca="false">IF(AND(L386&lt;L_rampe,Poussee&lt;Poids*SIN(M386)),0,(-W386+Poussee)/m*SIN(M386)+U386/m*COS(M386)-Poids/m)</f>
        <v>-8.46452158389131</v>
      </c>
      <c r="F387" s="397" t="n">
        <f aca="false">SQRT(acc_x^2+acc_z^2)</f>
        <v>8.48146441037881</v>
      </c>
      <c r="G387" s="396" t="n">
        <f aca="false">G386+acc_x*pas</f>
        <v>20.0392366854784</v>
      </c>
      <c r="H387" s="398" t="n">
        <f aca="false">H386+acc_z*pas</f>
        <v>-51.2999484655632</v>
      </c>
      <c r="I387" s="397" t="n">
        <f aca="false">SQRT(vit_x^2+vit_z^2)</f>
        <v>55.075000857976</v>
      </c>
      <c r="J387" s="396" t="n">
        <f aca="false">J386+0.5*(vit_x+G386)*pas*(K386&gt;=0)</f>
        <v>502.813716985586</v>
      </c>
      <c r="K387" s="398" t="n">
        <f aca="false">K386+0.5*(vit_z+H386)*pas</f>
        <v>1045.74658876908</v>
      </c>
      <c r="L387" s="397" t="n">
        <f aca="false">SQRT(pos_x^2+pos_z^2)</f>
        <v>1160.34803482017</v>
      </c>
      <c r="M387" s="396" t="n">
        <f aca="false">IF(AND(L386&gt;L_rampe,G387&gt;0),ATAN2(G387,H387),$M$4)</f>
        <v>-1.19839459374187</v>
      </c>
      <c r="N387" s="397" t="n">
        <f aca="false">DEGREES(Beta)</f>
        <v>-68.6629524127041</v>
      </c>
      <c r="P387" s="399" t="n">
        <f aca="false">MATCH(t-pas/2-T_ini,CdP_t)</f>
        <v>23</v>
      </c>
      <c r="Q387" s="397" t="n">
        <f aca="false">(INDEX(CdP,2,i_P+1)-INDEX(CdP,2,i_P+0))/(INDEX(CdP,1,i_P+1)-INDEX(CdP,1,i_P+0))*(t-pas/2-T_ini-INDEX(CdP,1,i_P+0))+INDEX(CdP,2,i_P+0)</f>
        <v>0</v>
      </c>
      <c r="R387" s="396" t="n">
        <f aca="false">Poussee/(g*ISP)</f>
        <v>0</v>
      </c>
      <c r="S387" s="398" t="n">
        <f aca="false">S386-Débit*pas</f>
        <v>8.45</v>
      </c>
      <c r="T387" s="397" t="n">
        <f aca="false">m*g</f>
        <v>82.8945</v>
      </c>
      <c r="U387" s="400" t="n">
        <f aca="false">IF(pos_xz&lt;L_rampe,Poids*COS(Beta),0)</f>
        <v>0</v>
      </c>
      <c r="V387" s="396" t="n">
        <f aca="false">Rho_moyen*(20000-Alt_rampe-pos_z)/(20000+Alt_rampe+pos_z)</f>
        <v>1.10326142771046</v>
      </c>
      <c r="W387" s="397" t="n">
        <f aca="false">1/2*Rho*Sref*Cx*vit_xz^2</f>
        <v>12.5925883515802</v>
      </c>
      <c r="Y387" s="401" t="str">
        <f aca="false">IF(AND(pos_z&lt;=0,K386&gt;0),"Impact balistique","") &amp; IF(AND(H388&lt;0,vit_z&gt;=0),"Apogée","") &amp; IF(AND(Poussee=0,Q386&gt;0),"Fin de propulsion","") &amp; IF(AND(L388&gt;L_rampe,pos_xz&lt;=L_rampe),"Sortie de rampe","")</f>
        <v/>
      </c>
      <c r="Z387" s="402" t="str">
        <f aca="false">IF(ABS(t-T_para)&lt;pas/2,"Para","")</f>
        <v/>
      </c>
      <c r="AA387" s="403" t="str">
        <f aca="false">IF(ABS(t-T_satellite)&lt;pas/2,"Satellite","")</f>
        <v/>
      </c>
      <c r="AC387" s="399" t="e">
        <f aca="false">IF(ABS(t-ROUND(t,0))&lt;0.001,t,NA())</f>
        <v>#N/A</v>
      </c>
      <c r="AD387" s="404" t="e">
        <f aca="false">IF(ABS(t-ROUND(t,0))&lt;0.001,pos_x,NA())</f>
        <v>#N/A</v>
      </c>
      <c r="AE387" s="405" t="e">
        <f aca="false">IF(t&lt;T_para, pos_z, NA())</f>
        <v>#N/A</v>
      </c>
      <c r="AG387" s="396" t="n">
        <f aca="false">IF(AND(L386&lt;L_rampe,Poussee&lt;Poids*SIN(M386)),0,(-W386+Poussee)/m-Poids*SIN(M386)/m)</f>
        <v>7.66561444288272</v>
      </c>
      <c r="AH387" s="397" t="n">
        <f aca="false">IF(AND(L386&lt;L_rampe,Poussee&lt;Poids*SIN(M386)), g*SIN(M386), (-W386+Poussee)/m)</f>
        <v>-1.4482489663642</v>
      </c>
    </row>
    <row r="388" customFormat="false" ht="12.75" hidden="false" customHeight="false" outlineLevel="0" collapsed="false">
      <c r="A388" s="396" t="n">
        <f aca="false">IF(B387+0.01&lt;=T_ini+ROUNDUP(Temps_fin_propu,0), 0.01, IF(K387&gt;0, 0.1, 0.0001))</f>
        <v>0.1</v>
      </c>
      <c r="B388" s="397" t="n">
        <f aca="false">B387+pas</f>
        <v>20.4</v>
      </c>
      <c r="D388" s="396" t="n">
        <f aca="false">IF(AND(L387&lt;L_rampe,Poussee&lt;Poids*SIN(M387)),0,(-W387+Poussee)/m*COS(M387)-U387/m*SIN(M387))</f>
        <v>-0.542231770080043</v>
      </c>
      <c r="E388" s="398" t="n">
        <f aca="false">IF(AND(L387&lt;L_rampe,Poussee&lt;Poids*SIN(M387)),0,(-W387+Poussee)/m*SIN(M387)+U387/m*COS(M387)-Poids/m)</f>
        <v>-8.42190012882802</v>
      </c>
      <c r="F388" s="397" t="n">
        <f aca="false">SQRT(acc_x^2+acc_z^2)</f>
        <v>8.43933747828807</v>
      </c>
      <c r="G388" s="396" t="n">
        <f aca="false">G387+acc_x*pas</f>
        <v>19.9850135084704</v>
      </c>
      <c r="H388" s="398" t="n">
        <f aca="false">H387+acc_z*pas</f>
        <v>-52.142138478446</v>
      </c>
      <c r="I388" s="397" t="n">
        <f aca="false">SQRT(vit_x^2+vit_z^2)</f>
        <v>55.8408754411961</v>
      </c>
      <c r="J388" s="396" t="n">
        <f aca="false">J387+0.5*(vit_x+G387)*pas*(K387&gt;=0)</f>
        <v>504.814929495283</v>
      </c>
      <c r="K388" s="398" t="n">
        <f aca="false">K387+0.5*(vit_z+H387)*pas</f>
        <v>1040.57448442188</v>
      </c>
      <c r="L388" s="397" t="n">
        <f aca="false">SQRT(pos_x^2+pos_z^2)</f>
        <v>1156.56101035405</v>
      </c>
      <c r="M388" s="396" t="n">
        <f aca="false">IF(AND(L387&gt;L_rampe,G388&gt;0),ATAN2(G388,H388),$M$4)</f>
        <v>-1.20478673566309</v>
      </c>
      <c r="N388" s="397" t="n">
        <f aca="false">DEGREES(Beta)</f>
        <v>-69.0291951668388</v>
      </c>
      <c r="P388" s="399" t="n">
        <f aca="false">MATCH(t-pas/2-T_ini,CdP_t)</f>
        <v>23</v>
      </c>
      <c r="Q388" s="397" t="n">
        <f aca="false">(INDEX(CdP,2,i_P+1)-INDEX(CdP,2,i_P+0))/(INDEX(CdP,1,i_P+1)-INDEX(CdP,1,i_P+0))*(t-pas/2-T_ini-INDEX(CdP,1,i_P+0))+INDEX(CdP,2,i_P+0)</f>
        <v>0</v>
      </c>
      <c r="R388" s="396" t="n">
        <f aca="false">Poussee/(g*ISP)</f>
        <v>0</v>
      </c>
      <c r="S388" s="398" t="n">
        <f aca="false">S387-Débit*pas</f>
        <v>8.45</v>
      </c>
      <c r="T388" s="397" t="n">
        <f aca="false">m*g</f>
        <v>82.8945</v>
      </c>
      <c r="U388" s="400" t="n">
        <f aca="false">IF(pos_xz&lt;L_rampe,Poids*COS(Beta),0)</f>
        <v>0</v>
      </c>
      <c r="V388" s="396" t="n">
        <f aca="false">Rho_moyen*(20000-Alt_rampe-pos_z)/(20000+Alt_rampe+pos_z)</f>
        <v>1.10383375101183</v>
      </c>
      <c r="W388" s="397" t="n">
        <f aca="false">1/2*Rho*Sref*Cx*vit_xz^2</f>
        <v>12.9519647089953</v>
      </c>
      <c r="Y388" s="401" t="str">
        <f aca="false">IF(AND(pos_z&lt;=0,K387&gt;0),"Impact balistique","") &amp; IF(AND(H389&lt;0,vit_z&gt;=0),"Apogée","") &amp; IF(AND(Poussee=0,Q387&gt;0),"Fin de propulsion","") &amp; IF(AND(L389&gt;L_rampe,pos_xz&lt;=L_rampe),"Sortie de rampe","")</f>
        <v/>
      </c>
      <c r="Z388" s="402" t="str">
        <f aca="false">IF(ABS(t-T_para)&lt;pas/2,"Para","")</f>
        <v/>
      </c>
      <c r="AA388" s="403" t="str">
        <f aca="false">IF(ABS(t-T_satellite)&lt;pas/2,"Satellite","")</f>
        <v/>
      </c>
      <c r="AC388" s="399" t="e">
        <f aca="false">IF(ABS(t-ROUND(t,0))&lt;0.001,t,NA())</f>
        <v>#N/A</v>
      </c>
      <c r="AD388" s="404" t="e">
        <f aca="false">IF(ABS(t-ROUND(t,0))&lt;0.001,pos_x,NA())</f>
        <v>#N/A</v>
      </c>
      <c r="AE388" s="405" t="e">
        <f aca="false">IF(t&lt;T_para, pos_z, NA())</f>
        <v>#N/A</v>
      </c>
      <c r="AG388" s="396" t="n">
        <f aca="false">IF(AND(L387&lt;L_rampe,Poussee&lt;Poids*SIN(M387)),0,(-W387+Poussee)/m-Poids*SIN(M387)/m)</f>
        <v>7.64733772584195</v>
      </c>
      <c r="AH388" s="397" t="n">
        <f aca="false">IF(AND(L387&lt;L_rampe,Poussee&lt;Poids*SIN(M387)), g*SIN(M387), (-W387+Poussee)/m)</f>
        <v>-1.49024714219884</v>
      </c>
    </row>
    <row r="389" customFormat="false" ht="12.75" hidden="false" customHeight="false" outlineLevel="0" collapsed="false">
      <c r="A389" s="396" t="n">
        <f aca="false">IF(B388+0.01&lt;=T_ini+ROUNDUP(Temps_fin_propu,0), 0.01, IF(K388&gt;0, 0.1, 0.0001))</f>
        <v>0.1</v>
      </c>
      <c r="B389" s="397" t="n">
        <f aca="false">B388+pas</f>
        <v>20.5</v>
      </c>
      <c r="D389" s="396" t="n">
        <f aca="false">IF(AND(L388&lt;L_rampe,Poussee&lt;Poids*SIN(M388)),0,(-W388+Poussee)/m*COS(M388)-U388/m*SIN(M388))</f>
        <v>-0.548568885836496</v>
      </c>
      <c r="E389" s="398" t="n">
        <f aca="false">IF(AND(L388&lt;L_rampe,Poussee&lt;Poids*SIN(M388)),0,(-W388+Poussee)/m*SIN(M388)+U388/m*COS(M388)-Poids/m)</f>
        <v>-8.37874978852878</v>
      </c>
      <c r="F389" s="397" t="n">
        <f aca="false">SQRT(acc_x^2+acc_z^2)</f>
        <v>8.39668838538617</v>
      </c>
      <c r="G389" s="396" t="n">
        <f aca="false">G388+acc_x*pas</f>
        <v>19.9301566198867</v>
      </c>
      <c r="H389" s="398" t="n">
        <f aca="false">H388+acc_z*pas</f>
        <v>-52.9800134572988</v>
      </c>
      <c r="I389" s="397" t="n">
        <f aca="false">SQRT(vit_x^2+vit_z^2)</f>
        <v>56.6047080093942</v>
      </c>
      <c r="J389" s="396" t="n">
        <f aca="false">J388+0.5*(vit_x+G388)*pas*(K388&gt;=0)</f>
        <v>506.810688001701</v>
      </c>
      <c r="K389" s="398" t="n">
        <f aca="false">K388+0.5*(vit_z+H388)*pas</f>
        <v>1035.31837682509</v>
      </c>
      <c r="L389" s="397" t="n">
        <f aca="false">SQRT(pos_x^2+pos_z^2)</f>
        <v>1152.71037770313</v>
      </c>
      <c r="M389" s="396" t="n">
        <f aca="false">IF(AND(L388&gt;L_rampe,G389&gt;0),ATAN2(G389,H389),$M$4)</f>
        <v>-1.210989302681</v>
      </c>
      <c r="N389" s="397" t="n">
        <f aca="false">DEGREES(Beta)</f>
        <v>-69.3845760791121</v>
      </c>
      <c r="P389" s="399" t="n">
        <f aca="false">MATCH(t-pas/2-T_ini,CdP_t)</f>
        <v>23</v>
      </c>
      <c r="Q389" s="397" t="n">
        <f aca="false">(INDEX(CdP,2,i_P+1)-INDEX(CdP,2,i_P+0))/(INDEX(CdP,1,i_P+1)-INDEX(CdP,1,i_P+0))*(t-pas/2-T_ini-INDEX(CdP,1,i_P+0))+INDEX(CdP,2,i_P+0)</f>
        <v>0</v>
      </c>
      <c r="R389" s="396" t="n">
        <f aca="false">Poussee/(g*ISP)</f>
        <v>0</v>
      </c>
      <c r="S389" s="398" t="n">
        <f aca="false">S388-Débit*pas</f>
        <v>8.45</v>
      </c>
      <c r="T389" s="397" t="n">
        <f aca="false">m*g</f>
        <v>82.8945</v>
      </c>
      <c r="U389" s="400" t="n">
        <f aca="false">IF(pos_xz&lt;L_rampe,Poids*COS(Beta),0)</f>
        <v>0</v>
      </c>
      <c r="V389" s="396" t="n">
        <f aca="false">Rho_moyen*(20000-Alt_rampe-pos_z)/(20000+Alt_rampe+pos_z)</f>
        <v>1.10441565809548</v>
      </c>
      <c r="W389" s="397" t="n">
        <f aca="false">1/2*Rho*Sref*Cx*vit_xz^2</f>
        <v>13.3157370699889</v>
      </c>
      <c r="Y389" s="401" t="str">
        <f aca="false">IF(AND(pos_z&lt;=0,K388&gt;0),"Impact balistique","") &amp; IF(AND(H390&lt;0,vit_z&gt;=0),"Apogée","") &amp; IF(AND(Poussee=0,Q388&gt;0),"Fin de propulsion","") &amp; IF(AND(L390&gt;L_rampe,pos_xz&lt;=L_rampe),"Sortie de rampe","")</f>
        <v/>
      </c>
      <c r="Z389" s="402" t="str">
        <f aca="false">IF(ABS(t-T_para)&lt;pas/2,"Para","")</f>
        <v/>
      </c>
      <c r="AA389" s="403" t="str">
        <f aca="false">IF(ABS(t-T_satellite)&lt;pas/2,"Satellite","")</f>
        <v/>
      </c>
      <c r="AC389" s="399" t="e">
        <f aca="false">IF(ABS(t-ROUND(t,0))&lt;0.001,t,NA())</f>
        <v>#N/A</v>
      </c>
      <c r="AD389" s="404" t="e">
        <f aca="false">IF(ABS(t-ROUND(t,0))&lt;0.001,pos_x,NA())</f>
        <v>#N/A</v>
      </c>
      <c r="AE389" s="405" t="e">
        <f aca="false">IF(t&lt;T_para, pos_z, NA())</f>
        <v>#N/A</v>
      </c>
      <c r="AG389" s="396" t="n">
        <f aca="false">IF(AND(L388&lt;L_rampe,Poussee&lt;Poids*SIN(M388)),0,(-W388+Poussee)/m-Poids*SIN(M388)/m)</f>
        <v>7.62743728121655</v>
      </c>
      <c r="AH389" s="397" t="n">
        <f aca="false">IF(AND(L388&lt;L_rampe,Poussee&lt;Poids*SIN(M388)), g*SIN(M388), (-W388+Poussee)/m)</f>
        <v>-1.5327768886385</v>
      </c>
    </row>
    <row r="390" customFormat="false" ht="12.75" hidden="false" customHeight="false" outlineLevel="0" collapsed="false">
      <c r="A390" s="396" t="n">
        <f aca="false">IF(B389+0.01&lt;=T_ini+ROUNDUP(Temps_fin_propu,0), 0.01, IF(K389&gt;0, 0.1, 0.0001))</f>
        <v>0.1</v>
      </c>
      <c r="B390" s="397" t="n">
        <f aca="false">B389+pas</f>
        <v>20.6</v>
      </c>
      <c r="D390" s="396" t="n">
        <f aca="false">IF(AND(L389&lt;L_rampe,Poussee&lt;Poids*SIN(M389)),0,(-W389+Poussee)/m*COS(M389)-U389/m*SIN(M389))</f>
        <v>-0.554838589809907</v>
      </c>
      <c r="E390" s="398" t="n">
        <f aca="false">IF(AND(L389&lt;L_rampe,Poussee&lt;Poids*SIN(M389)),0,(-W389+Poussee)/m*SIN(M389)+U389/m*COS(M389)-Poids/m)</f>
        <v>-8.33508153772227</v>
      </c>
      <c r="F390" s="397" t="n">
        <f aca="false">SQRT(acc_x^2+acc_z^2)</f>
        <v>8.35352800325832</v>
      </c>
      <c r="G390" s="396" t="n">
        <f aca="false">G389+acc_x*pas</f>
        <v>19.8746727609057</v>
      </c>
      <c r="H390" s="398" t="n">
        <f aca="false">H389+acc_z*pas</f>
        <v>-53.8135216110711</v>
      </c>
      <c r="I390" s="397" t="n">
        <f aca="false">SQRT(vit_x^2+vit_z^2)</f>
        <v>57.3663466288233</v>
      </c>
      <c r="J390" s="396" t="n">
        <f aca="false">J389+0.5*(vit_x+G389)*pas*(K389&gt;=0)</f>
        <v>508.800929470741</v>
      </c>
      <c r="K390" s="398" t="n">
        <f aca="false">K389+0.5*(vit_z+H389)*pas</f>
        <v>1029.97870007167</v>
      </c>
      <c r="L390" s="397" t="n">
        <f aca="false">SQRT(pos_x^2+pos_z^2)</f>
        <v>1148.79698312261</v>
      </c>
      <c r="M390" s="396" t="n">
        <f aca="false">IF(AND(L389&gt;L_rampe,G390&gt;0),ATAN2(G390,H390),$M$4)</f>
        <v>-1.21701035770186</v>
      </c>
      <c r="N390" s="397" t="n">
        <f aca="false">DEGREES(Beta)</f>
        <v>-69.7295571200232</v>
      </c>
      <c r="P390" s="399" t="n">
        <f aca="false">MATCH(t-pas/2-T_ini,CdP_t)</f>
        <v>23</v>
      </c>
      <c r="Q390" s="397" t="n">
        <f aca="false">(INDEX(CdP,2,i_P+1)-INDEX(CdP,2,i_P+0))/(INDEX(CdP,1,i_P+1)-INDEX(CdP,1,i_P+0))*(t-pas/2-T_ini-INDEX(CdP,1,i_P+0))+INDEX(CdP,2,i_P+0)</f>
        <v>0</v>
      </c>
      <c r="R390" s="396" t="n">
        <f aca="false">Poussee/(g*ISP)</f>
        <v>0</v>
      </c>
      <c r="S390" s="398" t="n">
        <f aca="false">S389-Débit*pas</f>
        <v>8.45</v>
      </c>
      <c r="T390" s="397" t="n">
        <f aca="false">m*g</f>
        <v>82.8945</v>
      </c>
      <c r="U390" s="400" t="n">
        <f aca="false">IF(pos_xz&lt;L_rampe,Poids*COS(Beta),0)</f>
        <v>0</v>
      </c>
      <c r="V390" s="396" t="n">
        <f aca="false">Rho_moyen*(20000-Alt_rampe-pos_z)/(20000+Alt_rampe+pos_z)</f>
        <v>1.10500711502542</v>
      </c>
      <c r="W390" s="397" t="n">
        <f aca="false">1/2*Rho*Sref*Cx*vit_xz^2</f>
        <v>13.683809098076</v>
      </c>
      <c r="Y390" s="401" t="str">
        <f aca="false">IF(AND(pos_z&lt;=0,K389&gt;0),"Impact balistique","") &amp; IF(AND(H391&lt;0,vit_z&gt;=0),"Apogée","") &amp; IF(AND(Poussee=0,Q389&gt;0),"Fin de propulsion","") &amp; IF(AND(L391&gt;L_rampe,pos_xz&lt;=L_rampe),"Sortie de rampe","")</f>
        <v/>
      </c>
      <c r="Z390" s="402" t="str">
        <f aca="false">IF(ABS(t-T_para)&lt;pas/2,"Para","")</f>
        <v/>
      </c>
      <c r="AA390" s="403" t="str">
        <f aca="false">IF(ABS(t-T_satellite)&lt;pas/2,"Satellite","")</f>
        <v/>
      </c>
      <c r="AC390" s="399" t="e">
        <f aca="false">IF(ABS(t-ROUND(t,0))&lt;0.001,t,NA())</f>
        <v>#N/A</v>
      </c>
      <c r="AD390" s="404" t="e">
        <f aca="false">IF(ABS(t-ROUND(t,0))&lt;0.001,pos_x,NA())</f>
        <v>#N/A</v>
      </c>
      <c r="AE390" s="405" t="e">
        <f aca="false">IF(t&lt;T_para, pos_z, NA())</f>
        <v>#N/A</v>
      </c>
      <c r="AG390" s="396" t="n">
        <f aca="false">IF(AND(L389&lt;L_rampe,Poussee&lt;Poids*SIN(M389)),0,(-W389+Poussee)/m-Poids*SIN(M389)/m)</f>
        <v>7.60598768517785</v>
      </c>
      <c r="AH390" s="397" t="n">
        <f aca="false">IF(AND(L389&lt;L_rampe,Poussee&lt;Poids*SIN(M389)), g*SIN(M389), (-W389+Poussee)/m)</f>
        <v>-1.57582687218804</v>
      </c>
    </row>
    <row r="391" customFormat="false" ht="12.75" hidden="false" customHeight="false" outlineLevel="0" collapsed="false">
      <c r="A391" s="396" t="n">
        <f aca="false">IF(B390+0.01&lt;=T_ini+ROUNDUP(Temps_fin_propu,0), 0.01, IF(K390&gt;0, 0.1, 0.0001))</f>
        <v>0.1</v>
      </c>
      <c r="B391" s="397" t="n">
        <f aca="false">B390+pas</f>
        <v>20.7</v>
      </c>
      <c r="D391" s="396" t="n">
        <f aca="false">IF(AND(L390&lt;L_rampe,Poussee&lt;Poids*SIN(M390)),0,(-W390+Poussee)/m*COS(M390)-U390/m*SIN(M390))</f>
        <v>-0.561039051554519</v>
      </c>
      <c r="E391" s="398" t="n">
        <f aca="false">IF(AND(L390&lt;L_rampe,Poussee&lt;Poids*SIN(M390)),0,(-W390+Poussee)/m*SIN(M390)+U390/m*COS(M390)-Poids/m)</f>
        <v>-8.29090645372176</v>
      </c>
      <c r="F391" s="397" t="n">
        <f aca="false">SQRT(acc_x^2+acc_z^2)</f>
        <v>8.30986730590412</v>
      </c>
      <c r="G391" s="396" t="n">
        <f aca="false">G390+acc_x*pas</f>
        <v>19.8185688557503</v>
      </c>
      <c r="H391" s="398" t="n">
        <f aca="false">H390+acc_z*pas</f>
        <v>-54.6426122564433</v>
      </c>
      <c r="I391" s="397" t="n">
        <f aca="false">SQRT(vit_x^2+vit_z^2)</f>
        <v>58.1256461959617</v>
      </c>
      <c r="J391" s="396" t="n">
        <f aca="false">J390+0.5*(vit_x+G390)*pas*(K390&gt;=0)</f>
        <v>510.785591551573</v>
      </c>
      <c r="K391" s="398" t="n">
        <f aca="false">K390+0.5*(vit_z+H390)*pas</f>
        <v>1024.5558933783</v>
      </c>
      <c r="L391" s="397" t="n">
        <f aca="false">SQRT(pos_x^2+pos_z^2)</f>
        <v>1144.82168882009</v>
      </c>
      <c r="M391" s="396" t="n">
        <f aca="false">IF(AND(L390&gt;L_rampe,G391&gt;0),ATAN2(G391,H391),$M$4)</f>
        <v>-1.22285753795162</v>
      </c>
      <c r="N391" s="397" t="n">
        <f aca="false">DEGREES(Beta)</f>
        <v>-70.0645758703866</v>
      </c>
      <c r="P391" s="399" t="n">
        <f aca="false">MATCH(t-pas/2-T_ini,CdP_t)</f>
        <v>23</v>
      </c>
      <c r="Q391" s="397" t="n">
        <f aca="false">(INDEX(CdP,2,i_P+1)-INDEX(CdP,2,i_P+0))/(INDEX(CdP,1,i_P+1)-INDEX(CdP,1,i_P+0))*(t-pas/2-T_ini-INDEX(CdP,1,i_P+0))+INDEX(CdP,2,i_P+0)</f>
        <v>0</v>
      </c>
      <c r="R391" s="396" t="n">
        <f aca="false">Poussee/(g*ISP)</f>
        <v>0</v>
      </c>
      <c r="S391" s="398" t="n">
        <f aca="false">S390-Débit*pas</f>
        <v>8.45</v>
      </c>
      <c r="T391" s="397" t="n">
        <f aca="false">m*g</f>
        <v>82.8945</v>
      </c>
      <c r="U391" s="400" t="n">
        <f aca="false">IF(pos_xz&lt;L_rampe,Poids*COS(Beta),0)</f>
        <v>0</v>
      </c>
      <c r="V391" s="396" t="n">
        <f aca="false">Rho_moyen*(20000-Alt_rampe-pos_z)/(20000+Alt_rampe+pos_z)</f>
        <v>1.10560808744277</v>
      </c>
      <c r="W391" s="397" t="n">
        <f aca="false">1/2*Rho*Sref*Cx*vit_xz^2</f>
        <v>14.0560839348124</v>
      </c>
      <c r="Y391" s="401" t="str">
        <f aca="false">IF(AND(pos_z&lt;=0,K390&gt;0),"Impact balistique","") &amp; IF(AND(H392&lt;0,vit_z&gt;=0),"Apogée","") &amp; IF(AND(Poussee=0,Q390&gt;0),"Fin de propulsion","") &amp; IF(AND(L392&gt;L_rampe,pos_xz&lt;=L_rampe),"Sortie de rampe","")</f>
        <v/>
      </c>
      <c r="Z391" s="402" t="str">
        <f aca="false">IF(ABS(t-T_para)&lt;pas/2,"Para","")</f>
        <v/>
      </c>
      <c r="AA391" s="403" t="str">
        <f aca="false">IF(ABS(t-T_satellite)&lt;pas/2,"Satellite","")</f>
        <v/>
      </c>
      <c r="AC391" s="399" t="e">
        <f aca="false">IF(ABS(t-ROUND(t,0))&lt;0.001,t,NA())</f>
        <v>#N/A</v>
      </c>
      <c r="AD391" s="404" t="e">
        <f aca="false">IF(ABS(t-ROUND(t,0))&lt;0.001,pos_x,NA())</f>
        <v>#N/A</v>
      </c>
      <c r="AE391" s="405" t="e">
        <f aca="false">IF(t&lt;T_para, pos_z, NA())</f>
        <v>#N/A</v>
      </c>
      <c r="AG391" s="396" t="n">
        <f aca="false">IF(AND(L390&lt;L_rampe,Poussee&lt;Poids*SIN(M390)),0,(-W390+Poussee)/m-Poids*SIN(M390)/m)</f>
        <v>7.58305926088765</v>
      </c>
      <c r="AH391" s="397" t="n">
        <f aca="false">IF(AND(L390&lt;L_rampe,Poussee&lt;Poids*SIN(M390)), g*SIN(M390), (-W390+Poussee)/m)</f>
        <v>-1.61938569208</v>
      </c>
    </row>
    <row r="392" customFormat="false" ht="12.75" hidden="false" customHeight="false" outlineLevel="0" collapsed="false">
      <c r="A392" s="396" t="n">
        <f aca="false">IF(B391+0.01&lt;=T_ini+ROUNDUP(Temps_fin_propu,0), 0.01, IF(K391&gt;0, 0.1, 0.0001))</f>
        <v>0.1</v>
      </c>
      <c r="B392" s="397" t="n">
        <f aca="false">B391+pas</f>
        <v>20.8</v>
      </c>
      <c r="D392" s="396" t="n">
        <f aca="false">IF(AND(L391&lt;L_rampe,Poussee&lt;Poids*SIN(M391)),0,(-W391+Poussee)/m*COS(M391)-U391/m*SIN(M391))</f>
        <v>-0.567168534172673</v>
      </c>
      <c r="E392" s="398" t="n">
        <f aca="false">IF(AND(L391&lt;L_rampe,Poussee&lt;Poids*SIN(M391)),0,(-W391+Poussee)/m*SIN(M391)+U391/m*COS(M391)-Poids/m)</f>
        <v>-8.24623570791487</v>
      </c>
      <c r="F392" s="397" t="n">
        <f aca="false">SQRT(acc_x^2+acc_z^2)</f>
        <v>8.26571736128486</v>
      </c>
      <c r="G392" s="396" t="n">
        <f aca="false">G391+acc_x*pas</f>
        <v>19.761852002333</v>
      </c>
      <c r="H392" s="398" t="n">
        <f aca="false">H391+acc_z*pas</f>
        <v>-55.4672358272347</v>
      </c>
      <c r="I392" s="397" t="n">
        <f aca="false">SQRT(vit_x^2+vit_z^2)</f>
        <v>58.8824680603334</v>
      </c>
      <c r="J392" s="396" t="n">
        <f aca="false">J391+0.5*(vit_x+G391)*pas*(K391&gt;=0)</f>
        <v>512.764612594478</v>
      </c>
      <c r="K392" s="398" t="n">
        <f aca="false">K391+0.5*(vit_z+H391)*pas</f>
        <v>1019.05040097411</v>
      </c>
      <c r="L392" s="397" t="n">
        <f aca="false">SQRT(pos_x^2+pos_z^2)</f>
        <v>1140.78537317703</v>
      </c>
      <c r="M392" s="396" t="n">
        <f aca="false">IF(AND(L391&gt;L_rampe,G392&gt;0),ATAN2(G392,H392),$M$4)</f>
        <v>-1.22853808071648</v>
      </c>
      <c r="N392" s="397" t="n">
        <f aca="false">DEGREES(Beta)</f>
        <v>-70.3900469961565</v>
      </c>
      <c r="P392" s="399" t="n">
        <f aca="false">MATCH(t-pas/2-T_ini,CdP_t)</f>
        <v>23</v>
      </c>
      <c r="Q392" s="397" t="n">
        <f aca="false">(INDEX(CdP,2,i_P+1)-INDEX(CdP,2,i_P+0))/(INDEX(CdP,1,i_P+1)-INDEX(CdP,1,i_P+0))*(t-pas/2-T_ini-INDEX(CdP,1,i_P+0))+INDEX(CdP,2,i_P+0)</f>
        <v>0</v>
      </c>
      <c r="R392" s="396" t="n">
        <f aca="false">Poussee/(g*ISP)</f>
        <v>0</v>
      </c>
      <c r="S392" s="398" t="n">
        <f aca="false">S391-Débit*pas</f>
        <v>8.45</v>
      </c>
      <c r="T392" s="397" t="n">
        <f aca="false">m*g</f>
        <v>82.8945</v>
      </c>
      <c r="U392" s="400" t="n">
        <f aca="false">IF(pos_xz&lt;L_rampe,Poids*COS(Beta),0)</f>
        <v>0</v>
      </c>
      <c r="V392" s="396" t="n">
        <f aca="false">Rho_moyen*(20000-Alt_rampe-pos_z)/(20000+Alt_rampe+pos_z)</f>
        <v>1.10621854057351</v>
      </c>
      <c r="W392" s="397" t="n">
        <f aca="false">1/2*Rho*Sref*Cx*vit_xz^2</f>
        <v>14.4324642462213</v>
      </c>
      <c r="Y392" s="401" t="str">
        <f aca="false">IF(AND(pos_z&lt;=0,K391&gt;0),"Impact balistique","") &amp; IF(AND(H393&lt;0,vit_z&gt;=0),"Apogée","") &amp; IF(AND(Poussee=0,Q391&gt;0),"Fin de propulsion","") &amp; IF(AND(L393&gt;L_rampe,pos_xz&lt;=L_rampe),"Sortie de rampe","")</f>
        <v/>
      </c>
      <c r="Z392" s="402" t="str">
        <f aca="false">IF(ABS(t-T_para)&lt;pas/2,"Para","")</f>
        <v/>
      </c>
      <c r="AA392" s="403" t="str">
        <f aca="false">IF(ABS(t-T_satellite)&lt;pas/2,"Satellite","")</f>
        <v/>
      </c>
      <c r="AC392" s="399" t="e">
        <f aca="false">IF(ABS(t-ROUND(t,0))&lt;0.001,t,NA())</f>
        <v>#N/A</v>
      </c>
      <c r="AD392" s="404" t="e">
        <f aca="false">IF(ABS(t-ROUND(t,0))&lt;0.001,pos_x,NA())</f>
        <v>#N/A</v>
      </c>
      <c r="AE392" s="405" t="e">
        <f aca="false">IF(t&lt;T_para, pos_z, NA())</f>
        <v>#N/A</v>
      </c>
      <c r="AG392" s="396" t="n">
        <f aca="false">IF(AND(L391&lt;L_rampe,Poussee&lt;Poids*SIN(M391)),0,(-W391+Poussee)/m-Poids*SIN(M391)/m)</f>
        <v>7.55871840519921</v>
      </c>
      <c r="AH392" s="397" t="n">
        <f aca="false">IF(AND(L391&lt;L_rampe,Poussee&lt;Poids*SIN(M391)), g*SIN(M391), (-W391+Poussee)/m)</f>
        <v>-1.66344188577662</v>
      </c>
    </row>
    <row r="393" customFormat="false" ht="12.75" hidden="false" customHeight="false" outlineLevel="0" collapsed="false">
      <c r="A393" s="396" t="n">
        <f aca="false">IF(B392+0.01&lt;=T_ini+ROUNDUP(Temps_fin_propu,0), 0.01, IF(K392&gt;0, 0.1, 0.0001))</f>
        <v>0.1</v>
      </c>
      <c r="B393" s="397" t="n">
        <f aca="false">B392+pas</f>
        <v>20.9</v>
      </c>
      <c r="D393" s="396" t="n">
        <f aca="false">IF(AND(L392&lt;L_rampe,Poussee&lt;Poids*SIN(M392)),0,(-W392+Poussee)/m*COS(M392)-U392/m*SIN(M392))</f>
        <v>-0.573225390292005</v>
      </c>
      <c r="E393" s="398" t="n">
        <f aca="false">IF(AND(L392&lt;L_rampe,Poussee&lt;Poids*SIN(M392)),0,(-W392+Poussee)/m*SIN(M392)+U392/m*COS(M392)-Poids/m)</f>
        <v>-8.20108055754432</v>
      </c>
      <c r="F393" s="397" t="n">
        <f aca="false">SQRT(acc_x^2+acc_z^2)</f>
        <v>8.22108932316191</v>
      </c>
      <c r="G393" s="396" t="n">
        <f aca="false">G392+acc_x*pas</f>
        <v>19.7045294633038</v>
      </c>
      <c r="H393" s="398" t="n">
        <f aca="false">H392+acc_z*pas</f>
        <v>-56.2873438829892</v>
      </c>
      <c r="I393" s="397" t="n">
        <f aca="false">SQRT(vit_x^2+vit_z^2)</f>
        <v>59.6366796759518</v>
      </c>
      <c r="J393" s="396" t="n">
        <f aca="false">J392+0.5*(vit_x+G392)*pas*(K392&gt;=0)</f>
        <v>514.737931667759</v>
      </c>
      <c r="K393" s="398" t="n">
        <f aca="false">K392+0.5*(vit_z+H392)*pas</f>
        <v>1013.4626719886</v>
      </c>
      <c r="L393" s="397" t="n">
        <f aca="false">SQRT(pos_x^2+pos_z^2)</f>
        <v>1136.68893097975</v>
      </c>
      <c r="M393" s="396" t="n">
        <f aca="false">IF(AND(L392&gt;L_rampe,G393&gt;0),ATAN2(G393,H393),$M$4)</f>
        <v>-1.23405884742006</v>
      </c>
      <c r="N393" s="397" t="n">
        <f aca="false">DEGREES(Beta)</f>
        <v>-70.706363627948</v>
      </c>
      <c r="P393" s="399" t="n">
        <f aca="false">MATCH(t-pas/2-T_ini,CdP_t)</f>
        <v>23</v>
      </c>
      <c r="Q393" s="397" t="n">
        <f aca="false">(INDEX(CdP,2,i_P+1)-INDEX(CdP,2,i_P+0))/(INDEX(CdP,1,i_P+1)-INDEX(CdP,1,i_P+0))*(t-pas/2-T_ini-INDEX(CdP,1,i_P+0))+INDEX(CdP,2,i_P+0)</f>
        <v>0</v>
      </c>
      <c r="R393" s="396" t="n">
        <f aca="false">Poussee/(g*ISP)</f>
        <v>0</v>
      </c>
      <c r="S393" s="398" t="n">
        <f aca="false">S392-Débit*pas</f>
        <v>8.45</v>
      </c>
      <c r="T393" s="397" t="n">
        <f aca="false">m*g</f>
        <v>82.8945</v>
      </c>
      <c r="U393" s="400" t="n">
        <f aca="false">IF(pos_xz&lt;L_rampe,Poids*COS(Beta),0)</f>
        <v>0</v>
      </c>
      <c r="V393" s="396" t="n">
        <f aca="false">Rho_moyen*(20000-Alt_rampe-pos_z)/(20000+Alt_rampe+pos_z)</f>
        <v>1.10683843923629</v>
      </c>
      <c r="W393" s="397" t="n">
        <f aca="false">1/2*Rho*Sref*Cx*vit_xz^2</f>
        <v>14.8128522691072</v>
      </c>
      <c r="Y393" s="401" t="str">
        <f aca="false">IF(AND(pos_z&lt;=0,K392&gt;0),"Impact balistique","") &amp; IF(AND(H394&lt;0,vit_z&gt;=0),"Apogée","") &amp; IF(AND(Poussee=0,Q392&gt;0),"Fin de propulsion","") &amp; IF(AND(L394&gt;L_rampe,pos_xz&lt;=L_rampe),"Sortie de rampe","")</f>
        <v/>
      </c>
      <c r="Z393" s="402" t="str">
        <f aca="false">IF(ABS(t-T_para)&lt;pas/2,"Para","")</f>
        <v/>
      </c>
      <c r="AA393" s="403" t="str">
        <f aca="false">IF(ABS(t-T_satellite)&lt;pas/2,"Satellite","")</f>
        <v/>
      </c>
      <c r="AC393" s="399" t="e">
        <f aca="false">IF(ABS(t-ROUND(t,0))&lt;0.001,t,NA())</f>
        <v>#N/A</v>
      </c>
      <c r="AD393" s="404" t="e">
        <f aca="false">IF(ABS(t-ROUND(t,0))&lt;0.001,pos_x,NA())</f>
        <v>#N/A</v>
      </c>
      <c r="AE393" s="405" t="e">
        <f aca="false">IF(t&lt;T_para, pos_z, NA())</f>
        <v>#N/A</v>
      </c>
      <c r="AG393" s="396" t="n">
        <f aca="false">IF(AND(L392&lt;L_rampe,Poussee&lt;Poids*SIN(M392)),0,(-W392+Poussee)/m-Poids*SIN(M392)/m)</f>
        <v>7.53302788772435</v>
      </c>
      <c r="AH393" s="397" t="n">
        <f aca="false">IF(AND(L392&lt;L_rampe,Poussee&lt;Poids*SIN(M392)), g*SIN(M392), (-W392+Poussee)/m)</f>
        <v>-1.70798393446406</v>
      </c>
    </row>
    <row r="394" customFormat="false" ht="12.75" hidden="false" customHeight="false" outlineLevel="0" collapsed="false">
      <c r="A394" s="396" t="n">
        <f aca="false">IF(B393+0.01&lt;=T_ini+ROUNDUP(Temps_fin_propu,0), 0.01, IF(K393&gt;0, 0.1, 0.0001))</f>
        <v>0.1</v>
      </c>
      <c r="B394" s="397" t="n">
        <f aca="false">B393+pas</f>
        <v>21</v>
      </c>
      <c r="D394" s="396" t="n">
        <f aca="false">IF(AND(L393&lt;L_rampe,Poussee&lt;Poids*SIN(M393)),0,(-W393+Poussee)/m*COS(M393)-U393/m*SIN(M393))</f>
        <v>-0.579208058332341</v>
      </c>
      <c r="E394" s="398" t="n">
        <f aca="false">IF(AND(L393&lt;L_rampe,Poussee&lt;Poids*SIN(M393)),0,(-W393+Poussee)/m*SIN(M393)+U393/m*COS(M393)-Poids/m)</f>
        <v>-8.1554523377548</v>
      </c>
      <c r="F394" s="397" t="n">
        <f aca="false">SQRT(acc_x^2+acc_z^2)</f>
        <v>8.17599442320183</v>
      </c>
      <c r="G394" s="396" t="n">
        <f aca="false">G393+acc_x*pas</f>
        <v>19.6466086574706</v>
      </c>
      <c r="H394" s="398" t="n">
        <f aca="false">H393+acc_z*pas</f>
        <v>-57.1028891167647</v>
      </c>
      <c r="I394" s="397" t="n">
        <f aca="false">SQRT(vit_x^2+vit_z^2)</f>
        <v>60.3881542789752</v>
      </c>
      <c r="J394" s="396" t="n">
        <f aca="false">J393+0.5*(vit_x+G393)*pas*(K393&gt;=0)</f>
        <v>516.705488573798</v>
      </c>
      <c r="K394" s="398" t="n">
        <f aca="false">K393+0.5*(vit_z+H393)*pas</f>
        <v>1007.79316033861</v>
      </c>
      <c r="L394" s="397" t="n">
        <f aca="false">SQRT(pos_x^2+pos_z^2)</f>
        <v>1132.53327366024</v>
      </c>
      <c r="M394" s="396" t="n">
        <f aca="false">IF(AND(L393&gt;L_rampe,G394&gt;0),ATAN2(G394,H394),$M$4)</f>
        <v>-1.23942634614104</v>
      </c>
      <c r="N394" s="397" t="n">
        <f aca="false">DEGREES(Beta)</f>
        <v>-71.0138986512021</v>
      </c>
      <c r="P394" s="399" t="n">
        <f aca="false">MATCH(t-pas/2-T_ini,CdP_t)</f>
        <v>23</v>
      </c>
      <c r="Q394" s="397" t="n">
        <f aca="false">(INDEX(CdP,2,i_P+1)-INDEX(CdP,2,i_P+0))/(INDEX(CdP,1,i_P+1)-INDEX(CdP,1,i_P+0))*(t-pas/2-T_ini-INDEX(CdP,1,i_P+0))+INDEX(CdP,2,i_P+0)</f>
        <v>0</v>
      </c>
      <c r="R394" s="396" t="n">
        <f aca="false">Poussee/(g*ISP)</f>
        <v>0</v>
      </c>
      <c r="S394" s="398" t="n">
        <f aca="false">S393-Débit*pas</f>
        <v>8.45</v>
      </c>
      <c r="T394" s="397" t="n">
        <f aca="false">m*g</f>
        <v>82.8945</v>
      </c>
      <c r="U394" s="400" t="n">
        <f aca="false">IF(pos_xz&lt;L_rampe,Poids*COS(Beta),0)</f>
        <v>0</v>
      </c>
      <c r="V394" s="396" t="n">
        <f aca="false">Rho_moyen*(20000-Alt_rampe-pos_z)/(20000+Alt_rampe+pos_z)</f>
        <v>1.1074677478503</v>
      </c>
      <c r="W394" s="397" t="n">
        <f aca="false">1/2*Rho*Sref*Cx*vit_xz^2</f>
        <v>15.1971498572175</v>
      </c>
      <c r="Y394" s="401" t="str">
        <f aca="false">IF(AND(pos_z&lt;=0,K393&gt;0),"Impact balistique","") &amp; IF(AND(H395&lt;0,vit_z&gt;=0),"Apogée","") &amp; IF(AND(Poussee=0,Q393&gt;0),"Fin de propulsion","") &amp; IF(AND(L395&gt;L_rampe,pos_xz&lt;=L_rampe),"Sortie de rampe","")</f>
        <v/>
      </c>
      <c r="Z394" s="402" t="str">
        <f aca="false">IF(ABS(t-T_para)&lt;pas/2,"Para","")</f>
        <v/>
      </c>
      <c r="AA394" s="403" t="str">
        <f aca="false">IF(ABS(t-T_satellite)&lt;pas/2,"Satellite","")</f>
        <v/>
      </c>
      <c r="AC394" s="399" t="n">
        <f aca="false">IF(ABS(t-ROUND(t,0))&lt;0.001,t,NA())</f>
        <v>21</v>
      </c>
      <c r="AD394" s="404" t="n">
        <f aca="false">IF(ABS(t-ROUND(t,0))&lt;0.001,pos_x,NA())</f>
        <v>516.705488573798</v>
      </c>
      <c r="AE394" s="405" t="e">
        <f aca="false">IF(t&lt;T_para, pos_z, NA())</f>
        <v>#N/A</v>
      </c>
      <c r="AG394" s="396" t="n">
        <f aca="false">IF(AND(L393&lt;L_rampe,Poussee&lt;Poids*SIN(M393)),0,(-W393+Poussee)/m-Poids*SIN(M393)/m)</f>
        <v>7.50604712465651</v>
      </c>
      <c r="AH394" s="397" t="n">
        <f aca="false">IF(AND(L393&lt;L_rampe,Poussee&lt;Poids*SIN(M393)), g*SIN(M393), (-W393+Poussee)/m)</f>
        <v>-1.7530002685334</v>
      </c>
    </row>
    <row r="395" customFormat="false" ht="12.75" hidden="false" customHeight="false" outlineLevel="0" collapsed="false">
      <c r="A395" s="396" t="n">
        <f aca="false">IF(B394+0.01&lt;=T_ini+ROUNDUP(Temps_fin_propu,0), 0.01, IF(K394&gt;0, 0.1, 0.0001))</f>
        <v>0.1</v>
      </c>
      <c r="B395" s="397" t="n">
        <f aca="false">B394+pas</f>
        <v>21.1</v>
      </c>
      <c r="D395" s="396" t="n">
        <f aca="false">IF(AND(L394&lt;L_rampe,Poussee&lt;Poids*SIN(M394)),0,(-W394+Poussee)/m*COS(M394)-U394/m*SIN(M394))</f>
        <v>-0.585115059036659</v>
      </c>
      <c r="E395" s="398" t="n">
        <f aca="false">IF(AND(L394&lt;L_rampe,Poussee&lt;Poids*SIN(M394)),0,(-W394+Poussee)/m*SIN(M394)+U394/m*COS(M394)-Poids/m)</f>
        <v>-8.10936245388515</v>
      </c>
      <c r="F395" s="397" t="n">
        <f aca="false">SQRT(acc_x^2+acc_z^2)</f>
        <v>8.13044396332658</v>
      </c>
      <c r="G395" s="396" t="n">
        <f aca="false">G394+acc_x*pas</f>
        <v>19.5880971515669</v>
      </c>
      <c r="H395" s="398" t="n">
        <f aca="false">H394+acc_z*pas</f>
        <v>-57.9138253621532</v>
      </c>
      <c r="I395" s="397" t="n">
        <f aca="false">SQRT(vit_x^2+vit_z^2)</f>
        <v>61.1367705893695</v>
      </c>
      <c r="J395" s="396" t="n">
        <f aca="false">J394+0.5*(vit_x+G394)*pas*(K394&gt;=0)</f>
        <v>518.66722386425</v>
      </c>
      <c r="K395" s="398" t="n">
        <f aca="false">K394+0.5*(vit_z+H394)*pas</f>
        <v>1002.04232461467</v>
      </c>
      <c r="L395" s="397" t="n">
        <f aca="false">SQRT(pos_x^2+pos_z^2)</f>
        <v>1128.31932954737</v>
      </c>
      <c r="M395" s="396" t="n">
        <f aca="false">IF(AND(L394&gt;L_rampe,G395&gt;0),ATAN2(G395,H395),$M$4)</f>
        <v>-1.24464675267044</v>
      </c>
      <c r="N395" s="397" t="n">
        <f aca="false">DEGREES(Beta)</f>
        <v>-71.3130059126793</v>
      </c>
      <c r="P395" s="399" t="n">
        <f aca="false">MATCH(t-pas/2-T_ini,CdP_t)</f>
        <v>23</v>
      </c>
      <c r="Q395" s="397" t="n">
        <f aca="false">(INDEX(CdP,2,i_P+1)-INDEX(CdP,2,i_P+0))/(INDEX(CdP,1,i_P+1)-INDEX(CdP,1,i_P+0))*(t-pas/2-T_ini-INDEX(CdP,1,i_P+0))+INDEX(CdP,2,i_P+0)</f>
        <v>0</v>
      </c>
      <c r="R395" s="396" t="n">
        <f aca="false">Poussee/(g*ISP)</f>
        <v>0</v>
      </c>
      <c r="S395" s="398" t="n">
        <f aca="false">S394-Débit*pas</f>
        <v>8.45</v>
      </c>
      <c r="T395" s="397" t="n">
        <f aca="false">m*g</f>
        <v>82.8945</v>
      </c>
      <c r="U395" s="400" t="n">
        <f aca="false">IF(pos_xz&lt;L_rampe,Poids*COS(Beta),0)</f>
        <v>0</v>
      </c>
      <c r="V395" s="396" t="n">
        <f aca="false">Rho_moyen*(20000-Alt_rampe-pos_z)/(20000+Alt_rampe+pos_z)</f>
        <v>1.10810643044326</v>
      </c>
      <c r="W395" s="397" t="n">
        <f aca="false">1/2*Rho*Sref*Cx*vit_xz^2</f>
        <v>15.5852585272074</v>
      </c>
      <c r="Y395" s="401" t="str">
        <f aca="false">IF(AND(pos_z&lt;=0,K394&gt;0),"Impact balistique","") &amp; IF(AND(H396&lt;0,vit_z&gt;=0),"Apogée","") &amp; IF(AND(Poussee=0,Q394&gt;0),"Fin de propulsion","") &amp; IF(AND(L396&gt;L_rampe,pos_xz&lt;=L_rampe),"Sortie de rampe","")</f>
        <v/>
      </c>
      <c r="Z395" s="402" t="str">
        <f aca="false">IF(ABS(t-T_para)&lt;pas/2,"Para","")</f>
        <v/>
      </c>
      <c r="AA395" s="403" t="str">
        <f aca="false">IF(ABS(t-T_satellite)&lt;pas/2,"Satellite","")</f>
        <v/>
      </c>
      <c r="AC395" s="399" t="e">
        <f aca="false">IF(ABS(t-ROUND(t,0))&lt;0.001,t,NA())</f>
        <v>#N/A</v>
      </c>
      <c r="AD395" s="404" t="e">
        <f aca="false">IF(ABS(t-ROUND(t,0))&lt;0.001,pos_x,NA())</f>
        <v>#N/A</v>
      </c>
      <c r="AE395" s="405" t="e">
        <f aca="false">IF(t&lt;T_para, pos_z, NA())</f>
        <v>#N/A</v>
      </c>
      <c r="AG395" s="396" t="n">
        <f aca="false">IF(AND(L394&lt;L_rampe,Poussee&lt;Poids*SIN(M394)),0,(-W394+Poussee)/m-Poids*SIN(M394)/m)</f>
        <v>7.47783242953977</v>
      </c>
      <c r="AH395" s="397" t="n">
        <f aca="false">IF(AND(L394&lt;L_rampe,Poussee&lt;Poids*SIN(M394)), g*SIN(M394), (-W394+Poussee)/m)</f>
        <v>-1.79847927304349</v>
      </c>
    </row>
    <row r="396" customFormat="false" ht="12.75" hidden="false" customHeight="false" outlineLevel="0" collapsed="false">
      <c r="A396" s="396" t="n">
        <f aca="false">IF(B395+0.01&lt;=T_ini+ROUNDUP(Temps_fin_propu,0), 0.01, IF(K395&gt;0, 0.1, 0.0001))</f>
        <v>0.1</v>
      </c>
      <c r="B396" s="397" t="n">
        <f aca="false">B395+pas</f>
        <v>21.2</v>
      </c>
      <c r="D396" s="396" t="n">
        <f aca="false">IF(AND(L395&lt;L_rampe,Poussee&lt;Poids*SIN(M395)),0,(-W395+Poussee)/m*COS(M395)-U395/m*SIN(M395))</f>
        <v>-0.590944992242777</v>
      </c>
      <c r="E396" s="398" t="n">
        <f aca="false">IF(AND(L395&lt;L_rampe,Poussee&lt;Poids*SIN(M395)),0,(-W395+Poussee)/m*SIN(M395)+U395/m*COS(M395)-Poids/m)</f>
        <v>-8.06282237398698</v>
      </c>
      <c r="F396" s="397" t="n">
        <f aca="false">SQRT(acc_x^2+acc_z^2)</f>
        <v>8.08444930829069</v>
      </c>
      <c r="G396" s="396" t="n">
        <f aca="false">G395+acc_x*pas</f>
        <v>19.5290026523426</v>
      </c>
      <c r="H396" s="398" t="n">
        <f aca="false">H395+acc_z*pas</f>
        <v>-58.7201075995519</v>
      </c>
      <c r="I396" s="397" t="n">
        <f aca="false">SQRT(vit_x^2+vit_z^2)</f>
        <v>61.8824125345655</v>
      </c>
      <c r="J396" s="396" t="n">
        <f aca="false">J395+0.5*(vit_x+G395)*pas*(K395&gt;=0)</f>
        <v>520.623078854445</v>
      </c>
      <c r="K396" s="398" t="n">
        <f aca="false">K395+0.5*(vit_z+H395)*pas</f>
        <v>996.210627966583</v>
      </c>
      <c r="L396" s="397" t="n">
        <f aca="false">SQRT(pos_x^2+pos_z^2)</f>
        <v>1124.04804412866</v>
      </c>
      <c r="M396" s="396" t="n">
        <f aca="false">IF(AND(L395&gt;L_rampe,G396&gt;0),ATAN2(G396,H396),$M$4)</f>
        <v>-1.24972593020294</v>
      </c>
      <c r="N396" s="397" t="n">
        <f aca="false">DEGREES(Beta)</f>
        <v>-71.6040213486894</v>
      </c>
      <c r="P396" s="399" t="n">
        <f aca="false">MATCH(t-pas/2-T_ini,CdP_t)</f>
        <v>23</v>
      </c>
      <c r="Q396" s="397" t="n">
        <f aca="false">(INDEX(CdP,2,i_P+1)-INDEX(CdP,2,i_P+0))/(INDEX(CdP,1,i_P+1)-INDEX(CdP,1,i_P+0))*(t-pas/2-T_ini-INDEX(CdP,1,i_P+0))+INDEX(CdP,2,i_P+0)</f>
        <v>0</v>
      </c>
      <c r="R396" s="396" t="n">
        <f aca="false">Poussee/(g*ISP)</f>
        <v>0</v>
      </c>
      <c r="S396" s="398" t="n">
        <f aca="false">S395-Débit*pas</f>
        <v>8.45</v>
      </c>
      <c r="T396" s="397" t="n">
        <f aca="false">m*g</f>
        <v>82.8945</v>
      </c>
      <c r="U396" s="400" t="n">
        <f aca="false">IF(pos_xz&lt;L_rampe,Poids*COS(Beta),0)</f>
        <v>0</v>
      </c>
      <c r="V396" s="396" t="n">
        <f aca="false">Rho_moyen*(20000-Alt_rampe-pos_z)/(20000+Alt_rampe+pos_z)</f>
        <v>1.10875445065944</v>
      </c>
      <c r="W396" s="397" t="n">
        <f aca="false">1/2*Rho*Sref*Cx*vit_xz^2</f>
        <v>15.9770795043711</v>
      </c>
      <c r="Y396" s="401" t="str">
        <f aca="false">IF(AND(pos_z&lt;=0,K395&gt;0),"Impact balistique","") &amp; IF(AND(H397&lt;0,vit_z&gt;=0),"Apogée","") &amp; IF(AND(Poussee=0,Q395&gt;0),"Fin de propulsion","") &amp; IF(AND(L397&gt;L_rampe,pos_xz&lt;=L_rampe),"Sortie de rampe","")</f>
        <v/>
      </c>
      <c r="Z396" s="402" t="str">
        <f aca="false">IF(ABS(t-T_para)&lt;pas/2,"Para","")</f>
        <v/>
      </c>
      <c r="AA396" s="403" t="str">
        <f aca="false">IF(ABS(t-T_satellite)&lt;pas/2,"Satellite","")</f>
        <v/>
      </c>
      <c r="AC396" s="399" t="e">
        <f aca="false">IF(ABS(t-ROUND(t,0))&lt;0.001,t,NA())</f>
        <v>#N/A</v>
      </c>
      <c r="AD396" s="404" t="e">
        <f aca="false">IF(ABS(t-ROUND(t,0))&lt;0.001,pos_x,NA())</f>
        <v>#N/A</v>
      </c>
      <c r="AE396" s="405" t="e">
        <f aca="false">IF(t&lt;T_para, pos_z, NA())</f>
        <v>#N/A</v>
      </c>
      <c r="AG396" s="396" t="n">
        <f aca="false">IF(AND(L395&lt;L_rampe,Poussee&lt;Poids*SIN(M395)),0,(-W395+Poussee)/m-Poids*SIN(M395)/m)</f>
        <v>7.44843724298777</v>
      </c>
      <c r="AH396" s="397" t="n">
        <f aca="false">IF(AND(L395&lt;L_rampe,Poussee&lt;Poids*SIN(M395)), g*SIN(M395), (-W395+Poussee)/m)</f>
        <v>-1.84440929316064</v>
      </c>
    </row>
    <row r="397" customFormat="false" ht="12.75" hidden="false" customHeight="false" outlineLevel="0" collapsed="false">
      <c r="A397" s="396" t="n">
        <f aca="false">IF(B396+0.01&lt;=T_ini+ROUNDUP(Temps_fin_propu,0), 0.01, IF(K396&gt;0, 0.1, 0.0001))</f>
        <v>0.1</v>
      </c>
      <c r="B397" s="397" t="n">
        <f aca="false">B396+pas</f>
        <v>21.3</v>
      </c>
      <c r="D397" s="396" t="n">
        <f aca="false">IF(AND(L396&lt;L_rampe,Poussee&lt;Poids*SIN(M396)),0,(-W396+Poussee)/m*COS(M396)-U396/m*SIN(M396))</f>
        <v>-0.596696533874479</v>
      </c>
      <c r="E397" s="398" t="n">
        <f aca="false">IF(AND(L396&lt;L_rampe,Poussee&lt;Poids*SIN(M396)),0,(-W396+Poussee)/m*SIN(M396)+U396/m*COS(M396)-Poids/m)</f>
        <v>-8.01584362155402</v>
      </c>
      <c r="F397" s="397" t="n">
        <f aca="false">SQRT(acc_x^2+acc_z^2)</f>
        <v>8.03802187846898</v>
      </c>
      <c r="G397" s="396" t="n">
        <f aca="false">G396+acc_x*pas</f>
        <v>19.4693329989552</v>
      </c>
      <c r="H397" s="398" t="n">
        <f aca="false">H396+acc_z*pas</f>
        <v>-59.5216919617073</v>
      </c>
      <c r="I397" s="397" t="n">
        <f aca="false">SQRT(vit_x^2+vit_z^2)</f>
        <v>62.6249689932743</v>
      </c>
      <c r="J397" s="396" t="n">
        <f aca="false">J396+0.5*(vit_x+G396)*pas*(K396&gt;=0)</f>
        <v>522.57299563701</v>
      </c>
      <c r="K397" s="398" t="n">
        <f aca="false">K396+0.5*(vit_z+H396)*pas</f>
        <v>990.29853798852</v>
      </c>
      <c r="L397" s="397" t="n">
        <f aca="false">SQRT(pos_x^2+pos_z^2)</f>
        <v>1119.72038032325</v>
      </c>
      <c r="M397" s="396" t="n">
        <f aca="false">IF(AND(L396&gt;L_rampe,G397&gt;0),ATAN2(G397,H397),$M$4)</f>
        <v>-1.25466944775166</v>
      </c>
      <c r="N397" s="397" t="n">
        <f aca="false">DEGREES(Beta)</f>
        <v>-71.88726404018</v>
      </c>
      <c r="P397" s="399" t="n">
        <f aca="false">MATCH(t-pas/2-T_ini,CdP_t)</f>
        <v>23</v>
      </c>
      <c r="Q397" s="397" t="n">
        <f aca="false">(INDEX(CdP,2,i_P+1)-INDEX(CdP,2,i_P+0))/(INDEX(CdP,1,i_P+1)-INDEX(CdP,1,i_P+0))*(t-pas/2-T_ini-INDEX(CdP,1,i_P+0))+INDEX(CdP,2,i_P+0)</f>
        <v>0</v>
      </c>
      <c r="R397" s="396" t="n">
        <f aca="false">Poussee/(g*ISP)</f>
        <v>0</v>
      </c>
      <c r="S397" s="398" t="n">
        <f aca="false">S396-Débit*pas</f>
        <v>8.45</v>
      </c>
      <c r="T397" s="397" t="n">
        <f aca="false">m*g</f>
        <v>82.8945</v>
      </c>
      <c r="U397" s="400" t="n">
        <f aca="false">IF(pos_xz&lt;L_rampe,Poids*COS(Beta),0)</f>
        <v>0</v>
      </c>
      <c r="V397" s="396" t="n">
        <f aca="false">Rho_moyen*(20000-Alt_rampe-pos_z)/(20000+Alt_rampe+pos_z)</f>
        <v>1.10941177176776</v>
      </c>
      <c r="W397" s="397" t="n">
        <f aca="false">1/2*Rho*Sref*Cx*vit_xz^2</f>
        <v>16.3725137680974</v>
      </c>
      <c r="Y397" s="401" t="str">
        <f aca="false">IF(AND(pos_z&lt;=0,K396&gt;0),"Impact balistique","") &amp; IF(AND(H398&lt;0,vit_z&gt;=0),"Apogée","") &amp; IF(AND(Poussee=0,Q396&gt;0),"Fin de propulsion","") &amp; IF(AND(L398&gt;L_rampe,pos_xz&lt;=L_rampe),"Sortie de rampe","")</f>
        <v/>
      </c>
      <c r="Z397" s="402" t="str">
        <f aca="false">IF(ABS(t-T_para)&lt;pas/2,"Para","")</f>
        <v/>
      </c>
      <c r="AA397" s="403" t="str">
        <f aca="false">IF(ABS(t-T_satellite)&lt;pas/2,"Satellite","")</f>
        <v/>
      </c>
      <c r="AC397" s="399" t="e">
        <f aca="false">IF(ABS(t-ROUND(t,0))&lt;0.001,t,NA())</f>
        <v>#N/A</v>
      </c>
      <c r="AD397" s="404" t="e">
        <f aca="false">IF(ABS(t-ROUND(t,0))&lt;0.001,pos_x,NA())</f>
        <v>#N/A</v>
      </c>
      <c r="AE397" s="405" t="e">
        <f aca="false">IF(t&lt;T_para, pos_z, NA())</f>
        <v>#N/A</v>
      </c>
      <c r="AG397" s="396" t="n">
        <f aca="false">IF(AND(L396&lt;L_rampe,Poussee&lt;Poids*SIN(M396)),0,(-W396+Poussee)/m-Poids*SIN(M396)/m)</f>
        <v>7.41791234318395</v>
      </c>
      <c r="AH397" s="397" t="n">
        <f aca="false">IF(AND(L396&lt;L_rampe,Poussee&lt;Poids*SIN(M396)), g*SIN(M396), (-W396+Poussee)/m)</f>
        <v>-1.89077863957054</v>
      </c>
    </row>
    <row r="398" customFormat="false" ht="12.75" hidden="false" customHeight="false" outlineLevel="0" collapsed="false">
      <c r="A398" s="396" t="n">
        <f aca="false">IF(B397+0.01&lt;=T_ini+ROUNDUP(Temps_fin_propu,0), 0.01, IF(K397&gt;0, 0.1, 0.0001))</f>
        <v>0.1</v>
      </c>
      <c r="B398" s="397" t="n">
        <f aca="false">B397+pas</f>
        <v>21.4</v>
      </c>
      <c r="D398" s="396" t="n">
        <f aca="false">IF(AND(L397&lt;L_rampe,Poussee&lt;Poids*SIN(M397)),0,(-W397+Poussee)/m*COS(M397)-U397/m*SIN(M397))</f>
        <v>-0.602368433132716</v>
      </c>
      <c r="E398" s="398" t="n">
        <f aca="false">IF(AND(L397&lt;L_rampe,Poussee&lt;Poids*SIN(M397)),0,(-W397+Poussee)/m*SIN(M397)+U397/m*COS(M397)-Poids/m)</f>
        <v>-7.96843776844816</v>
      </c>
      <c r="F398" s="397" t="n">
        <f aca="false">SQRT(acc_x^2+acc_z^2)</f>
        <v>7.99117314284116</v>
      </c>
      <c r="G398" s="396" t="n">
        <f aca="false">G397+acc_x*pas</f>
        <v>19.4090961556419</v>
      </c>
      <c r="H398" s="398" t="n">
        <f aca="false">H397+acc_z*pas</f>
        <v>-60.3185357385521</v>
      </c>
      <c r="I398" s="397" t="n">
        <f aca="false">SQRT(vit_x^2+vit_z^2)</f>
        <v>63.3643335577826</v>
      </c>
      <c r="J398" s="396" t="n">
        <f aca="false">J397+0.5*(vit_x+G397)*pas*(K397&gt;=0)</f>
        <v>524.51691709474</v>
      </c>
      <c r="K398" s="398" t="n">
        <f aca="false">K397+0.5*(vit_z+H397)*pas</f>
        <v>984.306526603507</v>
      </c>
      <c r="L398" s="397" t="n">
        <f aca="false">SQRT(pos_x^2+pos_z^2)</f>
        <v>1115.33731876631</v>
      </c>
      <c r="M398" s="396" t="n">
        <f aca="false">IF(AND(L397&gt;L_rampe,G398&gt;0),ATAN2(G398,H398),$M$4)</f>
        <v>-1.25948259737078</v>
      </c>
      <c r="N398" s="397" t="n">
        <f aca="false">DEGREES(Beta)</f>
        <v>-72.1630371995204</v>
      </c>
      <c r="P398" s="399" t="n">
        <f aca="false">MATCH(t-pas/2-T_ini,CdP_t)</f>
        <v>23</v>
      </c>
      <c r="Q398" s="397" t="n">
        <f aca="false">(INDEX(CdP,2,i_P+1)-INDEX(CdP,2,i_P+0))/(INDEX(CdP,1,i_P+1)-INDEX(CdP,1,i_P+0))*(t-pas/2-T_ini-INDEX(CdP,1,i_P+0))+INDEX(CdP,2,i_P+0)</f>
        <v>0</v>
      </c>
      <c r="R398" s="396" t="n">
        <f aca="false">Poussee/(g*ISP)</f>
        <v>0</v>
      </c>
      <c r="S398" s="398" t="n">
        <f aca="false">S397-Débit*pas</f>
        <v>8.45</v>
      </c>
      <c r="T398" s="397" t="n">
        <f aca="false">m*g</f>
        <v>82.8945</v>
      </c>
      <c r="U398" s="400" t="n">
        <f aca="false">IF(pos_xz&lt;L_rampe,Poids*COS(Beta),0)</f>
        <v>0</v>
      </c>
      <c r="V398" s="396" t="n">
        <f aca="false">Rho_moyen*(20000-Alt_rampe-pos_z)/(20000+Alt_rampe+pos_z)</f>
        <v>1.11007835666996</v>
      </c>
      <c r="W398" s="397" t="n">
        <f aca="false">1/2*Rho*Sref*Cx*vit_xz^2</f>
        <v>16.7714620970154</v>
      </c>
      <c r="Y398" s="401" t="str">
        <f aca="false">IF(AND(pos_z&lt;=0,K397&gt;0),"Impact balistique","") &amp; IF(AND(H399&lt;0,vit_z&gt;=0),"Apogée","") &amp; IF(AND(Poussee=0,Q397&gt;0),"Fin de propulsion","") &amp; IF(AND(L399&gt;L_rampe,pos_xz&lt;=L_rampe),"Sortie de rampe","")</f>
        <v/>
      </c>
      <c r="Z398" s="402" t="str">
        <f aca="false">IF(ABS(t-T_para)&lt;pas/2,"Para","")</f>
        <v/>
      </c>
      <c r="AA398" s="403" t="str">
        <f aca="false">IF(ABS(t-T_satellite)&lt;pas/2,"Satellite","")</f>
        <v/>
      </c>
      <c r="AC398" s="399" t="e">
        <f aca="false">IF(ABS(t-ROUND(t,0))&lt;0.001,t,NA())</f>
        <v>#N/A</v>
      </c>
      <c r="AD398" s="404" t="e">
        <f aca="false">IF(ABS(t-ROUND(t,0))&lt;0.001,pos_x,NA())</f>
        <v>#N/A</v>
      </c>
      <c r="AE398" s="405" t="e">
        <f aca="false">IF(t&lt;T_para, pos_z, NA())</f>
        <v>#N/A</v>
      </c>
      <c r="AG398" s="396" t="n">
        <f aca="false">IF(AND(L397&lt;L_rampe,Poussee&lt;Poids*SIN(M397)),0,(-W397+Poussee)/m-Poids*SIN(M397)/m)</f>
        <v>7.38630603883514</v>
      </c>
      <c r="AH398" s="397" t="n">
        <f aca="false">IF(AND(L397&lt;L_rampe,Poussee&lt;Poids*SIN(M397)), g*SIN(M397), (-W397+Poussee)/m)</f>
        <v>-1.93757559385768</v>
      </c>
    </row>
    <row r="399" customFormat="false" ht="12.75" hidden="false" customHeight="false" outlineLevel="0" collapsed="false">
      <c r="A399" s="396" t="n">
        <f aca="false">IF(B398+0.01&lt;=T_ini+ROUNDUP(Temps_fin_propu,0), 0.01, IF(K398&gt;0, 0.1, 0.0001))</f>
        <v>0.1</v>
      </c>
      <c r="B399" s="397" t="n">
        <f aca="false">B398+pas</f>
        <v>21.5</v>
      </c>
      <c r="D399" s="396" t="n">
        <f aca="false">IF(AND(L398&lt;L_rampe,Poussee&lt;Poids*SIN(M398)),0,(-W398+Poussee)/m*COS(M398)-U398/m*SIN(M398))</f>
        <v>-0.607959509869221</v>
      </c>
      <c r="E399" s="398" t="n">
        <f aca="false">IF(AND(L398&lt;L_rampe,Poussee&lt;Poids*SIN(M398)),0,(-W398+Poussee)/m*SIN(M398)+U398/m*COS(M398)-Poids/m)</f>
        <v>-7.92061642801025</v>
      </c>
      <c r="F399" s="397" t="n">
        <f aca="false">SQRT(acc_x^2+acc_z^2)</f>
        <v>7.94391461216108</v>
      </c>
      <c r="G399" s="396" t="n">
        <f aca="false">G398+acc_x*pas</f>
        <v>19.348300204655</v>
      </c>
      <c r="H399" s="398" t="n">
        <f aca="false">H398+acc_z*pas</f>
        <v>-61.1105973813531</v>
      </c>
      <c r="I399" s="397" t="n">
        <f aca="false">SQRT(vit_x^2+vit_z^2)</f>
        <v>64.1004043131968</v>
      </c>
      <c r="J399" s="396" t="n">
        <f aca="false">J398+0.5*(vit_x+G398)*pas*(K398&gt;=0)</f>
        <v>526.454786912755</v>
      </c>
      <c r="K399" s="398" t="n">
        <f aca="false">K398+0.5*(vit_z+H398)*pas</f>
        <v>978.235069947512</v>
      </c>
      <c r="L399" s="397" t="n">
        <f aca="false">SQRT(pos_x^2+pos_z^2)</f>
        <v>1110.89985810539</v>
      </c>
      <c r="M399" s="396" t="n">
        <f aca="false">IF(AND(L398&gt;L_rampe,G399&gt;0),ATAN2(G399,H399),$M$4)</f>
        <v>-1.26417041026549</v>
      </c>
      <c r="N399" s="397" t="n">
        <f aca="false">DEGREES(Beta)</f>
        <v>-72.4316290935342</v>
      </c>
      <c r="P399" s="399" t="n">
        <f aca="false">MATCH(t-pas/2-T_ini,CdP_t)</f>
        <v>23</v>
      </c>
      <c r="Q399" s="397" t="n">
        <f aca="false">(INDEX(CdP,2,i_P+1)-INDEX(CdP,2,i_P+0))/(INDEX(CdP,1,i_P+1)-INDEX(CdP,1,i_P+0))*(t-pas/2-T_ini-INDEX(CdP,1,i_P+0))+INDEX(CdP,2,i_P+0)</f>
        <v>0</v>
      </c>
      <c r="R399" s="396" t="n">
        <f aca="false">Poussee/(g*ISP)</f>
        <v>0</v>
      </c>
      <c r="S399" s="398" t="n">
        <f aca="false">S398-Débit*pas</f>
        <v>8.45</v>
      </c>
      <c r="T399" s="397" t="n">
        <f aca="false">m*g</f>
        <v>82.8945</v>
      </c>
      <c r="U399" s="400" t="n">
        <f aca="false">IF(pos_xz&lt;L_rampe,Poids*COS(Beta),0)</f>
        <v>0</v>
      </c>
      <c r="V399" s="396" t="n">
        <f aca="false">Rho_moyen*(20000-Alt_rampe-pos_z)/(20000+Alt_rampe+pos_z)</f>
        <v>1.11075416790878</v>
      </c>
      <c r="W399" s="397" t="n">
        <f aca="false">1/2*Rho*Sref*Cx*vit_xz^2</f>
        <v>17.1738251137915</v>
      </c>
      <c r="Y399" s="401" t="str">
        <f aca="false">IF(AND(pos_z&lt;=0,K398&gt;0),"Impact balistique","") &amp; IF(AND(H400&lt;0,vit_z&gt;=0),"Apogée","") &amp; IF(AND(Poussee=0,Q398&gt;0),"Fin de propulsion","") &amp; IF(AND(L400&gt;L_rampe,pos_xz&lt;=L_rampe),"Sortie de rampe","")</f>
        <v/>
      </c>
      <c r="Z399" s="402" t="str">
        <f aca="false">IF(ABS(t-T_para)&lt;pas/2,"Para","")</f>
        <v/>
      </c>
      <c r="AA399" s="403" t="str">
        <f aca="false">IF(ABS(t-T_satellite)&lt;pas/2,"Satellite","")</f>
        <v/>
      </c>
      <c r="AC399" s="399" t="e">
        <f aca="false">IF(ABS(t-ROUND(t,0))&lt;0.001,t,NA())</f>
        <v>#N/A</v>
      </c>
      <c r="AD399" s="404" t="e">
        <f aca="false">IF(ABS(t-ROUND(t,0))&lt;0.001,pos_x,NA())</f>
        <v>#N/A</v>
      </c>
      <c r="AE399" s="405" t="e">
        <f aca="false">IF(t&lt;T_para, pos_z, NA())</f>
        <v>#N/A</v>
      </c>
      <c r="AG399" s="396" t="n">
        <f aca="false">IF(AND(L398&lt;L_rampe,Poussee&lt;Poids*SIN(M398)),0,(-W398+Poussee)/m-Poids*SIN(M398)/m)</f>
        <v>7.35366434610405</v>
      </c>
      <c r="AH399" s="397" t="n">
        <f aca="false">IF(AND(L398&lt;L_rampe,Poussee&lt;Poids*SIN(M398)), g*SIN(M398), (-W398+Poussee)/m)</f>
        <v>-1.98478841384798</v>
      </c>
    </row>
    <row r="400" customFormat="false" ht="12.75" hidden="false" customHeight="false" outlineLevel="0" collapsed="false">
      <c r="A400" s="396" t="n">
        <f aca="false">IF(B399+0.01&lt;=T_ini+ROUNDUP(Temps_fin_propu,0), 0.01, IF(K399&gt;0, 0.1, 0.0001))</f>
        <v>0.1</v>
      </c>
      <c r="B400" s="397" t="n">
        <f aca="false">B399+pas</f>
        <v>21.6</v>
      </c>
      <c r="D400" s="396" t="n">
        <f aca="false">IF(AND(L399&lt;L_rampe,Poussee&lt;Poids*SIN(M399)),0,(-W399+Poussee)/m*COS(M399)-U399/m*SIN(M399))</f>
        <v>-0.613468652126474</v>
      </c>
      <c r="E400" s="398" t="n">
        <f aca="false">IF(AND(L399&lt;L_rampe,Poussee&lt;Poids*SIN(M399)),0,(-W399+Poussee)/m*SIN(M399)+U399/m*COS(M399)-Poids/m)</f>
        <v>-7.87239124834528</v>
      </c>
      <c r="F400" s="397" t="n">
        <f aca="false">SQRT(acc_x^2+acc_z^2)</f>
        <v>7.89625783230039</v>
      </c>
      <c r="G400" s="396" t="n">
        <f aca="false">G399+acc_x*pas</f>
        <v>19.2869533394423</v>
      </c>
      <c r="H400" s="398" t="n">
        <f aca="false">H399+acc_z*pas</f>
        <v>-61.8978365061876</v>
      </c>
      <c r="I400" s="397" t="n">
        <f aca="false">SQRT(vit_x^2+vit_z^2)</f>
        <v>64.8330836322364</v>
      </c>
      <c r="J400" s="396" t="n">
        <f aca="false">J399+0.5*(vit_x+G399)*pas*(K399&gt;=0)</f>
        <v>528.38654958996</v>
      </c>
      <c r="K400" s="398" t="n">
        <f aca="false">K399+0.5*(vit_z+H399)*pas</f>
        <v>972.084648253135</v>
      </c>
      <c r="L400" s="397" t="n">
        <f aca="false">SQRT(pos_x^2+pos_z^2)</f>
        <v>1106.40901530899</v>
      </c>
      <c r="M400" s="396" t="n">
        <f aca="false">IF(AND(L399&gt;L_rampe,G400&gt;0),ATAN2(G400,H400),$M$4)</f>
        <v>-1.26873767186394</v>
      </c>
      <c r="N400" s="397" t="n">
        <f aca="false">DEGREES(Beta)</f>
        <v>-72.6933139070576</v>
      </c>
      <c r="P400" s="399" t="n">
        <f aca="false">MATCH(t-pas/2-T_ini,CdP_t)</f>
        <v>23</v>
      </c>
      <c r="Q400" s="397" t="n">
        <f aca="false">(INDEX(CdP,2,i_P+1)-INDEX(CdP,2,i_P+0))/(INDEX(CdP,1,i_P+1)-INDEX(CdP,1,i_P+0))*(t-pas/2-T_ini-INDEX(CdP,1,i_P+0))+INDEX(CdP,2,i_P+0)</f>
        <v>0</v>
      </c>
      <c r="R400" s="396" t="n">
        <f aca="false">Poussee/(g*ISP)</f>
        <v>0</v>
      </c>
      <c r="S400" s="398" t="n">
        <f aca="false">S399-Débit*pas</f>
        <v>8.45</v>
      </c>
      <c r="T400" s="397" t="n">
        <f aca="false">m*g</f>
        <v>82.8945</v>
      </c>
      <c r="U400" s="400" t="n">
        <f aca="false">IF(pos_xz&lt;L_rampe,Poids*COS(Beta),0)</f>
        <v>0</v>
      </c>
      <c r="V400" s="396" t="n">
        <f aca="false">Rho_moyen*(20000-Alt_rampe-pos_z)/(20000+Alt_rampe+pos_z)</f>
        <v>1.11143916767623</v>
      </c>
      <c r="W400" s="397" t="n">
        <f aca="false">1/2*Rho*Sref*Cx*vit_xz^2</f>
        <v>17.5795033295453</v>
      </c>
      <c r="Y400" s="401" t="str">
        <f aca="false">IF(AND(pos_z&lt;=0,K399&gt;0),"Impact balistique","") &amp; IF(AND(H401&lt;0,vit_z&gt;=0),"Apogée","") &amp; IF(AND(Poussee=0,Q399&gt;0),"Fin de propulsion","") &amp; IF(AND(L401&gt;L_rampe,pos_xz&lt;=L_rampe),"Sortie de rampe","")</f>
        <v/>
      </c>
      <c r="Z400" s="402" t="str">
        <f aca="false">IF(ABS(t-T_para)&lt;pas/2,"Para","")</f>
        <v/>
      </c>
      <c r="AA400" s="403" t="str">
        <f aca="false">IF(ABS(t-T_satellite)&lt;pas/2,"Satellite","")</f>
        <v/>
      </c>
      <c r="AC400" s="399" t="e">
        <f aca="false">IF(ABS(t-ROUND(t,0))&lt;0.001,t,NA())</f>
        <v>#N/A</v>
      </c>
      <c r="AD400" s="404" t="e">
        <f aca="false">IF(ABS(t-ROUND(t,0))&lt;0.001,pos_x,NA())</f>
        <v>#N/A</v>
      </c>
      <c r="AE400" s="405" t="e">
        <f aca="false">IF(t&lt;T_para, pos_z, NA())</f>
        <v>#N/A</v>
      </c>
      <c r="AG400" s="396" t="n">
        <f aca="false">IF(AND(L399&lt;L_rampe,Poussee&lt;Poids*SIN(M399)),0,(-W399+Poussee)/m-Poids*SIN(M399)/m)</f>
        <v>7.32003115091159</v>
      </c>
      <c r="AH400" s="397" t="n">
        <f aca="false">IF(AND(L399&lt;L_rampe,Poussee&lt;Poids*SIN(M399)), g*SIN(M399), (-W399+Poussee)/m)</f>
        <v>-2.03240533891024</v>
      </c>
    </row>
    <row r="401" customFormat="false" ht="12.75" hidden="false" customHeight="false" outlineLevel="0" collapsed="false">
      <c r="A401" s="396" t="n">
        <f aca="false">IF(B400+0.01&lt;=T_ini+ROUNDUP(Temps_fin_propu,0), 0.01, IF(K400&gt;0, 0.1, 0.0001))</f>
        <v>0.1</v>
      </c>
      <c r="B401" s="397" t="n">
        <f aca="false">B400+pas</f>
        <v>21.7</v>
      </c>
      <c r="D401" s="396" t="n">
        <f aca="false">IF(AND(L400&lt;L_rampe,Poussee&lt;Poids*SIN(M400)),0,(-W400+Poussee)/m*COS(M400)-U400/m*SIN(M400))</f>
        <v>-0.618894813829381</v>
      </c>
      <c r="E401" s="398" t="n">
        <f aca="false">IF(AND(L400&lt;L_rampe,Poussee&lt;Poids*SIN(M400)),0,(-W400+Poussee)/m*SIN(M400)+U400/m*COS(M400)-Poids/m)</f>
        <v>-7.82377390577303</v>
      </c>
      <c r="F401" s="397" t="n">
        <f aca="false">SQRT(acc_x^2+acc_z^2)</f>
        <v>7.84821437775752</v>
      </c>
      <c r="G401" s="396" t="n">
        <f aca="false">G400+acc_x*pas</f>
        <v>19.2250638580594</v>
      </c>
      <c r="H401" s="398" t="n">
        <f aca="false">H400+acc_z*pas</f>
        <v>-62.6802138967649</v>
      </c>
      <c r="I401" s="397" t="n">
        <f aca="false">SQRT(vit_x^2+vit_z^2)</f>
        <v>65.5622779843003</v>
      </c>
      <c r="J401" s="396" t="n">
        <f aca="false">J400+0.5*(vit_x+G400)*pas*(K400&gt;=0)</f>
        <v>530.312150449835</v>
      </c>
      <c r="K401" s="398" t="n">
        <f aca="false">K400+0.5*(vit_z+H400)*pas</f>
        <v>965.855745732987</v>
      </c>
      <c r="L401" s="397" t="n">
        <f aca="false">SQRT(pos_x^2+pos_z^2)</f>
        <v>1101.86582598797</v>
      </c>
      <c r="M401" s="396" t="n">
        <f aca="false">IF(AND(L400&gt;L_rampe,G401&gt;0),ATAN2(G401,H401),$M$4)</f>
        <v>-1.27318893592109</v>
      </c>
      <c r="N401" s="397" t="n">
        <f aca="false">DEGREES(Beta)</f>
        <v>-72.9483525510305</v>
      </c>
      <c r="P401" s="399" t="n">
        <f aca="false">MATCH(t-pas/2-T_ini,CdP_t)</f>
        <v>23</v>
      </c>
      <c r="Q401" s="397" t="n">
        <f aca="false">(INDEX(CdP,2,i_P+1)-INDEX(CdP,2,i_P+0))/(INDEX(CdP,1,i_P+1)-INDEX(CdP,1,i_P+0))*(t-pas/2-T_ini-INDEX(CdP,1,i_P+0))+INDEX(CdP,2,i_P+0)</f>
        <v>0</v>
      </c>
      <c r="R401" s="396" t="n">
        <f aca="false">Poussee/(g*ISP)</f>
        <v>0</v>
      </c>
      <c r="S401" s="398" t="n">
        <f aca="false">S400-Débit*pas</f>
        <v>8.45</v>
      </c>
      <c r="T401" s="397" t="n">
        <f aca="false">m*g</f>
        <v>82.8945</v>
      </c>
      <c r="U401" s="400" t="n">
        <f aca="false">IF(pos_xz&lt;L_rampe,Poids*COS(Beta),0)</f>
        <v>0</v>
      </c>
      <c r="V401" s="396" t="n">
        <f aca="false">Rho_moyen*(20000-Alt_rampe-pos_z)/(20000+Alt_rampe+pos_z)</f>
        <v>1.11213331782189</v>
      </c>
      <c r="W401" s="397" t="n">
        <f aca="false">1/2*Rho*Sref*Cx*vit_xz^2</f>
        <v>17.9883971878492</v>
      </c>
      <c r="Y401" s="401" t="str">
        <f aca="false">IF(AND(pos_z&lt;=0,K400&gt;0),"Impact balistique","") &amp; IF(AND(H402&lt;0,vit_z&gt;=0),"Apogée","") &amp; IF(AND(Poussee=0,Q400&gt;0),"Fin de propulsion","") &amp; IF(AND(L402&gt;L_rampe,pos_xz&lt;=L_rampe),"Sortie de rampe","")</f>
        <v/>
      </c>
      <c r="Z401" s="402" t="str">
        <f aca="false">IF(ABS(t-T_para)&lt;pas/2,"Para","")</f>
        <v/>
      </c>
      <c r="AA401" s="403" t="str">
        <f aca="false">IF(ABS(t-T_satellite)&lt;pas/2,"Satellite","")</f>
        <v/>
      </c>
      <c r="AC401" s="399" t="e">
        <f aca="false">IF(ABS(t-ROUND(t,0))&lt;0.001,t,NA())</f>
        <v>#N/A</v>
      </c>
      <c r="AD401" s="404" t="e">
        <f aca="false">IF(ABS(t-ROUND(t,0))&lt;0.001,pos_x,NA())</f>
        <v>#N/A</v>
      </c>
      <c r="AE401" s="405" t="e">
        <f aca="false">IF(t&lt;T_para, pos_z, NA())</f>
        <v>#N/A</v>
      </c>
      <c r="AG401" s="396" t="n">
        <f aca="false">IF(AND(L400&lt;L_rampe,Poussee&lt;Poids*SIN(M400)),0,(-W400+Poussee)/m-Poids*SIN(M400)/m)</f>
        <v>7.2854483578768</v>
      </c>
      <c r="AH401" s="397" t="n">
        <f aca="false">IF(AND(L400&lt;L_rampe,Poussee&lt;Poids*SIN(M400)), g*SIN(M400), (-W400+Poussee)/m)</f>
        <v>-2.08041459521247</v>
      </c>
    </row>
    <row r="402" customFormat="false" ht="12.75" hidden="false" customHeight="false" outlineLevel="0" collapsed="false">
      <c r="A402" s="396" t="n">
        <f aca="false">IF(B401+0.01&lt;=T_ini+ROUNDUP(Temps_fin_propu,0), 0.01, IF(K401&gt;0, 0.1, 0.0001))</f>
        <v>0.1</v>
      </c>
      <c r="B402" s="397" t="n">
        <f aca="false">B401+pas</f>
        <v>21.8</v>
      </c>
      <c r="D402" s="396" t="n">
        <f aca="false">IF(AND(L401&lt;L_rampe,Poussee&lt;Poids*SIN(M401)),0,(-W401+Poussee)/m*COS(M401)-U401/m*SIN(M401))</f>
        <v>-0.624237012615336</v>
      </c>
      <c r="E402" s="398" t="n">
        <f aca="false">IF(AND(L401&lt;L_rampe,Poussee&lt;Poids*SIN(M401)),0,(-W401+Poussee)/m*SIN(M401)+U401/m*COS(M401)-Poids/m)</f>
        <v>-7.77477609843651</v>
      </c>
      <c r="F402" s="397" t="n">
        <f aca="false">SQRT(acc_x^2+acc_z^2)</f>
        <v>7.79979584532433</v>
      </c>
      <c r="G402" s="396" t="n">
        <f aca="false">G401+acc_x*pas</f>
        <v>19.1626401567979</v>
      </c>
      <c r="H402" s="398" t="n">
        <f aca="false">H401+acc_z*pas</f>
        <v>-63.4576915066086</v>
      </c>
      <c r="I402" s="397" t="n">
        <f aca="false">SQRT(vit_x^2+vit_z^2)</f>
        <v>66.2878977576362</v>
      </c>
      <c r="J402" s="396" t="n">
        <f aca="false">J401+0.5*(vit_x+G401)*pas*(K401&gt;=0)</f>
        <v>532.231535650578</v>
      </c>
      <c r="K402" s="398" t="n">
        <f aca="false">K401+0.5*(vit_z+H401)*pas</f>
        <v>959.548850462818</v>
      </c>
      <c r="L402" s="397" t="n">
        <f aca="false">SQRT(pos_x^2+pos_z^2)</f>
        <v>1097.27134472996</v>
      </c>
      <c r="M402" s="396" t="n">
        <f aca="false">IF(AND(L401&gt;L_rampe,G402&gt;0),ATAN2(G402,H402),$M$4)</f>
        <v>-1.27752853771997</v>
      </c>
      <c r="N402" s="397" t="n">
        <f aca="false">DEGREES(Beta)</f>
        <v>-73.1969934188738</v>
      </c>
      <c r="P402" s="399" t="n">
        <f aca="false">MATCH(t-pas/2-T_ini,CdP_t)</f>
        <v>23</v>
      </c>
      <c r="Q402" s="397" t="n">
        <f aca="false">(INDEX(CdP,2,i_P+1)-INDEX(CdP,2,i_P+0))/(INDEX(CdP,1,i_P+1)-INDEX(CdP,1,i_P+0))*(t-pas/2-T_ini-INDEX(CdP,1,i_P+0))+INDEX(CdP,2,i_P+0)</f>
        <v>0</v>
      </c>
      <c r="R402" s="396" t="n">
        <f aca="false">Poussee/(g*ISP)</f>
        <v>0</v>
      </c>
      <c r="S402" s="398" t="n">
        <f aca="false">S401-Débit*pas</f>
        <v>8.45</v>
      </c>
      <c r="T402" s="397" t="n">
        <f aca="false">m*g</f>
        <v>82.8945</v>
      </c>
      <c r="U402" s="400" t="n">
        <f aca="false">IF(pos_xz&lt;L_rampe,Poids*COS(Beta),0)</f>
        <v>0</v>
      </c>
      <c r="V402" s="396" t="n">
        <f aca="false">Rho_moyen*(20000-Alt_rampe-pos_z)/(20000+Alt_rampe+pos_z)</f>
        <v>1.11283657986121</v>
      </c>
      <c r="W402" s="397" t="n">
        <f aca="false">1/2*Rho*Sref*Cx*vit_xz^2</f>
        <v>18.4004071082796</v>
      </c>
      <c r="Y402" s="401" t="str">
        <f aca="false">IF(AND(pos_z&lt;=0,K401&gt;0),"Impact balistique","") &amp; IF(AND(H403&lt;0,vit_z&gt;=0),"Apogée","") &amp; IF(AND(Poussee=0,Q401&gt;0),"Fin de propulsion","") &amp; IF(AND(L403&gt;L_rampe,pos_xz&lt;=L_rampe),"Sortie de rampe","")</f>
        <v/>
      </c>
      <c r="Z402" s="402" t="str">
        <f aca="false">IF(ABS(t-T_para)&lt;pas/2,"Para","")</f>
        <v/>
      </c>
      <c r="AA402" s="403" t="str">
        <f aca="false">IF(ABS(t-T_satellite)&lt;pas/2,"Satellite","")</f>
        <v/>
      </c>
      <c r="AC402" s="399" t="e">
        <f aca="false">IF(ABS(t-ROUND(t,0))&lt;0.001,t,NA())</f>
        <v>#N/A</v>
      </c>
      <c r="AD402" s="404" t="e">
        <f aca="false">IF(ABS(t-ROUND(t,0))&lt;0.001,pos_x,NA())</f>
        <v>#N/A</v>
      </c>
      <c r="AE402" s="405" t="e">
        <f aca="false">IF(t&lt;T_para, pos_z, NA())</f>
        <v>#N/A</v>
      </c>
      <c r="AG402" s="396" t="n">
        <f aca="false">IF(AND(L401&lt;L_rampe,Poussee&lt;Poids*SIN(M401)),0,(-W401+Poussee)/m-Poids*SIN(M401)/m)</f>
        <v>7.24995602704934</v>
      </c>
      <c r="AH402" s="397" t="n">
        <f aca="false">IF(AND(L401&lt;L_rampe,Poussee&lt;Poids*SIN(M401)), g*SIN(M401), (-W401+Poussee)/m)</f>
        <v>-2.12880440092889</v>
      </c>
    </row>
    <row r="403" customFormat="false" ht="12.75" hidden="false" customHeight="false" outlineLevel="0" collapsed="false">
      <c r="A403" s="396" t="n">
        <f aca="false">IF(B402+0.01&lt;=T_ini+ROUNDUP(Temps_fin_propu,0), 0.01, IF(K402&gt;0, 0.1, 0.0001))</f>
        <v>0.1</v>
      </c>
      <c r="B403" s="397" t="n">
        <f aca="false">B402+pas</f>
        <v>21.9</v>
      </c>
      <c r="D403" s="396" t="n">
        <f aca="false">IF(AND(L402&lt;L_rampe,Poussee&lt;Poids*SIN(M402)),0,(-W402+Poussee)/m*COS(M402)-U402/m*SIN(M402))</f>
        <v>-0.629494327790544</v>
      </c>
      <c r="E403" s="398" t="n">
        <f aca="false">IF(AND(L402&lt;L_rampe,Poussee&lt;Poids*SIN(M402)),0,(-W402+Poussee)/m*SIN(M402)+U402/m*COS(M402)-Poids/m)</f>
        <v>-7.72540954006165</v>
      </c>
      <c r="F403" s="397" t="n">
        <f aca="false">SQRT(acc_x^2+acc_z^2)</f>
        <v>7.75101384790377</v>
      </c>
      <c r="G403" s="396" t="n">
        <f aca="false">G402+acc_x*pas</f>
        <v>19.0996907240188</v>
      </c>
      <c r="H403" s="398" t="n">
        <f aca="false">H402+acc_z*pas</f>
        <v>-64.2302324606147</v>
      </c>
      <c r="I403" s="397" t="n">
        <f aca="false">SQRT(vit_x^2+vit_z^2)</f>
        <v>67.0098570935484</v>
      </c>
      <c r="J403" s="396" t="n">
        <f aca="false">J402+0.5*(vit_x+G402)*pas*(K402&gt;=0)</f>
        <v>534.144652194619</v>
      </c>
      <c r="K403" s="398" t="n">
        <f aca="false">K402+0.5*(vit_z+H402)*pas</f>
        <v>953.164454264457</v>
      </c>
      <c r="L403" s="397" t="n">
        <f aca="false">SQRT(pos_x^2+pos_z^2)</f>
        <v>1092.62664544728</v>
      </c>
      <c r="M403" s="396" t="n">
        <f aca="false">IF(AND(L402&gt;L_rampe,G403&gt;0),ATAN2(G403,H403),$M$4)</f>
        <v>-1.28176060643154</v>
      </c>
      <c r="N403" s="397" t="n">
        <f aca="false">DEGREES(Beta)</f>
        <v>-73.4394730946562</v>
      </c>
      <c r="P403" s="399" t="n">
        <f aca="false">MATCH(t-pas/2-T_ini,CdP_t)</f>
        <v>23</v>
      </c>
      <c r="Q403" s="397" t="n">
        <f aca="false">(INDEX(CdP,2,i_P+1)-INDEX(CdP,2,i_P+0))/(INDEX(CdP,1,i_P+1)-INDEX(CdP,1,i_P+0))*(t-pas/2-T_ini-INDEX(CdP,1,i_P+0))+INDEX(CdP,2,i_P+0)</f>
        <v>0</v>
      </c>
      <c r="R403" s="396" t="n">
        <f aca="false">Poussee/(g*ISP)</f>
        <v>0</v>
      </c>
      <c r="S403" s="398" t="n">
        <f aca="false">S402-Débit*pas</f>
        <v>8.45</v>
      </c>
      <c r="T403" s="397" t="n">
        <f aca="false">m*g</f>
        <v>82.8945</v>
      </c>
      <c r="U403" s="400" t="n">
        <f aca="false">IF(pos_xz&lt;L_rampe,Poids*COS(Beta),0)</f>
        <v>0</v>
      </c>
      <c r="V403" s="396" t="n">
        <f aca="false">Rho_moyen*(20000-Alt_rampe-pos_z)/(20000+Alt_rampe+pos_z)</f>
        <v>1.11354891498393</v>
      </c>
      <c r="W403" s="397" t="n">
        <f aca="false">1/2*Rho*Sref*Cx*vit_xz^2</f>
        <v>18.8154335294904</v>
      </c>
      <c r="Y403" s="401" t="str">
        <f aca="false">IF(AND(pos_z&lt;=0,K402&gt;0),"Impact balistique","") &amp; IF(AND(H404&lt;0,vit_z&gt;=0),"Apogée","") &amp; IF(AND(Poussee=0,Q402&gt;0),"Fin de propulsion","") &amp; IF(AND(L404&gt;L_rampe,pos_xz&lt;=L_rampe),"Sortie de rampe","")</f>
        <v/>
      </c>
      <c r="Z403" s="402" t="str">
        <f aca="false">IF(ABS(t-T_para)&lt;pas/2,"Para","")</f>
        <v/>
      </c>
      <c r="AA403" s="403" t="str">
        <f aca="false">IF(ABS(t-T_satellite)&lt;pas/2,"Satellite","")</f>
        <v/>
      </c>
      <c r="AC403" s="399" t="e">
        <f aca="false">IF(ABS(t-ROUND(t,0))&lt;0.001,t,NA())</f>
        <v>#N/A</v>
      </c>
      <c r="AD403" s="404" t="e">
        <f aca="false">IF(ABS(t-ROUND(t,0))&lt;0.001,pos_x,NA())</f>
        <v>#N/A</v>
      </c>
      <c r="AE403" s="405" t="e">
        <f aca="false">IF(t&lt;T_para, pos_z, NA())</f>
        <v>#N/A</v>
      </c>
      <c r="AG403" s="396" t="n">
        <f aca="false">IF(AND(L402&lt;L_rampe,Poussee&lt;Poids*SIN(M402)),0,(-W402+Poussee)/m-Poids*SIN(M402)/m)</f>
        <v>7.21359249948704</v>
      </c>
      <c r="AH403" s="397" t="n">
        <f aca="false">IF(AND(L402&lt;L_rampe,Poussee&lt;Poids*SIN(M402)), g*SIN(M402), (-W402+Poussee)/m)</f>
        <v>-2.17756297139404</v>
      </c>
    </row>
    <row r="404" customFormat="false" ht="12.75" hidden="false" customHeight="false" outlineLevel="0" collapsed="false">
      <c r="A404" s="396" t="n">
        <f aca="false">IF(B403+0.01&lt;=T_ini+ROUNDUP(Temps_fin_propu,0), 0.01, IF(K403&gt;0, 0.1, 0.0001))</f>
        <v>0.1</v>
      </c>
      <c r="B404" s="397" t="n">
        <f aca="false">B403+pas</f>
        <v>22</v>
      </c>
      <c r="D404" s="396" t="n">
        <f aca="false">IF(AND(L403&lt;L_rampe,Poussee&lt;Poids*SIN(M403)),0,(-W403+Poussee)/m*COS(M403)-U403/m*SIN(M403))</f>
        <v>-0.634665898401536</v>
      </c>
      <c r="E404" s="398" t="n">
        <f aca="false">IF(AND(L403&lt;L_rampe,Poussee&lt;Poids*SIN(M403)),0,(-W403+Poussee)/m*SIN(M403)+U403/m*COS(M403)-Poids/m)</f>
        <v>-7.67568595386249</v>
      </c>
      <c r="F404" s="397" t="n">
        <f aca="false">SQRT(acc_x^2+acc_z^2)</f>
        <v>7.70188000847298</v>
      </c>
      <c r="G404" s="396" t="n">
        <f aca="false">G403+acc_x*pas</f>
        <v>19.0362241341786</v>
      </c>
      <c r="H404" s="398" t="n">
        <f aca="false">H403+acc_z*pas</f>
        <v>-64.997801056001</v>
      </c>
      <c r="I404" s="397" t="n">
        <f aca="false">SQRT(vit_x^2+vit_z^2)</f>
        <v>67.7280737316674</v>
      </c>
      <c r="J404" s="396" t="n">
        <f aca="false">J403+0.5*(vit_x+G403)*pas*(K403&gt;=0)</f>
        <v>536.051447937529</v>
      </c>
      <c r="K404" s="398" t="n">
        <f aca="false">K403+0.5*(vit_z+H403)*pas</f>
        <v>946.703052588626</v>
      </c>
      <c r="L404" s="397" t="n">
        <f aca="false">SQRT(pos_x^2+pos_z^2)</f>
        <v>1087.9328217388</v>
      </c>
      <c r="M404" s="396" t="n">
        <f aca="false">IF(AND(L403&gt;L_rampe,G404&gt;0),ATAN2(G404,H404),$M$4)</f>
        <v>-1.28588907669024</v>
      </c>
      <c r="N404" s="397" t="n">
        <f aca="false">DEGREES(Beta)</f>
        <v>-73.6760170163248</v>
      </c>
      <c r="P404" s="399" t="n">
        <f aca="false">MATCH(t-pas/2-T_ini,CdP_t)</f>
        <v>23</v>
      </c>
      <c r="Q404" s="397" t="n">
        <f aca="false">(INDEX(CdP,2,i_P+1)-INDEX(CdP,2,i_P+0))/(INDEX(CdP,1,i_P+1)-INDEX(CdP,1,i_P+0))*(t-pas/2-T_ini-INDEX(CdP,1,i_P+0))+INDEX(CdP,2,i_P+0)</f>
        <v>0</v>
      </c>
      <c r="R404" s="396" t="n">
        <f aca="false">Poussee/(g*ISP)</f>
        <v>0</v>
      </c>
      <c r="S404" s="398" t="n">
        <f aca="false">S403-Débit*pas</f>
        <v>8.45</v>
      </c>
      <c r="T404" s="397" t="n">
        <f aca="false">m*g</f>
        <v>82.8945</v>
      </c>
      <c r="U404" s="400" t="n">
        <f aca="false">IF(pos_xz&lt;L_rampe,Poids*COS(Beta),0)</f>
        <v>0</v>
      </c>
      <c r="V404" s="396" t="n">
        <f aca="false">Rho_moyen*(20000-Alt_rampe-pos_z)/(20000+Alt_rampe+pos_z)</f>
        <v>1.11427028406241</v>
      </c>
      <c r="W404" s="397" t="n">
        <f aca="false">1/2*Rho*Sref*Cx*vit_xz^2</f>
        <v>19.2333769517753</v>
      </c>
      <c r="Y404" s="401" t="str">
        <f aca="false">IF(AND(pos_z&lt;=0,K403&gt;0),"Impact balistique","") &amp; IF(AND(H405&lt;0,vit_z&gt;=0),"Apogée","") &amp; IF(AND(Poussee=0,Q403&gt;0),"Fin de propulsion","") &amp; IF(AND(L405&gt;L_rampe,pos_xz&lt;=L_rampe),"Sortie de rampe","")</f>
        <v/>
      </c>
      <c r="Z404" s="402" t="str">
        <f aca="false">IF(ABS(t-T_para)&lt;pas/2,"Para","")</f>
        <v/>
      </c>
      <c r="AA404" s="403" t="str">
        <f aca="false">IF(ABS(t-T_satellite)&lt;pas/2,"Satellite","")</f>
        <v/>
      </c>
      <c r="AC404" s="399" t="n">
        <f aca="false">IF(ABS(t-ROUND(t,0))&lt;0.001,t,NA())</f>
        <v>22</v>
      </c>
      <c r="AD404" s="404" t="n">
        <f aca="false">IF(ABS(t-ROUND(t,0))&lt;0.001,pos_x,NA())</f>
        <v>536.051447937529</v>
      </c>
      <c r="AE404" s="405" t="e">
        <f aca="false">IF(t&lt;T_para, pos_z, NA())</f>
        <v>#N/A</v>
      </c>
      <c r="AG404" s="396" t="n">
        <f aca="false">IF(AND(L403&lt;L_rampe,Poussee&lt;Poids*SIN(M403)),0,(-W403+Poussee)/m-Poids*SIN(M403)/m)</f>
        <v>7.17639451263674</v>
      </c>
      <c r="AH404" s="397" t="n">
        <f aca="false">IF(AND(L403&lt;L_rampe,Poussee&lt;Poids*SIN(M403)), g*SIN(M403), (-W403+Poussee)/m)</f>
        <v>-2.22667852420004</v>
      </c>
    </row>
    <row r="405" customFormat="false" ht="12.75" hidden="false" customHeight="false" outlineLevel="0" collapsed="false">
      <c r="A405" s="396" t="n">
        <f aca="false">IF(B404+0.01&lt;=T_ini+ROUNDUP(Temps_fin_propu,0), 0.01, IF(K404&gt;0, 0.1, 0.0001))</f>
        <v>0.1</v>
      </c>
      <c r="B405" s="397" t="n">
        <f aca="false">B404+pas</f>
        <v>22.1</v>
      </c>
      <c r="D405" s="396" t="n">
        <f aca="false">IF(AND(L404&lt;L_rampe,Poussee&lt;Poids*SIN(M404)),0,(-W404+Poussee)/m*COS(M404)-U404/m*SIN(M404))</f>
        <v>-0.639750921411835</v>
      </c>
      <c r="E405" s="398" t="n">
        <f aca="false">IF(AND(L404&lt;L_rampe,Poussee&lt;Poids*SIN(M404)),0,(-W404+Poussee)/m*SIN(M404)+U404/m*COS(M404)-Poids/m)</f>
        <v>-7.62561706658725</v>
      </c>
      <c r="F405" s="397" t="n">
        <f aca="false">SQRT(acc_x^2+acc_z^2)</f>
        <v>7.65240595418683</v>
      </c>
      <c r="G405" s="396" t="n">
        <f aca="false">G404+acc_x*pas</f>
        <v>18.9722490420375</v>
      </c>
      <c r="H405" s="398" t="n">
        <f aca="false">H404+acc_z*pas</f>
        <v>-65.7603627626597</v>
      </c>
      <c r="I405" s="397" t="n">
        <f aca="false">SQRT(vit_x^2+vit_z^2)</f>
        <v>68.4424688653887</v>
      </c>
      <c r="J405" s="396" t="n">
        <f aca="false">J404+0.5*(vit_x+G404)*pas*(K404&gt;=0)</f>
        <v>537.951871596339</v>
      </c>
      <c r="K405" s="398" t="n">
        <f aca="false">K404+0.5*(vit_z+H404)*pas</f>
        <v>940.165144397693</v>
      </c>
      <c r="L405" s="397" t="n">
        <f aca="false">SQRT(pos_x^2+pos_z^2)</f>
        <v>1083.19098726602</v>
      </c>
      <c r="M405" s="396" t="n">
        <f aca="false">IF(AND(L404&gt;L_rampe,G405&gt;0),ATAN2(G405,H405),$M$4)</f>
        <v>-1.28991769943846</v>
      </c>
      <c r="N405" s="397" t="n">
        <f aca="false">DEGREES(Beta)</f>
        <v>-73.9068400970482</v>
      </c>
      <c r="P405" s="399" t="n">
        <f aca="false">MATCH(t-pas/2-T_ini,CdP_t)</f>
        <v>23</v>
      </c>
      <c r="Q405" s="397" t="n">
        <f aca="false">(INDEX(CdP,2,i_P+1)-INDEX(CdP,2,i_P+0))/(INDEX(CdP,1,i_P+1)-INDEX(CdP,1,i_P+0))*(t-pas/2-T_ini-INDEX(CdP,1,i_P+0))+INDEX(CdP,2,i_P+0)</f>
        <v>0</v>
      </c>
      <c r="R405" s="396" t="n">
        <f aca="false">Poussee/(g*ISP)</f>
        <v>0</v>
      </c>
      <c r="S405" s="398" t="n">
        <f aca="false">S404-Débit*pas</f>
        <v>8.45</v>
      </c>
      <c r="T405" s="397" t="n">
        <f aca="false">m*g</f>
        <v>82.8945</v>
      </c>
      <c r="U405" s="400" t="n">
        <f aca="false">IF(pos_xz&lt;L_rampe,Poids*COS(Beta),0)</f>
        <v>0</v>
      </c>
      <c r="V405" s="396" t="n">
        <f aca="false">Rho_moyen*(20000-Alt_rampe-pos_z)/(20000+Alt_rampe+pos_z)</f>
        <v>1.1150006476601</v>
      </c>
      <c r="W405" s="397" t="n">
        <f aca="false">1/2*Rho*Sref*Cx*vit_xz^2</f>
        <v>19.6541379790948</v>
      </c>
      <c r="Y405" s="401" t="str">
        <f aca="false">IF(AND(pos_z&lt;=0,K404&gt;0),"Impact balistique","") &amp; IF(AND(H406&lt;0,vit_z&gt;=0),"Apogée","") &amp; IF(AND(Poussee=0,Q404&gt;0),"Fin de propulsion","") &amp; IF(AND(L406&gt;L_rampe,pos_xz&lt;=L_rampe),"Sortie de rampe","")</f>
        <v/>
      </c>
      <c r="Z405" s="402" t="str">
        <f aca="false">IF(ABS(t-T_para)&lt;pas/2,"Para","")</f>
        <v/>
      </c>
      <c r="AA405" s="403" t="str">
        <f aca="false">IF(ABS(t-T_satellite)&lt;pas/2,"Satellite","")</f>
        <v/>
      </c>
      <c r="AC405" s="399" t="e">
        <f aca="false">IF(ABS(t-ROUND(t,0))&lt;0.001,t,NA())</f>
        <v>#N/A</v>
      </c>
      <c r="AD405" s="404" t="e">
        <f aca="false">IF(ABS(t-ROUND(t,0))&lt;0.001,pos_x,NA())</f>
        <v>#N/A</v>
      </c>
      <c r="AE405" s="405" t="e">
        <f aca="false">IF(t&lt;T_para, pos_z, NA())</f>
        <v>#N/A</v>
      </c>
      <c r="AG405" s="396" t="n">
        <f aca="false">IF(AND(L404&lt;L_rampe,Poussee&lt;Poids*SIN(M404)),0,(-W404+Poussee)/m-Poids*SIN(M404)/m)</f>
        <v>7.13839730639182</v>
      </c>
      <c r="AH405" s="397" t="n">
        <f aca="false">IF(AND(L404&lt;L_rampe,Poussee&lt;Poids*SIN(M404)), g*SIN(M404), (-W404+Poussee)/m)</f>
        <v>-2.27613928423377</v>
      </c>
    </row>
    <row r="406" customFormat="false" ht="12.75" hidden="false" customHeight="false" outlineLevel="0" collapsed="false">
      <c r="A406" s="396" t="n">
        <f aca="false">IF(B405+0.01&lt;=T_ini+ROUNDUP(Temps_fin_propu,0), 0.01, IF(K405&gt;0, 0.1, 0.0001))</f>
        <v>0.1</v>
      </c>
      <c r="B406" s="397" t="n">
        <f aca="false">B405+pas</f>
        <v>22.2000000000001</v>
      </c>
      <c r="D406" s="396" t="n">
        <f aca="false">IF(AND(L405&lt;L_rampe,Poussee&lt;Poids*SIN(M405)),0,(-W405+Poussee)/m*COS(M405)-U405/m*SIN(M405))</f>
        <v>-0.6447486499746</v>
      </c>
      <c r="E406" s="398" t="n">
        <f aca="false">IF(AND(L405&lt;L_rampe,Poussee&lt;Poids*SIN(M405)),0,(-W405+Poussee)/m*SIN(M405)+U405/m*COS(M405)-Poids/m)</f>
        <v>-7.57521460270102</v>
      </c>
      <c r="F406" s="397" t="n">
        <f aca="false">SQRT(acc_x^2+acc_z^2)</f>
        <v>7.60260331061794</v>
      </c>
      <c r="G406" s="396" t="n">
        <f aca="false">G405+acc_x*pas</f>
        <v>18.90777417704</v>
      </c>
      <c r="H406" s="398" t="n">
        <f aca="false">H405+acc_z*pas</f>
        <v>-66.5178842229298</v>
      </c>
      <c r="I406" s="397" t="n">
        <f aca="false">SQRT(vit_x^2+vit_z^2)</f>
        <v>69.152967006666</v>
      </c>
      <c r="J406" s="396" t="n">
        <f aca="false">J405+0.5*(vit_x+G405)*pas*(K405&gt;=0)</f>
        <v>539.845872757293</v>
      </c>
      <c r="K406" s="398" t="n">
        <f aca="false">K405+0.5*(vit_z+H405)*pas</f>
        <v>933.551232048414</v>
      </c>
      <c r="L406" s="397" t="n">
        <f aca="false">SQRT(pos_x^2+pos_z^2)</f>
        <v>1078.40227614383</v>
      </c>
      <c r="M406" s="396" t="n">
        <f aca="false">IF(AND(L405&gt;L_rampe,G406&gt;0),ATAN2(G406,H406),$M$4)</f>
        <v>-1.2938500520896</v>
      </c>
      <c r="N406" s="397" t="n">
        <f aca="false">DEGREES(Beta)</f>
        <v>-74.132147307516</v>
      </c>
      <c r="P406" s="399" t="n">
        <f aca="false">MATCH(t-pas/2-T_ini,CdP_t)</f>
        <v>23</v>
      </c>
      <c r="Q406" s="397" t="n">
        <f aca="false">(INDEX(CdP,2,i_P+1)-INDEX(CdP,2,i_P+0))/(INDEX(CdP,1,i_P+1)-INDEX(CdP,1,i_P+0))*(t-pas/2-T_ini-INDEX(CdP,1,i_P+0))+INDEX(CdP,2,i_P+0)</f>
        <v>0</v>
      </c>
      <c r="R406" s="396" t="n">
        <f aca="false">Poussee/(g*ISP)</f>
        <v>0</v>
      </c>
      <c r="S406" s="398" t="n">
        <f aca="false">S405-Débit*pas</f>
        <v>8.45</v>
      </c>
      <c r="T406" s="397" t="n">
        <f aca="false">m*g</f>
        <v>82.8945</v>
      </c>
      <c r="U406" s="400" t="n">
        <f aca="false">IF(pos_xz&lt;L_rampe,Poids*COS(Beta),0)</f>
        <v>0</v>
      </c>
      <c r="V406" s="396" t="n">
        <f aca="false">Rho_moyen*(20000-Alt_rampe-pos_z)/(20000+Alt_rampe+pos_z)</f>
        <v>1.11573996603992</v>
      </c>
      <c r="W406" s="397" t="n">
        <f aca="false">1/2*Rho*Sref*Cx*vit_xz^2</f>
        <v>20.0776173605361</v>
      </c>
      <c r="Y406" s="401" t="str">
        <f aca="false">IF(AND(pos_z&lt;=0,K405&gt;0),"Impact balistique","") &amp; IF(AND(H407&lt;0,vit_z&gt;=0),"Apogée","") &amp; IF(AND(Poussee=0,Q405&gt;0),"Fin de propulsion","") &amp; IF(AND(L407&gt;L_rampe,pos_xz&lt;=L_rampe),"Sortie de rampe","")</f>
        <v/>
      </c>
      <c r="Z406" s="402" t="str">
        <f aca="false">IF(ABS(t-T_para)&lt;pas/2,"Para","")</f>
        <v/>
      </c>
      <c r="AA406" s="403" t="str">
        <f aca="false">IF(ABS(t-T_satellite)&lt;pas/2,"Satellite","")</f>
        <v/>
      </c>
      <c r="AC406" s="399" t="e">
        <f aca="false">IF(ABS(t-ROUND(t,0))&lt;0.001,t,NA())</f>
        <v>#N/A</v>
      </c>
      <c r="AD406" s="404" t="e">
        <f aca="false">IF(ABS(t-ROUND(t,0))&lt;0.001,pos_x,NA())</f>
        <v>#N/A</v>
      </c>
      <c r="AE406" s="405" t="e">
        <f aca="false">IF(t&lt;T_para, pos_z, NA())</f>
        <v>#N/A</v>
      </c>
      <c r="AG406" s="396" t="n">
        <f aca="false">IF(AND(L405&lt;L_rampe,Poussee&lt;Poids*SIN(M405)),0,(-W405+Poussee)/m-Poids*SIN(M405)/m)</f>
        <v>7.09963472062167</v>
      </c>
      <c r="AH406" s="397" t="n">
        <f aca="false">IF(AND(L405&lt;L_rampe,Poussee&lt;Poids*SIN(M405)), g*SIN(M405), (-W405+Poussee)/m)</f>
        <v>-2.32593348865027</v>
      </c>
    </row>
    <row r="407" customFormat="false" ht="12.75" hidden="false" customHeight="false" outlineLevel="0" collapsed="false">
      <c r="A407" s="396" t="n">
        <f aca="false">IF(B406+0.01&lt;=T_ini+ROUNDUP(Temps_fin_propu,0), 0.01, IF(K406&gt;0, 0.1, 0.0001))</f>
        <v>0.1</v>
      </c>
      <c r="B407" s="397" t="n">
        <f aca="false">B406+pas</f>
        <v>22.3000000000001</v>
      </c>
      <c r="D407" s="396" t="n">
        <f aca="false">IF(AND(L406&lt;L_rampe,Poussee&lt;Poids*SIN(M406)),0,(-W406+Poussee)/m*COS(M406)-U406/m*SIN(M406))</f>
        <v>-0.649658391792904</v>
      </c>
      <c r="E407" s="398" t="n">
        <f aca="false">IF(AND(L406&lt;L_rampe,Poussee&lt;Poids*SIN(M406)),0,(-W406+Poussee)/m*SIN(M406)+U406/m*COS(M406)-Poids/m)</f>
        <v>-7.52449027870184</v>
      </c>
      <c r="F407" s="397" t="n">
        <f aca="false">SQRT(acc_x^2+acc_z^2)</f>
        <v>7.55248369612974</v>
      </c>
      <c r="G407" s="396" t="n">
        <f aca="false">G406+acc_x*pas</f>
        <v>18.8428083378607</v>
      </c>
      <c r="H407" s="398" t="n">
        <f aca="false">H406+acc_z*pas</f>
        <v>-67.2703332508</v>
      </c>
      <c r="I407" s="397" t="n">
        <f aca="false">SQRT(vit_x^2+vit_z^2)</f>
        <v>69.8594958594109</v>
      </c>
      <c r="J407" s="396" t="n">
        <f aca="false">J406+0.5*(vit_x+G406)*pas*(K406&gt;=0)</f>
        <v>541.733401883038</v>
      </c>
      <c r="K407" s="398" t="n">
        <f aca="false">K406+0.5*(vit_z+H406)*pas</f>
        <v>926.861821174727</v>
      </c>
      <c r="L407" s="397" t="n">
        <f aca="false">SQRT(pos_x^2+pos_z^2)</f>
        <v>1073.56784334624</v>
      </c>
      <c r="M407" s="396" t="n">
        <f aca="false">IF(AND(L406&gt;L_rampe,G407&gt;0),ATAN2(G407,H407),$M$4)</f>
        <v>-1.29768954805591</v>
      </c>
      <c r="N407" s="397" t="n">
        <f aca="false">DEGREES(Beta)</f>
        <v>-74.3521342218426</v>
      </c>
      <c r="P407" s="399" t="n">
        <f aca="false">MATCH(t-pas/2-T_ini,CdP_t)</f>
        <v>23</v>
      </c>
      <c r="Q407" s="397" t="n">
        <f aca="false">(INDEX(CdP,2,i_P+1)-INDEX(CdP,2,i_P+0))/(INDEX(CdP,1,i_P+1)-INDEX(CdP,1,i_P+0))*(t-pas/2-T_ini-INDEX(CdP,1,i_P+0))+INDEX(CdP,2,i_P+0)</f>
        <v>0</v>
      </c>
      <c r="R407" s="396" t="n">
        <f aca="false">Poussee/(g*ISP)</f>
        <v>0</v>
      </c>
      <c r="S407" s="398" t="n">
        <f aca="false">S406-Débit*pas</f>
        <v>8.45</v>
      </c>
      <c r="T407" s="397" t="n">
        <f aca="false">m*g</f>
        <v>82.8945</v>
      </c>
      <c r="U407" s="400" t="n">
        <f aca="false">IF(pos_xz&lt;L_rampe,Poids*COS(Beta),0)</f>
        <v>0</v>
      </c>
      <c r="V407" s="396" t="n">
        <f aca="false">Rho_moyen*(20000-Alt_rampe-pos_z)/(20000+Alt_rampe+pos_z)</f>
        <v>1.11648819917278</v>
      </c>
      <c r="W407" s="397" t="n">
        <f aca="false">1/2*Rho*Sref*Cx*vit_xz^2</f>
        <v>20.5037160311828</v>
      </c>
      <c r="Y407" s="401" t="str">
        <f aca="false">IF(AND(pos_z&lt;=0,K406&gt;0),"Impact balistique","") &amp; IF(AND(H408&lt;0,vit_z&gt;=0),"Apogée","") &amp; IF(AND(Poussee=0,Q406&gt;0),"Fin de propulsion","") &amp; IF(AND(L408&gt;L_rampe,pos_xz&lt;=L_rampe),"Sortie de rampe","")</f>
        <v/>
      </c>
      <c r="Z407" s="402" t="str">
        <f aca="false">IF(ABS(t-T_para)&lt;pas/2,"Para","")</f>
        <v/>
      </c>
      <c r="AA407" s="403" t="str">
        <f aca="false">IF(ABS(t-T_satellite)&lt;pas/2,"Satellite","")</f>
        <v/>
      </c>
      <c r="AC407" s="399" t="e">
        <f aca="false">IF(ABS(t-ROUND(t,0))&lt;0.001,t,NA())</f>
        <v>#N/A</v>
      </c>
      <c r="AD407" s="404" t="e">
        <f aca="false">IF(ABS(t-ROUND(t,0))&lt;0.001,pos_x,NA())</f>
        <v>#N/A</v>
      </c>
      <c r="AE407" s="405" t="e">
        <f aca="false">IF(t&lt;T_para, pos_z, NA())</f>
        <v>#N/A</v>
      </c>
      <c r="AG407" s="396" t="n">
        <f aca="false">IF(AND(L406&lt;L_rampe,Poussee&lt;Poids*SIN(M406)),0,(-W406+Poussee)/m-Poids*SIN(M406)/m)</f>
        <v>7.0601392848979</v>
      </c>
      <c r="AH407" s="397" t="n">
        <f aca="false">IF(AND(L406&lt;L_rampe,Poussee&lt;Poids*SIN(M406)), g*SIN(M406), (-W406+Poussee)/m)</f>
        <v>-2.37604939177941</v>
      </c>
    </row>
    <row r="408" customFormat="false" ht="12.75" hidden="false" customHeight="false" outlineLevel="0" collapsed="false">
      <c r="A408" s="396" t="n">
        <f aca="false">IF(B407+0.01&lt;=T_ini+ROUNDUP(Temps_fin_propu,0), 0.01, IF(K407&gt;0, 0.1, 0.0001))</f>
        <v>0.1</v>
      </c>
      <c r="B408" s="397" t="n">
        <f aca="false">B407+pas</f>
        <v>22.4000000000001</v>
      </c>
      <c r="D408" s="396" t="n">
        <f aca="false">IF(AND(L407&lt;L_rampe,Poussee&lt;Poids*SIN(M407)),0,(-W407+Poussee)/m*COS(M407)-U407/m*SIN(M407))</f>
        <v>-0.654479507560065</v>
      </c>
      <c r="E408" s="398" t="n">
        <f aca="false">IF(AND(L407&lt;L_rampe,Poussee&lt;Poids*SIN(M407)),0,(-W407+Poussee)/m*SIN(M407)+U407/m*COS(M407)-Poids/m)</f>
        <v>-7.47345579756698</v>
      </c>
      <c r="F408" s="397" t="n">
        <f aca="false">SQRT(acc_x^2+acc_z^2)</f>
        <v>7.50205871637936</v>
      </c>
      <c r="G408" s="396" t="n">
        <f aca="false">G407+acc_x*pas</f>
        <v>18.7773603871047</v>
      </c>
      <c r="H408" s="398" t="n">
        <f aca="false">H407+acc_z*pas</f>
        <v>-68.0176788305567</v>
      </c>
      <c r="I408" s="397" t="n">
        <f aca="false">SQRT(vit_x^2+vit_z^2)</f>
        <v>70.5619862008147</v>
      </c>
      <c r="J408" s="396" t="n">
        <f aca="false">J407+0.5*(vit_x+G407)*pas*(K407&gt;=0)</f>
        <v>543.614410319286</v>
      </c>
      <c r="K408" s="398" t="n">
        <f aca="false">K407+0.5*(vit_z+H407)*pas</f>
        <v>920.097420570659</v>
      </c>
      <c r="L408" s="397" t="n">
        <f aca="false">SQRT(pos_x^2+pos_z^2)</f>
        <v>1068.68886512753</v>
      </c>
      <c r="M408" s="396" t="n">
        <f aca="false">IF(AND(L407&gt;L_rampe,G408&gt;0),ATAN2(G408,H408),$M$4)</f>
        <v>-1.30143944568398</v>
      </c>
      <c r="N408" s="397" t="n">
        <f aca="false">DEGREES(Beta)</f>
        <v>-74.5669875295373</v>
      </c>
      <c r="P408" s="399" t="n">
        <f aca="false">MATCH(t-pas/2-T_ini,CdP_t)</f>
        <v>23</v>
      </c>
      <c r="Q408" s="397" t="n">
        <f aca="false">(INDEX(CdP,2,i_P+1)-INDEX(CdP,2,i_P+0))/(INDEX(CdP,1,i_P+1)-INDEX(CdP,1,i_P+0))*(t-pas/2-T_ini-INDEX(CdP,1,i_P+0))+INDEX(CdP,2,i_P+0)</f>
        <v>0</v>
      </c>
      <c r="R408" s="396" t="n">
        <f aca="false">Poussee/(g*ISP)</f>
        <v>0</v>
      </c>
      <c r="S408" s="398" t="n">
        <f aca="false">S407-Débit*pas</f>
        <v>8.45</v>
      </c>
      <c r="T408" s="397" t="n">
        <f aca="false">m*g</f>
        <v>82.8945</v>
      </c>
      <c r="U408" s="400" t="n">
        <f aca="false">IF(pos_xz&lt;L_rampe,Poids*COS(Beta),0)</f>
        <v>0</v>
      </c>
      <c r="V408" s="396" t="n">
        <f aca="false">Rho_moyen*(20000-Alt_rampe-pos_z)/(20000+Alt_rampe+pos_z)</f>
        <v>1.11724530674597</v>
      </c>
      <c r="W408" s="397" t="n">
        <f aca="false">1/2*Rho*Sref*Cx*vit_xz^2</f>
        <v>20.932335152368</v>
      </c>
      <c r="Y408" s="401" t="str">
        <f aca="false">IF(AND(pos_z&lt;=0,K407&gt;0),"Impact balistique","") &amp; IF(AND(H409&lt;0,vit_z&gt;=0),"Apogée","") &amp; IF(AND(Poussee=0,Q407&gt;0),"Fin de propulsion","") &amp; IF(AND(L409&gt;L_rampe,pos_xz&lt;=L_rampe),"Sortie de rampe","")</f>
        <v/>
      </c>
      <c r="Z408" s="402" t="str">
        <f aca="false">IF(ABS(t-T_para)&lt;pas/2,"Para","")</f>
        <v/>
      </c>
      <c r="AA408" s="403" t="str">
        <f aca="false">IF(ABS(t-T_satellite)&lt;pas/2,"Satellite","")</f>
        <v/>
      </c>
      <c r="AC408" s="399" t="e">
        <f aca="false">IF(ABS(t-ROUND(t,0))&lt;0.001,t,NA())</f>
        <v>#N/A</v>
      </c>
      <c r="AD408" s="404" t="e">
        <f aca="false">IF(ABS(t-ROUND(t,0))&lt;0.001,pos_x,NA())</f>
        <v>#N/A</v>
      </c>
      <c r="AE408" s="405" t="e">
        <f aca="false">IF(t&lt;T_para, pos_z, NA())</f>
        <v>#N/A</v>
      </c>
      <c r="AG408" s="396" t="n">
        <f aca="false">IF(AND(L407&lt;L_rampe,Poussee&lt;Poids*SIN(M407)),0,(-W407+Poussee)/m-Poids*SIN(M407)/m)</f>
        <v>7.01994230107773</v>
      </c>
      <c r="AH408" s="397" t="n">
        <f aca="false">IF(AND(L407&lt;L_rampe,Poussee&lt;Poids*SIN(M407)), g*SIN(M407), (-W407+Poussee)/m)</f>
        <v>-2.42647526996247</v>
      </c>
    </row>
    <row r="409" customFormat="false" ht="12.75" hidden="false" customHeight="false" outlineLevel="0" collapsed="false">
      <c r="A409" s="396" t="n">
        <f aca="false">IF(B408+0.01&lt;=T_ini+ROUNDUP(Temps_fin_propu,0), 0.01, IF(K408&gt;0, 0.1, 0.0001))</f>
        <v>0.1</v>
      </c>
      <c r="B409" s="397" t="n">
        <f aca="false">B408+pas</f>
        <v>22.5000000000001</v>
      </c>
      <c r="D409" s="396" t="n">
        <f aca="false">IF(AND(L408&lt;L_rampe,Poussee&lt;Poids*SIN(M408)),0,(-W408+Poussee)/m*COS(M408)-U408/m*SIN(M408))</f>
        <v>-0.65921140947309</v>
      </c>
      <c r="E409" s="398" t="n">
        <f aca="false">IF(AND(L408&lt;L_rampe,Poussee&lt;Poids*SIN(M408)),0,(-W408+Poussee)/m*SIN(M408)+U408/m*COS(M408)-Poids/m)</f>
        <v>-7.42212284332725</v>
      </c>
      <c r="F409" s="397" t="n">
        <f aca="false">SQRT(acc_x^2+acc_z^2)</f>
        <v>7.4513399589483</v>
      </c>
      <c r="G409" s="396" t="n">
        <f aca="false">G408+acc_x*pas</f>
        <v>18.7114392461574</v>
      </c>
      <c r="H409" s="398" t="n">
        <f aca="false">H408+acc_z*pas</f>
        <v>-68.7598911148894</v>
      </c>
      <c r="I409" s="397" t="n">
        <f aca="false">SQRT(vit_x^2+vit_z^2)</f>
        <v>71.2603717699683</v>
      </c>
      <c r="J409" s="396" t="n">
        <f aca="false">J408+0.5*(vit_x+G408)*pas*(K408&gt;=0)</f>
        <v>545.48885030095</v>
      </c>
      <c r="K409" s="398" t="n">
        <f aca="false">K408+0.5*(vit_z+H408)*pas</f>
        <v>913.258542073387</v>
      </c>
      <c r="L409" s="397" t="n">
        <f aca="false">SQRT(pos_x^2+pos_z^2)</f>
        <v>1063.76653945904</v>
      </c>
      <c r="M409" s="396" t="n">
        <f aca="false">IF(AND(L408&gt;L_rampe,G409&gt;0),ATAN2(G409,H409),$M$4)</f>
        <v>-1.30510285663814</v>
      </c>
      <c r="N409" s="397" t="n">
        <f aca="false">DEGREES(Beta)</f>
        <v>-74.7768855158325</v>
      </c>
      <c r="P409" s="399" t="n">
        <f aca="false">MATCH(t-pas/2-T_ini,CdP_t)</f>
        <v>23</v>
      </c>
      <c r="Q409" s="397" t="n">
        <f aca="false">(INDEX(CdP,2,i_P+1)-INDEX(CdP,2,i_P+0))/(INDEX(CdP,1,i_P+1)-INDEX(CdP,1,i_P+0))*(t-pas/2-T_ini-INDEX(CdP,1,i_P+0))+INDEX(CdP,2,i_P+0)</f>
        <v>0</v>
      </c>
      <c r="R409" s="396" t="n">
        <f aca="false">Poussee/(g*ISP)</f>
        <v>0</v>
      </c>
      <c r="S409" s="398" t="n">
        <f aca="false">S408-Débit*pas</f>
        <v>8.45</v>
      </c>
      <c r="T409" s="397" t="n">
        <f aca="false">m*g</f>
        <v>82.8945</v>
      </c>
      <c r="U409" s="400" t="n">
        <f aca="false">IF(pos_xz&lt;L_rampe,Poids*COS(Beta),0)</f>
        <v>0</v>
      </c>
      <c r="V409" s="396" t="n">
        <f aca="false">Rho_moyen*(20000-Alt_rampe-pos_z)/(20000+Alt_rampe+pos_z)</f>
        <v>1.11801124817166</v>
      </c>
      <c r="W409" s="397" t="n">
        <f aca="false">1/2*Rho*Sref*Cx*vit_xz^2</f>
        <v>21.3633761512862</v>
      </c>
      <c r="Y409" s="401" t="str">
        <f aca="false">IF(AND(pos_z&lt;=0,K408&gt;0),"Impact balistique","") &amp; IF(AND(H410&lt;0,vit_z&gt;=0),"Apogée","") &amp; IF(AND(Poussee=0,Q408&gt;0),"Fin de propulsion","") &amp; IF(AND(L410&gt;L_rampe,pos_xz&lt;=L_rampe),"Sortie de rampe","")</f>
        <v/>
      </c>
      <c r="Z409" s="402" t="str">
        <f aca="false">IF(ABS(t-T_para)&lt;pas/2,"Para","")</f>
        <v/>
      </c>
      <c r="AA409" s="403" t="str">
        <f aca="false">IF(ABS(t-T_satellite)&lt;pas/2,"Satellite","")</f>
        <v/>
      </c>
      <c r="AC409" s="399" t="e">
        <f aca="false">IF(ABS(t-ROUND(t,0))&lt;0.001,t,NA())</f>
        <v>#N/A</v>
      </c>
      <c r="AD409" s="404" t="e">
        <f aca="false">IF(ABS(t-ROUND(t,0))&lt;0.001,pos_x,NA())</f>
        <v>#N/A</v>
      </c>
      <c r="AE409" s="405" t="e">
        <f aca="false">IF(t&lt;T_para, pos_z, NA())</f>
        <v>#N/A</v>
      </c>
      <c r="AG409" s="396" t="n">
        <f aca="false">IF(AND(L408&lt;L_rampe,Poussee&lt;Poids*SIN(M408)),0,(-W408+Poussee)/m-Poids*SIN(M408)/m)</f>
        <v>6.97907391934664</v>
      </c>
      <c r="AH409" s="397" t="n">
        <f aca="false">IF(AND(L408&lt;L_rampe,Poussee&lt;Poids*SIN(M408)), g*SIN(M408), (-W408+Poussee)/m)</f>
        <v>-2.47719942631575</v>
      </c>
    </row>
    <row r="410" customFormat="false" ht="12.75" hidden="false" customHeight="false" outlineLevel="0" collapsed="false">
      <c r="A410" s="396" t="n">
        <f aca="false">IF(B409+0.01&lt;=T_ini+ROUNDUP(Temps_fin_propu,0), 0.01, IF(K409&gt;0, 0.1, 0.0001))</f>
        <v>0.1</v>
      </c>
      <c r="B410" s="397" t="n">
        <f aca="false">B409+pas</f>
        <v>22.6000000000001</v>
      </c>
      <c r="D410" s="396" t="n">
        <f aca="false">IF(AND(L409&lt;L_rampe,Poussee&lt;Poids*SIN(M409)),0,(-W409+Poussee)/m*COS(M409)-U409/m*SIN(M409))</f>
        <v>-0.663853559812964</v>
      </c>
      <c r="E410" s="398" t="n">
        <f aca="false">IF(AND(L409&lt;L_rampe,Poussee&lt;Poids*SIN(M409)),0,(-W409+Poussee)/m*SIN(M409)+U409/m*COS(M409)-Poids/m)</f>
        <v>-7.37050307576713</v>
      </c>
      <c r="F410" s="397" t="n">
        <f aca="false">SQRT(acc_x^2+acc_z^2)</f>
        <v>7.40033898809839</v>
      </c>
      <c r="G410" s="396" t="n">
        <f aca="false">G409+acc_x*pas</f>
        <v>18.6450538901761</v>
      </c>
      <c r="H410" s="398" t="n">
        <f aca="false">H409+acc_z*pas</f>
        <v>-69.4969414224661</v>
      </c>
      <c r="I410" s="397" t="n">
        <f aca="false">SQRT(vit_x^2+vit_z^2)</f>
        <v>71.9545891632025</v>
      </c>
      <c r="J410" s="396" t="n">
        <f aca="false">J409+0.5*(vit_x+G409)*pas*(K409&gt;=0)</f>
        <v>547.356674957766</v>
      </c>
      <c r="K410" s="398" t="n">
        <f aca="false">K409+0.5*(vit_z+H409)*pas</f>
        <v>906.345700446519</v>
      </c>
      <c r="L410" s="397" t="n">
        <f aca="false">SQRT(pos_x^2+pos_z^2)</f>
        <v>1058.80208648204</v>
      </c>
      <c r="M410" s="396" t="n">
        <f aca="false">IF(AND(L409&gt;L_rampe,G410&gt;0),ATAN2(G410,H410),$M$4)</f>
        <v>-1.30868275376866</v>
      </c>
      <c r="N410" s="397" t="n">
        <f aca="false">DEGREES(Beta)</f>
        <v>-74.9819985125027</v>
      </c>
      <c r="P410" s="399" t="n">
        <f aca="false">MATCH(t-pas/2-T_ini,CdP_t)</f>
        <v>23</v>
      </c>
      <c r="Q410" s="397" t="n">
        <f aca="false">(INDEX(CdP,2,i_P+1)-INDEX(CdP,2,i_P+0))/(INDEX(CdP,1,i_P+1)-INDEX(CdP,1,i_P+0))*(t-pas/2-T_ini-INDEX(CdP,1,i_P+0))+INDEX(CdP,2,i_P+0)</f>
        <v>0</v>
      </c>
      <c r="R410" s="396" t="n">
        <f aca="false">Poussee/(g*ISP)</f>
        <v>0</v>
      </c>
      <c r="S410" s="398" t="n">
        <f aca="false">S409-Débit*pas</f>
        <v>8.45</v>
      </c>
      <c r="T410" s="397" t="n">
        <f aca="false">m*g</f>
        <v>82.8945</v>
      </c>
      <c r="U410" s="400" t="n">
        <f aca="false">IF(pos_xz&lt;L_rampe,Poids*COS(Beta),0)</f>
        <v>0</v>
      </c>
      <c r="V410" s="396" t="n">
        <f aca="false">Rho_moyen*(20000-Alt_rampe-pos_z)/(20000+Alt_rampe+pos_z)</f>
        <v>1.11878598259539</v>
      </c>
      <c r="W410" s="397" t="n">
        <f aca="false">1/2*Rho*Sref*Cx*vit_xz^2</f>
        <v>21.7967407599426</v>
      </c>
      <c r="Y410" s="401" t="str">
        <f aca="false">IF(AND(pos_z&lt;=0,K409&gt;0),"Impact balistique","") &amp; IF(AND(H411&lt;0,vit_z&gt;=0),"Apogée","") &amp; IF(AND(Poussee=0,Q409&gt;0),"Fin de propulsion","") &amp; IF(AND(L411&gt;L_rampe,pos_xz&lt;=L_rampe),"Sortie de rampe","")</f>
        <v/>
      </c>
      <c r="Z410" s="402" t="str">
        <f aca="false">IF(ABS(t-T_para)&lt;pas/2,"Para","")</f>
        <v/>
      </c>
      <c r="AA410" s="403" t="str">
        <f aca="false">IF(ABS(t-T_satellite)&lt;pas/2,"Satellite","")</f>
        <v/>
      </c>
      <c r="AC410" s="399" t="e">
        <f aca="false">IF(ABS(t-ROUND(t,0))&lt;0.001,t,NA())</f>
        <v>#N/A</v>
      </c>
      <c r="AD410" s="404" t="e">
        <f aca="false">IF(ABS(t-ROUND(t,0))&lt;0.001,pos_x,NA())</f>
        <v>#N/A</v>
      </c>
      <c r="AE410" s="405" t="e">
        <f aca="false">IF(t&lt;T_para, pos_z, NA())</f>
        <v>#N/A</v>
      </c>
      <c r="AG410" s="396" t="n">
        <f aca="false">IF(AND(L409&lt;L_rampe,Poussee&lt;Poids*SIN(M409)),0,(-W409+Poussee)/m-Poids*SIN(M409)/m)</f>
        <v>6.93756320826924</v>
      </c>
      <c r="AH410" s="397" t="n">
        <f aca="false">IF(AND(L409&lt;L_rampe,Poussee&lt;Poids*SIN(M409)), g*SIN(M409), (-W409+Poussee)/m)</f>
        <v>-2.52821019541849</v>
      </c>
    </row>
    <row r="411" customFormat="false" ht="12.75" hidden="false" customHeight="false" outlineLevel="0" collapsed="false">
      <c r="A411" s="396" t="n">
        <f aca="false">IF(B410+0.01&lt;=T_ini+ROUNDUP(Temps_fin_propu,0), 0.01, IF(K410&gt;0, 0.1, 0.0001))</f>
        <v>0.1</v>
      </c>
      <c r="B411" s="397" t="n">
        <f aca="false">B410+pas</f>
        <v>22.7000000000001</v>
      </c>
      <c r="D411" s="396" t="n">
        <f aca="false">IF(AND(L410&lt;L_rampe,Poussee&lt;Poids*SIN(M410)),0,(-W410+Poussee)/m*COS(M410)-U410/m*SIN(M410))</f>
        <v>-0.668405469586032</v>
      </c>
      <c r="E411" s="398" t="n">
        <f aca="false">IF(AND(L410&lt;L_rampe,Poussee&lt;Poids*SIN(M410)),0,(-W410+Poussee)/m*SIN(M410)+U410/m*COS(M410)-Poids/m)</f>
        <v>-7.31860812524915</v>
      </c>
      <c r="F411" s="397" t="n">
        <f aca="false">SQRT(acc_x^2+acc_z^2)</f>
        <v>7.34906733965171</v>
      </c>
      <c r="G411" s="396" t="n">
        <f aca="false">G410+acc_x*pas</f>
        <v>18.5782133432175</v>
      </c>
      <c r="H411" s="398" t="n">
        <f aca="false">H410+acc_z*pas</f>
        <v>-70.2288022349911</v>
      </c>
      <c r="I411" s="397" t="n">
        <f aca="false">SQRT(vit_x^2+vit_z^2)</f>
        <v>72.6445777356272</v>
      </c>
      <c r="J411" s="396" t="n">
        <f aca="false">J410+0.5*(vit_x+G410)*pas*(K410&gt;=0)</f>
        <v>549.217838319436</v>
      </c>
      <c r="K411" s="398" t="n">
        <f aca="false">K410+0.5*(vit_z+H410)*pas</f>
        <v>899.359413263647</v>
      </c>
      <c r="L411" s="397" t="n">
        <f aca="false">SQRT(pos_x^2+pos_z^2)</f>
        <v>1053.79674897686</v>
      </c>
      <c r="M411" s="396" t="n">
        <f aca="false">IF(AND(L410&gt;L_rampe,G411&gt;0),ATAN2(G411,H411),$M$4)</f>
        <v>-1.31218197849962</v>
      </c>
      <c r="N411" s="397" t="n">
        <f aca="false">DEGREES(Beta)</f>
        <v>-75.1824893211541</v>
      </c>
      <c r="P411" s="399" t="n">
        <f aca="false">MATCH(t-pas/2-T_ini,CdP_t)</f>
        <v>23</v>
      </c>
      <c r="Q411" s="397" t="n">
        <f aca="false">(INDEX(CdP,2,i_P+1)-INDEX(CdP,2,i_P+0))/(INDEX(CdP,1,i_P+1)-INDEX(CdP,1,i_P+0))*(t-pas/2-T_ini-INDEX(CdP,1,i_P+0))+INDEX(CdP,2,i_P+0)</f>
        <v>0</v>
      </c>
      <c r="R411" s="396" t="n">
        <f aca="false">Poussee/(g*ISP)</f>
        <v>0</v>
      </c>
      <c r="S411" s="398" t="n">
        <f aca="false">S410-Débit*pas</f>
        <v>8.45</v>
      </c>
      <c r="T411" s="397" t="n">
        <f aca="false">m*g</f>
        <v>82.8945</v>
      </c>
      <c r="U411" s="400" t="n">
        <f aca="false">IF(pos_xz&lt;L_rampe,Poids*COS(Beta),0)</f>
        <v>0</v>
      </c>
      <c r="V411" s="396" t="n">
        <f aca="false">Rho_moyen*(20000-Alt_rampe-pos_z)/(20000+Alt_rampe+pos_z)</f>
        <v>1.11956946890451</v>
      </c>
      <c r="W411" s="397" t="n">
        <f aca="false">1/2*Rho*Sref*Cx*vit_xz^2</f>
        <v>22.2323310534179</v>
      </c>
      <c r="Y411" s="401" t="str">
        <f aca="false">IF(AND(pos_z&lt;=0,K410&gt;0),"Impact balistique","") &amp; IF(AND(H412&lt;0,vit_z&gt;=0),"Apogée","") &amp; IF(AND(Poussee=0,Q410&gt;0),"Fin de propulsion","") &amp; IF(AND(L412&gt;L_rampe,pos_xz&lt;=L_rampe),"Sortie de rampe","")</f>
        <v/>
      </c>
      <c r="Z411" s="402" t="str">
        <f aca="false">IF(ABS(t-T_para)&lt;pas/2,"Para","")</f>
        <v/>
      </c>
      <c r="AA411" s="403" t="str">
        <f aca="false">IF(ABS(t-T_satellite)&lt;pas/2,"Satellite","")</f>
        <v/>
      </c>
      <c r="AC411" s="399" t="e">
        <f aca="false">IF(ABS(t-ROUND(t,0))&lt;0.001,t,NA())</f>
        <v>#N/A</v>
      </c>
      <c r="AD411" s="404" t="e">
        <f aca="false">IF(ABS(t-ROUND(t,0))&lt;0.001,pos_x,NA())</f>
        <v>#N/A</v>
      </c>
      <c r="AE411" s="405" t="e">
        <f aca="false">IF(t&lt;T_para, pos_z, NA())</f>
        <v>#N/A</v>
      </c>
      <c r="AG411" s="396" t="n">
        <f aca="false">IF(AND(L410&lt;L_rampe,Poussee&lt;Poids*SIN(M410)),0,(-W410+Poussee)/m-Poids*SIN(M410)/m)</f>
        <v>6.89543821934904</v>
      </c>
      <c r="AH411" s="397" t="n">
        <f aca="false">IF(AND(L410&lt;L_rampe,Poussee&lt;Poids*SIN(M410)), g*SIN(M410), (-W410+Poussee)/m)</f>
        <v>-2.5794959479222</v>
      </c>
    </row>
    <row r="412" customFormat="false" ht="12.75" hidden="false" customHeight="false" outlineLevel="0" collapsed="false">
      <c r="A412" s="396" t="n">
        <f aca="false">IF(B411+0.01&lt;=T_ini+ROUNDUP(Temps_fin_propu,0), 0.01, IF(K411&gt;0, 0.1, 0.0001))</f>
        <v>0.1</v>
      </c>
      <c r="B412" s="397" t="n">
        <f aca="false">B411+pas</f>
        <v>22.8000000000001</v>
      </c>
      <c r="D412" s="396" t="n">
        <f aca="false">IF(AND(L411&lt;L_rampe,Poussee&lt;Poids*SIN(M411)),0,(-W411+Poussee)/m*COS(M411)-U411/m*SIN(M411))</f>
        <v>-0.672866697221256</v>
      </c>
      <c r="E412" s="398" t="n">
        <f aca="false">IF(AND(L411&lt;L_rampe,Poussee&lt;Poids*SIN(M411)),0,(-W411+Poussee)/m*SIN(M411)+U411/m*COS(M411)-Poids/m)</f>
        <v>-7.26644958766098</v>
      </c>
      <c r="F412" s="397" t="n">
        <f aca="false">SQRT(acc_x^2+acc_z^2)</f>
        <v>7.29753651599277</v>
      </c>
      <c r="G412" s="396" t="n">
        <f aca="false">G411+acc_x*pas</f>
        <v>18.5109266734954</v>
      </c>
      <c r="H412" s="398" t="n">
        <f aca="false">H411+acc_z*pas</f>
        <v>-70.9554471937572</v>
      </c>
      <c r="I412" s="397" t="n">
        <f aca="false">SQRT(vit_x^2+vit_z^2)</f>
        <v>73.330279508383</v>
      </c>
      <c r="J412" s="396" t="n">
        <f aca="false">J411+0.5*(vit_x+G411)*pas*(K411&gt;=0)</f>
        <v>551.072295320272</v>
      </c>
      <c r="K412" s="398" t="n">
        <f aca="false">K411+0.5*(vit_z+H411)*pas</f>
        <v>892.300200792209</v>
      </c>
      <c r="L412" s="397" t="n">
        <f aca="false">SQRT(pos_x^2+pos_z^2)</f>
        <v>1048.7517928487</v>
      </c>
      <c r="M412" s="396" t="n">
        <f aca="false">IF(AND(L411&gt;L_rampe,G412&gt;0),ATAN2(G412,H412),$M$4)</f>
        <v>-1.3156032477683</v>
      </c>
      <c r="N412" s="397" t="n">
        <f aca="false">DEGREES(Beta)</f>
        <v>-75.3785136108274</v>
      </c>
      <c r="P412" s="399" t="n">
        <f aca="false">MATCH(t-pas/2-T_ini,CdP_t)</f>
        <v>23</v>
      </c>
      <c r="Q412" s="397" t="n">
        <f aca="false">(INDEX(CdP,2,i_P+1)-INDEX(CdP,2,i_P+0))/(INDEX(CdP,1,i_P+1)-INDEX(CdP,1,i_P+0))*(t-pas/2-T_ini-INDEX(CdP,1,i_P+0))+INDEX(CdP,2,i_P+0)</f>
        <v>0</v>
      </c>
      <c r="R412" s="396" t="n">
        <f aca="false">Poussee/(g*ISP)</f>
        <v>0</v>
      </c>
      <c r="S412" s="398" t="n">
        <f aca="false">S411-Débit*pas</f>
        <v>8.45</v>
      </c>
      <c r="T412" s="397" t="n">
        <f aca="false">m*g</f>
        <v>82.8945</v>
      </c>
      <c r="U412" s="400" t="n">
        <f aca="false">IF(pos_xz&lt;L_rampe,Poids*COS(Beta),0)</f>
        <v>0</v>
      </c>
      <c r="V412" s="396" t="n">
        <f aca="false">Rho_moyen*(20000-Alt_rampe-pos_z)/(20000+Alt_rampe+pos_z)</f>
        <v>1.12036166573664</v>
      </c>
      <c r="W412" s="397" t="n">
        <f aca="false">1/2*Rho*Sref*Cx*vit_xz^2</f>
        <v>22.6700494874268</v>
      </c>
      <c r="Y412" s="401" t="str">
        <f aca="false">IF(AND(pos_z&lt;=0,K411&gt;0),"Impact balistique","") &amp; IF(AND(H413&lt;0,vit_z&gt;=0),"Apogée","") &amp; IF(AND(Poussee=0,Q411&gt;0),"Fin de propulsion","") &amp; IF(AND(L413&gt;L_rampe,pos_xz&lt;=L_rampe),"Sortie de rampe","")</f>
        <v/>
      </c>
      <c r="Z412" s="402" t="str">
        <f aca="false">IF(ABS(t-T_para)&lt;pas/2,"Para","")</f>
        <v/>
      </c>
      <c r="AA412" s="403" t="str">
        <f aca="false">IF(ABS(t-T_satellite)&lt;pas/2,"Satellite","")</f>
        <v/>
      </c>
      <c r="AC412" s="399" t="e">
        <f aca="false">IF(ABS(t-ROUND(t,0))&lt;0.001,t,NA())</f>
        <v>#N/A</v>
      </c>
      <c r="AD412" s="404" t="e">
        <f aca="false">IF(ABS(t-ROUND(t,0))&lt;0.001,pos_x,NA())</f>
        <v>#N/A</v>
      </c>
      <c r="AE412" s="405" t="e">
        <f aca="false">IF(t&lt;T_para, pos_z, NA())</f>
        <v>#N/A</v>
      </c>
      <c r="AG412" s="396" t="n">
        <f aca="false">IF(AND(L411&lt;L_rampe,Poussee&lt;Poids*SIN(M411)),0,(-W411+Poussee)/m-Poids*SIN(M411)/m)</f>
        <v>6.85272604655404</v>
      </c>
      <c r="AH412" s="397" t="n">
        <f aca="false">IF(AND(L411&lt;L_rampe,Poussee&lt;Poids*SIN(M411)), g*SIN(M411), (-W411+Poussee)/m)</f>
        <v>-2.63104509507904</v>
      </c>
    </row>
    <row r="413" customFormat="false" ht="12.75" hidden="false" customHeight="false" outlineLevel="0" collapsed="false">
      <c r="A413" s="396" t="n">
        <f aca="false">IF(B412+0.01&lt;=T_ini+ROUNDUP(Temps_fin_propu,0), 0.01, IF(K412&gt;0, 0.1, 0.0001))</f>
        <v>0.1</v>
      </c>
      <c r="B413" s="397" t="n">
        <f aca="false">B412+pas</f>
        <v>22.9000000000001</v>
      </c>
      <c r="D413" s="396" t="n">
        <f aca="false">IF(AND(L412&lt;L_rampe,Poussee&lt;Poids*SIN(M412)),0,(-W412+Poussee)/m*COS(M412)-U412/m*SIN(M412))</f>
        <v>-0.677236847318622</v>
      </c>
      <c r="E413" s="398" t="n">
        <f aca="false">IF(AND(L412&lt;L_rampe,Poussee&lt;Poids*SIN(M412)),0,(-W412+Poussee)/m*SIN(M412)+U412/m*COS(M412)-Poids/m)</f>
        <v>-7.2140390194842</v>
      </c>
      <c r="F413" s="397" t="n">
        <f aca="false">SQRT(acc_x^2+acc_z^2)</f>
        <v>7.24575798119194</v>
      </c>
      <c r="G413" s="396" t="n">
        <f aca="false">G412+acc_x*pas</f>
        <v>18.4432029887635</v>
      </c>
      <c r="H413" s="398" t="n">
        <f aca="false">H412+acc_z*pas</f>
        <v>-71.6768510957056</v>
      </c>
      <c r="I413" s="397" t="n">
        <f aca="false">SQRT(vit_x^2+vit_z^2)</f>
        <v>74.0116390811654</v>
      </c>
      <c r="J413" s="396" t="n">
        <f aca="false">J412+0.5*(vit_x+G412)*pas*(K412&gt;=0)</f>
        <v>552.920001803385</v>
      </c>
      <c r="K413" s="398" t="n">
        <f aca="false">K412+0.5*(vit_z+H412)*pas</f>
        <v>885.168585877736</v>
      </c>
      <c r="L413" s="397" t="n">
        <f aca="false">SQRT(pos_x^2+pos_z^2)</f>
        <v>1043.6685076302</v>
      </c>
      <c r="M413" s="396" t="n">
        <f aca="false">IF(AND(L412&gt;L_rampe,G413&gt;0),ATAN2(G413,H413),$M$4)</f>
        <v>-1.31894916054631</v>
      </c>
      <c r="N413" s="397" t="n">
        <f aca="false">DEGREES(Beta)</f>
        <v>-75.5702202916264</v>
      </c>
      <c r="P413" s="399" t="n">
        <f aca="false">MATCH(t-pas/2-T_ini,CdP_t)</f>
        <v>23</v>
      </c>
      <c r="Q413" s="397" t="n">
        <f aca="false">(INDEX(CdP,2,i_P+1)-INDEX(CdP,2,i_P+0))/(INDEX(CdP,1,i_P+1)-INDEX(CdP,1,i_P+0))*(t-pas/2-T_ini-INDEX(CdP,1,i_P+0))+INDEX(CdP,2,i_P+0)</f>
        <v>0</v>
      </c>
      <c r="R413" s="396" t="n">
        <f aca="false">Poussee/(g*ISP)</f>
        <v>0</v>
      </c>
      <c r="S413" s="398" t="n">
        <f aca="false">S412-Débit*pas</f>
        <v>8.45</v>
      </c>
      <c r="T413" s="397" t="n">
        <f aca="false">m*g</f>
        <v>82.8945</v>
      </c>
      <c r="U413" s="400" t="n">
        <f aca="false">IF(pos_xz&lt;L_rampe,Poids*COS(Beta),0)</f>
        <v>0</v>
      </c>
      <c r="V413" s="396" t="n">
        <f aca="false">Rho_moyen*(20000-Alt_rampe-pos_z)/(20000+Alt_rampe+pos_z)</f>
        <v>1.12116253148816</v>
      </c>
      <c r="W413" s="397" t="n">
        <f aca="false">1/2*Rho*Sref*Cx*vit_xz^2</f>
        <v>23.1097989351532</v>
      </c>
      <c r="Y413" s="401" t="str">
        <f aca="false">IF(AND(pos_z&lt;=0,K412&gt;0),"Impact balistique","") &amp; IF(AND(H414&lt;0,vit_z&gt;=0),"Apogée","") &amp; IF(AND(Poussee=0,Q412&gt;0),"Fin de propulsion","") &amp; IF(AND(L414&gt;L_rampe,pos_xz&lt;=L_rampe),"Sortie de rampe","")</f>
        <v/>
      </c>
      <c r="Z413" s="402" t="str">
        <f aca="false">IF(ABS(t-T_para)&lt;pas/2,"Para","")</f>
        <v/>
      </c>
      <c r="AA413" s="403" t="str">
        <f aca="false">IF(ABS(t-T_satellite)&lt;pas/2,"Satellite","")</f>
        <v/>
      </c>
      <c r="AC413" s="399" t="e">
        <f aca="false">IF(ABS(t-ROUND(t,0))&lt;0.001,t,NA())</f>
        <v>#N/A</v>
      </c>
      <c r="AD413" s="404" t="e">
        <f aca="false">IF(ABS(t-ROUND(t,0))&lt;0.001,pos_x,NA())</f>
        <v>#N/A</v>
      </c>
      <c r="AE413" s="405" t="e">
        <f aca="false">IF(t&lt;T_para, pos_z, NA())</f>
        <v>#N/A</v>
      </c>
      <c r="AG413" s="396" t="n">
        <f aca="false">IF(AND(L412&lt;L_rampe,Poussee&lt;Poids*SIN(M412)),0,(-W412+Poussee)/m-Poids*SIN(M412)/m)</f>
        <v>6.80945288122523</v>
      </c>
      <c r="AH413" s="397" t="n">
        <f aca="false">IF(AND(L412&lt;L_rampe,Poussee&lt;Poids*SIN(M412)), g*SIN(M412), (-W412+Poussee)/m)</f>
        <v>-2.6828460931866</v>
      </c>
    </row>
    <row r="414" customFormat="false" ht="12.75" hidden="false" customHeight="false" outlineLevel="0" collapsed="false">
      <c r="A414" s="396" t="n">
        <f aca="false">IF(B413+0.01&lt;=T_ini+ROUNDUP(Temps_fin_propu,0), 0.01, IF(K413&gt;0, 0.1, 0.0001))</f>
        <v>0.1</v>
      </c>
      <c r="B414" s="397" t="n">
        <f aca="false">B413+pas</f>
        <v>23.0000000000001</v>
      </c>
      <c r="D414" s="396" t="n">
        <f aca="false">IF(AND(L413&lt;L_rampe,Poussee&lt;Poids*SIN(M413)),0,(-W413+Poussee)/m*COS(M413)-U413/m*SIN(M413))</f>
        <v>-0.681515569444351</v>
      </c>
      <c r="E414" s="398" t="n">
        <f aca="false">IF(AND(L413&lt;L_rampe,Poussee&lt;Poids*SIN(M413)),0,(-W413+Poussee)/m*SIN(M413)+U413/m*COS(M413)-Poids/m)</f>
        <v>-7.16138793298383</v>
      </c>
      <c r="F414" s="397" t="n">
        <f aca="false">SQRT(acc_x^2+acc_z^2)</f>
        <v>7.19374315624915</v>
      </c>
      <c r="G414" s="396" t="n">
        <f aca="false">G413+acc_x*pas</f>
        <v>18.3750514318191</v>
      </c>
      <c r="H414" s="398" t="n">
        <f aca="false">H413+acc_z*pas</f>
        <v>-72.392989889004</v>
      </c>
      <c r="I414" s="397" t="n">
        <f aca="false">SQRT(vit_x^2+vit_z^2)</f>
        <v>74.6886035496141</v>
      </c>
      <c r="J414" s="396" t="n">
        <f aca="false">J413+0.5*(vit_x+G413)*pas*(K413&gt;=0)</f>
        <v>554.760914524414</v>
      </c>
      <c r="K414" s="398" t="n">
        <f aca="false">K413+0.5*(vit_z+H413)*pas</f>
        <v>877.965093828501</v>
      </c>
      <c r="L414" s="397" t="n">
        <f aca="false">SQRT(pos_x^2+pos_z^2)</f>
        <v>1038.54820700112</v>
      </c>
      <c r="M414" s="396" t="n">
        <f aca="false">IF(AND(L413&gt;L_rampe,G414&gt;0),ATAN2(G414,H414),$M$4)</f>
        <v>-1.32222220396995</v>
      </c>
      <c r="N414" s="397" t="n">
        <f aca="false">DEGREES(Beta)</f>
        <v>-75.7577518659637</v>
      </c>
      <c r="P414" s="399" t="n">
        <f aca="false">MATCH(t-pas/2-T_ini,CdP_t)</f>
        <v>23</v>
      </c>
      <c r="Q414" s="397" t="n">
        <f aca="false">(INDEX(CdP,2,i_P+1)-INDEX(CdP,2,i_P+0))/(INDEX(CdP,1,i_P+1)-INDEX(CdP,1,i_P+0))*(t-pas/2-T_ini-INDEX(CdP,1,i_P+0))+INDEX(CdP,2,i_P+0)</f>
        <v>0</v>
      </c>
      <c r="R414" s="396" t="n">
        <f aca="false">Poussee/(g*ISP)</f>
        <v>0</v>
      </c>
      <c r="S414" s="398" t="n">
        <f aca="false">S413-Débit*pas</f>
        <v>8.45</v>
      </c>
      <c r="T414" s="397" t="n">
        <f aca="false">m*g</f>
        <v>82.8945</v>
      </c>
      <c r="U414" s="400" t="n">
        <f aca="false">IF(pos_xz&lt;L_rampe,Poids*COS(Beta),0)</f>
        <v>0</v>
      </c>
      <c r="V414" s="396" t="n">
        <f aca="false">Rho_moyen*(20000-Alt_rampe-pos_z)/(20000+Alt_rampe+pos_z)</f>
        <v>1.12197202432264</v>
      </c>
      <c r="W414" s="397" t="n">
        <f aca="false">1/2*Rho*Sref*Cx*vit_xz^2</f>
        <v>23.5514827233418</v>
      </c>
      <c r="Y414" s="401" t="str">
        <f aca="false">IF(AND(pos_z&lt;=0,K413&gt;0),"Impact balistique","") &amp; IF(AND(H415&lt;0,vit_z&gt;=0),"Apogée","") &amp; IF(AND(Poussee=0,Q413&gt;0),"Fin de propulsion","") &amp; IF(AND(L415&gt;L_rampe,pos_xz&lt;=L_rampe),"Sortie de rampe","")</f>
        <v/>
      </c>
      <c r="Z414" s="402" t="str">
        <f aca="false">IF(ABS(t-T_para)&lt;pas/2,"Para","")</f>
        <v/>
      </c>
      <c r="AA414" s="403" t="str">
        <f aca="false">IF(ABS(t-T_satellite)&lt;pas/2,"Satellite","")</f>
        <v/>
      </c>
      <c r="AC414" s="399" t="n">
        <f aca="false">IF(ABS(t-ROUND(t,0))&lt;0.001,t,NA())</f>
        <v>23.0000000000001</v>
      </c>
      <c r="AD414" s="404" t="n">
        <f aca="false">IF(ABS(t-ROUND(t,0))&lt;0.001,pos_x,NA())</f>
        <v>554.760914524414</v>
      </c>
      <c r="AE414" s="405" t="e">
        <f aca="false">IF(t&lt;T_para, pos_z, NA())</f>
        <v>#N/A</v>
      </c>
      <c r="AG414" s="396" t="n">
        <f aca="false">IF(AND(L413&lt;L_rampe,Poussee&lt;Poids*SIN(M413)),0,(-W413+Poussee)/m-Poids*SIN(M413)/m)</f>
        <v>6.76564406274888</v>
      </c>
      <c r="AH414" s="397" t="n">
        <f aca="false">IF(AND(L413&lt;L_rampe,Poussee&lt;Poids*SIN(M413)), g*SIN(M413), (-W413+Poussee)/m)</f>
        <v>-2.73488744794713</v>
      </c>
    </row>
    <row r="415" customFormat="false" ht="12.75" hidden="false" customHeight="false" outlineLevel="0" collapsed="false">
      <c r="A415" s="396" t="n">
        <f aca="false">IF(B414+0.01&lt;=T_ini+ROUNDUP(Temps_fin_propu,0), 0.01, IF(K414&gt;0, 0.1, 0.0001))</f>
        <v>0.1</v>
      </c>
      <c r="B415" s="397" t="n">
        <f aca="false">B414+pas</f>
        <v>23.1000000000001</v>
      </c>
      <c r="D415" s="396" t="n">
        <f aca="false">IF(AND(L414&lt;L_rampe,Poussee&lt;Poids*SIN(M414)),0,(-W414+Poussee)/m*COS(M414)-U414/m*SIN(M414))</f>
        <v>-0.685702556969005</v>
      </c>
      <c r="E415" s="398" t="n">
        <f aca="false">IF(AND(L414&lt;L_rampe,Poussee&lt;Poids*SIN(M414)),0,(-W414+Poussee)/m*SIN(M414)+U414/m*COS(M414)-Poids/m)</f>
        <v>-7.10850779151767</v>
      </c>
      <c r="F415" s="397" t="n">
        <f aca="false">SQRT(acc_x^2+acc_z^2)</f>
        <v>7.14150341445702</v>
      </c>
      <c r="G415" s="396" t="n">
        <f aca="false">G414+acc_x*pas</f>
        <v>18.3064811761222</v>
      </c>
      <c r="H415" s="398" t="n">
        <f aca="false">H414+acc_z*pas</f>
        <v>-73.1038406681557</v>
      </c>
      <c r="I415" s="397" t="n">
        <f aca="false">SQRT(vit_x^2+vit_z^2)</f>
        <v>75.3611224271959</v>
      </c>
      <c r="J415" s="396" t="n">
        <f aca="false">J414+0.5*(vit_x+G414)*pas*(K414&gt;=0)</f>
        <v>556.594991154811</v>
      </c>
      <c r="K415" s="398" t="n">
        <f aca="false">K414+0.5*(vit_z+H414)*pas</f>
        <v>870.690252300642</v>
      </c>
      <c r="L415" s="397" t="n">
        <f aca="false">SQRT(pos_x^2+pos_z^2)</f>
        <v>1033.39222932533</v>
      </c>
      <c r="M415" s="396" t="n">
        <f aca="false">IF(AND(L414&gt;L_rampe,G415&gt;0),ATAN2(G415,H415),$M$4)</f>
        <v>-1.32542475910574</v>
      </c>
      <c r="N415" s="397" t="n">
        <f aca="false">DEGREES(Beta)</f>
        <v>-75.941244758903</v>
      </c>
      <c r="P415" s="399" t="n">
        <f aca="false">MATCH(t-pas/2-T_ini,CdP_t)</f>
        <v>23</v>
      </c>
      <c r="Q415" s="397" t="n">
        <f aca="false">(INDEX(CdP,2,i_P+1)-INDEX(CdP,2,i_P+0))/(INDEX(CdP,1,i_P+1)-INDEX(CdP,1,i_P+0))*(t-pas/2-T_ini-INDEX(CdP,1,i_P+0))+INDEX(CdP,2,i_P+0)</f>
        <v>0</v>
      </c>
      <c r="R415" s="396" t="n">
        <f aca="false">Poussee/(g*ISP)</f>
        <v>0</v>
      </c>
      <c r="S415" s="398" t="n">
        <f aca="false">S414-Débit*pas</f>
        <v>8.45</v>
      </c>
      <c r="T415" s="397" t="n">
        <f aca="false">m*g</f>
        <v>82.8945</v>
      </c>
      <c r="U415" s="400" t="n">
        <f aca="false">IF(pos_xz&lt;L_rampe,Poids*COS(Beta),0)</f>
        <v>0</v>
      </c>
      <c r="V415" s="396" t="n">
        <f aca="false">Rho_moyen*(20000-Alt_rampe-pos_z)/(20000+Alt_rampe+pos_z)</f>
        <v>1.12279010217923</v>
      </c>
      <c r="W415" s="397" t="n">
        <f aca="false">1/2*Rho*Sref*Cx*vit_xz^2</f>
        <v>23.99500466763</v>
      </c>
      <c r="Y415" s="401" t="str">
        <f aca="false">IF(AND(pos_z&lt;=0,K414&gt;0),"Impact balistique","") &amp; IF(AND(H416&lt;0,vit_z&gt;=0),"Apogée","") &amp; IF(AND(Poussee=0,Q414&gt;0),"Fin de propulsion","") &amp; IF(AND(L416&gt;L_rampe,pos_xz&lt;=L_rampe),"Sortie de rampe","")</f>
        <v/>
      </c>
      <c r="Z415" s="402" t="str">
        <f aca="false">IF(ABS(t-T_para)&lt;pas/2,"Para","")</f>
        <v/>
      </c>
      <c r="AA415" s="403" t="str">
        <f aca="false">IF(ABS(t-T_satellite)&lt;pas/2,"Satellite","")</f>
        <v/>
      </c>
      <c r="AC415" s="399" t="e">
        <f aca="false">IF(ABS(t-ROUND(t,0))&lt;0.001,t,NA())</f>
        <v>#N/A</v>
      </c>
      <c r="AD415" s="404" t="e">
        <f aca="false">IF(ABS(t-ROUND(t,0))&lt;0.001,pos_x,NA())</f>
        <v>#N/A</v>
      </c>
      <c r="AE415" s="405" t="e">
        <f aca="false">IF(t&lt;T_para, pos_z, NA())</f>
        <v>#N/A</v>
      </c>
      <c r="AG415" s="396" t="n">
        <f aca="false">IF(AND(L414&lt;L_rampe,Poussee&lt;Poids*SIN(M414)),0,(-W414+Poussee)/m-Poids*SIN(M414)/m)</f>
        <v>6.72132412534045</v>
      </c>
      <c r="AH415" s="397" t="n">
        <f aca="false">IF(AND(L414&lt;L_rampe,Poussee&lt;Poids*SIN(M414)), g*SIN(M414), (-W414+Poussee)/m)</f>
        <v>-2.78715771873867</v>
      </c>
    </row>
    <row r="416" customFormat="false" ht="12.75" hidden="false" customHeight="false" outlineLevel="0" collapsed="false">
      <c r="A416" s="396" t="n">
        <f aca="false">IF(B415+0.01&lt;=T_ini+ROUNDUP(Temps_fin_propu,0), 0.01, IF(K415&gt;0, 0.1, 0.0001))</f>
        <v>0.1</v>
      </c>
      <c r="B416" s="397" t="n">
        <f aca="false">B415+pas</f>
        <v>23.2000000000001</v>
      </c>
      <c r="D416" s="396" t="n">
        <f aca="false">IF(AND(L415&lt;L_rampe,Poussee&lt;Poids*SIN(M415)),0,(-W415+Poussee)/m*COS(M415)-U415/m*SIN(M415))</f>
        <v>-0.689797545944898</v>
      </c>
      <c r="E416" s="398" t="n">
        <f aca="false">IF(AND(L415&lt;L_rampe,Poussee&lt;Poids*SIN(M415)),0,(-W415+Poussee)/m*SIN(M415)+U415/m*COS(M415)-Poids/m)</f>
        <v>-7.05541000496511</v>
      </c>
      <c r="F416" s="397" t="n">
        <f aca="false">SQRT(acc_x^2+acc_z^2)</f>
        <v>7.0890500768829</v>
      </c>
      <c r="G416" s="396" t="n">
        <f aca="false">G415+acc_x*pas</f>
        <v>18.2375014215277</v>
      </c>
      <c r="H416" s="398" t="n">
        <f aca="false">H415+acc_z*pas</f>
        <v>-73.8093816686522</v>
      </c>
      <c r="I416" s="397" t="n">
        <f aca="false">SQRT(vit_x^2+vit_z^2)</f>
        <v>76.0291475712374</v>
      </c>
      <c r="J416" s="396" t="n">
        <f aca="false">J415+0.5*(vit_x+G415)*pas*(K415&gt;=0)</f>
        <v>558.422190284693</v>
      </c>
      <c r="K416" s="398" t="n">
        <f aca="false">K415+0.5*(vit_z+H415)*pas</f>
        <v>863.344591183802</v>
      </c>
      <c r="L416" s="397" t="n">
        <f aca="false">SQRT(pos_x^2+pos_z^2)</f>
        <v>1028.20193820508</v>
      </c>
      <c r="M416" s="396" t="n">
        <f aca="false">IF(AND(L415&gt;L_rampe,G416&gt;0),ATAN2(G416,H416),$M$4)</f>
        <v>-1.32855910637522</v>
      </c>
      <c r="N416" s="397" t="n">
        <f aca="false">DEGREES(Beta)</f>
        <v>-76.120829628972</v>
      </c>
      <c r="P416" s="399" t="n">
        <f aca="false">MATCH(t-pas/2-T_ini,CdP_t)</f>
        <v>23</v>
      </c>
      <c r="Q416" s="397" t="n">
        <f aca="false">(INDEX(CdP,2,i_P+1)-INDEX(CdP,2,i_P+0))/(INDEX(CdP,1,i_P+1)-INDEX(CdP,1,i_P+0))*(t-pas/2-T_ini-INDEX(CdP,1,i_P+0))+INDEX(CdP,2,i_P+0)</f>
        <v>0</v>
      </c>
      <c r="R416" s="396" t="n">
        <f aca="false">Poussee/(g*ISP)</f>
        <v>0</v>
      </c>
      <c r="S416" s="398" t="n">
        <f aca="false">S415-Débit*pas</f>
        <v>8.45</v>
      </c>
      <c r="T416" s="397" t="n">
        <f aca="false">m*g</f>
        <v>82.8945</v>
      </c>
      <c r="U416" s="400" t="n">
        <f aca="false">IF(pos_xz&lt;L_rampe,Poids*COS(Beta),0)</f>
        <v>0</v>
      </c>
      <c r="V416" s="396" t="n">
        <f aca="false">Rho_moyen*(20000-Alt_rampe-pos_z)/(20000+Alt_rampe+pos_z)</f>
        <v>1.12361672278115</v>
      </c>
      <c r="W416" s="397" t="n">
        <f aca="false">1/2*Rho*Sref*Cx*vit_xz^2</f>
        <v>24.4402691071044</v>
      </c>
      <c r="Y416" s="401" t="str">
        <f aca="false">IF(AND(pos_z&lt;=0,K415&gt;0),"Impact balistique","") &amp; IF(AND(H417&lt;0,vit_z&gt;=0),"Apogée","") &amp; IF(AND(Poussee=0,Q415&gt;0),"Fin de propulsion","") &amp; IF(AND(L417&gt;L_rampe,pos_xz&lt;=L_rampe),"Sortie de rampe","")</f>
        <v/>
      </c>
      <c r="Z416" s="402" t="str">
        <f aca="false">IF(ABS(t-T_para)&lt;pas/2,"Para","")</f>
        <v/>
      </c>
      <c r="AA416" s="403" t="str">
        <f aca="false">IF(ABS(t-T_satellite)&lt;pas/2,"Satellite","")</f>
        <v/>
      </c>
      <c r="AC416" s="399" t="e">
        <f aca="false">IF(ABS(t-ROUND(t,0))&lt;0.001,t,NA())</f>
        <v>#N/A</v>
      </c>
      <c r="AD416" s="404" t="e">
        <f aca="false">IF(ABS(t-ROUND(t,0))&lt;0.001,pos_x,NA())</f>
        <v>#N/A</v>
      </c>
      <c r="AE416" s="405" t="e">
        <f aca="false">IF(t&lt;T_para, pos_z, NA())</f>
        <v>#N/A</v>
      </c>
      <c r="AG416" s="396" t="n">
        <f aca="false">IF(AND(L415&lt;L_rampe,Poussee&lt;Poids*SIN(M415)),0,(-W415+Poussee)/m-Poids*SIN(M415)/m)</f>
        <v>6.67651684125835</v>
      </c>
      <c r="AH416" s="397" t="n">
        <f aca="false">IF(AND(L415&lt;L_rampe,Poussee&lt;Poids*SIN(M415)), g*SIN(M415), (-W415+Poussee)/m)</f>
        <v>-2.83964552279645</v>
      </c>
    </row>
    <row r="417" customFormat="false" ht="12.75" hidden="false" customHeight="false" outlineLevel="0" collapsed="false">
      <c r="A417" s="396" t="n">
        <f aca="false">IF(B416+0.01&lt;=T_ini+ROUNDUP(Temps_fin_propu,0), 0.01, IF(K416&gt;0, 0.1, 0.0001))</f>
        <v>0.1</v>
      </c>
      <c r="B417" s="397" t="n">
        <f aca="false">B416+pas</f>
        <v>23.3000000000001</v>
      </c>
      <c r="D417" s="396" t="n">
        <f aca="false">IF(AND(L416&lt;L_rampe,Poussee&lt;Poids*SIN(M416)),0,(-W416+Poussee)/m*COS(M416)-U416/m*SIN(M416))</f>
        <v>-0.693800314019592</v>
      </c>
      <c r="E417" s="398" t="n">
        <f aca="false">IF(AND(L416&lt;L_rampe,Poussee&lt;Poids*SIN(M416)),0,(-W416+Poussee)/m*SIN(M416)+U416/m*COS(M416)-Poids/m)</f>
        <v>-7.00210592527465</v>
      </c>
      <c r="F417" s="397" t="n">
        <f aca="false">SQRT(acc_x^2+acc_z^2)</f>
        <v>7.03639440796918</v>
      </c>
      <c r="G417" s="396" t="n">
        <f aca="false">G416+acc_x*pas</f>
        <v>18.1681213901257</v>
      </c>
      <c r="H417" s="398" t="n">
        <f aca="false">H416+acc_z*pas</f>
        <v>-74.5095922611797</v>
      </c>
      <c r="I417" s="397" t="n">
        <f aca="false">SQRT(vit_x^2+vit_z^2)</f>
        <v>76.6926331127938</v>
      </c>
      <c r="J417" s="396" t="n">
        <f aca="false">J416+0.5*(vit_x+G416)*pas*(K416&gt;=0)</f>
        <v>560.242471425276</v>
      </c>
      <c r="K417" s="398" t="n">
        <f aca="false">K416+0.5*(vit_z+H416)*pas</f>
        <v>855.928642487311</v>
      </c>
      <c r="L417" s="397" t="n">
        <f aca="false">SQRT(pos_x^2+pos_z^2)</f>
        <v>1022.97872305287</v>
      </c>
      <c r="M417" s="396" t="n">
        <f aca="false">IF(AND(L416&gt;L_rampe,G417&gt;0),ATAN2(G417,H417),$M$4)</f>
        <v>-1.33162743066104</v>
      </c>
      <c r="N417" s="397" t="n">
        <f aca="false">DEGREES(Beta)</f>
        <v>-76.2966316607272</v>
      </c>
      <c r="P417" s="399" t="n">
        <f aca="false">MATCH(t-pas/2-T_ini,CdP_t)</f>
        <v>23</v>
      </c>
      <c r="Q417" s="397" t="n">
        <f aca="false">(INDEX(CdP,2,i_P+1)-INDEX(CdP,2,i_P+0))/(INDEX(CdP,1,i_P+1)-INDEX(CdP,1,i_P+0))*(t-pas/2-T_ini-INDEX(CdP,1,i_P+0))+INDEX(CdP,2,i_P+0)</f>
        <v>0</v>
      </c>
      <c r="R417" s="396" t="n">
        <f aca="false">Poussee/(g*ISP)</f>
        <v>0</v>
      </c>
      <c r="S417" s="398" t="n">
        <f aca="false">S416-Débit*pas</f>
        <v>8.45</v>
      </c>
      <c r="T417" s="397" t="n">
        <f aca="false">m*g</f>
        <v>82.8945</v>
      </c>
      <c r="U417" s="400" t="n">
        <f aca="false">IF(pos_xz&lt;L_rampe,Poids*COS(Beta),0)</f>
        <v>0</v>
      </c>
      <c r="V417" s="396" t="n">
        <f aca="false">Rho_moyen*(20000-Alt_rampe-pos_z)/(20000+Alt_rampe+pos_z)</f>
        <v>1.12445184364402</v>
      </c>
      <c r="W417" s="397" t="n">
        <f aca="false">1/2*Rho*Sref*Cx*vit_xz^2</f>
        <v>24.887180938067</v>
      </c>
      <c r="Y417" s="401" t="str">
        <f aca="false">IF(AND(pos_z&lt;=0,K416&gt;0),"Impact balistique","") &amp; IF(AND(H418&lt;0,vit_z&gt;=0),"Apogée","") &amp; IF(AND(Poussee=0,Q416&gt;0),"Fin de propulsion","") &amp; IF(AND(L418&gt;L_rampe,pos_xz&lt;=L_rampe),"Sortie de rampe","")</f>
        <v/>
      </c>
      <c r="Z417" s="402" t="str">
        <f aca="false">IF(ABS(t-T_para)&lt;pas/2,"Para","")</f>
        <v/>
      </c>
      <c r="AA417" s="403" t="str">
        <f aca="false">IF(ABS(t-T_satellite)&lt;pas/2,"Satellite","")</f>
        <v/>
      </c>
      <c r="AC417" s="399" t="e">
        <f aca="false">IF(ABS(t-ROUND(t,0))&lt;0.001,t,NA())</f>
        <v>#N/A</v>
      </c>
      <c r="AD417" s="404" t="e">
        <f aca="false">IF(ABS(t-ROUND(t,0))&lt;0.001,pos_x,NA())</f>
        <v>#N/A</v>
      </c>
      <c r="AE417" s="405" t="e">
        <f aca="false">IF(t&lt;T_para, pos_z, NA())</f>
        <v>#N/A</v>
      </c>
      <c r="AG417" s="396" t="n">
        <f aca="false">IF(AND(L416&lt;L_rampe,Poussee&lt;Poids*SIN(M416)),0,(-W416+Poussee)/m-Poids*SIN(M416)/m)</f>
        <v>6.63124526073827</v>
      </c>
      <c r="AH417" s="397" t="n">
        <f aca="false">IF(AND(L416&lt;L_rampe,Poussee&lt;Poids*SIN(M416)), g*SIN(M416), (-W416+Poussee)/m)</f>
        <v>-2.8923395393023</v>
      </c>
    </row>
    <row r="418" customFormat="false" ht="12.75" hidden="false" customHeight="false" outlineLevel="0" collapsed="false">
      <c r="A418" s="396" t="n">
        <f aca="false">IF(B417+0.01&lt;=T_ini+ROUNDUP(Temps_fin_propu,0), 0.01, IF(K417&gt;0, 0.1, 0.0001))</f>
        <v>0.1</v>
      </c>
      <c r="B418" s="397" t="n">
        <f aca="false">B417+pas</f>
        <v>23.4000000000001</v>
      </c>
      <c r="D418" s="396" t="n">
        <f aca="false">IF(AND(L417&lt;L_rampe,Poussee&lt;Poids*SIN(M417)),0,(-W417+Poussee)/m*COS(M417)-U417/m*SIN(M417))</f>
        <v>-0.6977106793825</v>
      </c>
      <c r="E418" s="398" t="n">
        <f aca="false">IF(AND(L417&lt;L_rampe,Poussee&lt;Poids*SIN(M417)),0,(-W417+Poussee)/m*SIN(M417)+U417/m*COS(M417)-Poids/m)</f>
        <v>-6.94860684212981</v>
      </c>
      <c r="F418" s="397" t="n">
        <f aca="false">SQRT(acc_x^2+acc_z^2)</f>
        <v>6.98354761125158</v>
      </c>
      <c r="G418" s="396" t="n">
        <f aca="false">G417+acc_x*pas</f>
        <v>18.0983503221875</v>
      </c>
      <c r="H418" s="398" t="n">
        <f aca="false">H417+acc_z*pas</f>
        <v>-75.2044529453927</v>
      </c>
      <c r="I418" s="397" t="n">
        <f aca="false">SQRT(vit_x^2+vit_z^2)</f>
        <v>77.3515353900645</v>
      </c>
      <c r="J418" s="396" t="n">
        <f aca="false">J417+0.5*(vit_x+G417)*pas*(K417&gt;=0)</f>
        <v>562.055795010891</v>
      </c>
      <c r="K418" s="398" t="n">
        <f aca="false">K417+0.5*(vit_z+H417)*pas</f>
        <v>848.442940226982</v>
      </c>
      <c r="L418" s="397" t="n">
        <f aca="false">SQRT(pos_x^2+pos_z^2)</f>
        <v>1017.72399968082</v>
      </c>
      <c r="M418" s="396" t="n">
        <f aca="false">IF(AND(L417&gt;L_rampe,G418&gt;0),ATAN2(G418,H418),$M$4)</f>
        <v>-1.3346318261155</v>
      </c>
      <c r="N418" s="397" t="n">
        <f aca="false">DEGREES(Beta)</f>
        <v>-76.4687708402559</v>
      </c>
      <c r="P418" s="399" t="n">
        <f aca="false">MATCH(t-pas/2-T_ini,CdP_t)</f>
        <v>23</v>
      </c>
      <c r="Q418" s="397" t="n">
        <f aca="false">(INDEX(CdP,2,i_P+1)-INDEX(CdP,2,i_P+0))/(INDEX(CdP,1,i_P+1)-INDEX(CdP,1,i_P+0))*(t-pas/2-T_ini-INDEX(CdP,1,i_P+0))+INDEX(CdP,2,i_P+0)</f>
        <v>0</v>
      </c>
      <c r="R418" s="396" t="n">
        <f aca="false">Poussee/(g*ISP)</f>
        <v>0</v>
      </c>
      <c r="S418" s="398" t="n">
        <f aca="false">S417-Débit*pas</f>
        <v>8.45</v>
      </c>
      <c r="T418" s="397" t="n">
        <f aca="false">m*g</f>
        <v>82.8945</v>
      </c>
      <c r="U418" s="400" t="n">
        <f aca="false">IF(pos_xz&lt;L_rampe,Poids*COS(Beta),0)</f>
        <v>0</v>
      </c>
      <c r="V418" s="396" t="n">
        <f aca="false">Rho_moyen*(20000-Alt_rampe-pos_z)/(20000+Alt_rampe+pos_z)</f>
        <v>1.12529542208424</v>
      </c>
      <c r="W418" s="397" t="n">
        <f aca="false">1/2*Rho*Sref*Cx*vit_xz^2</f>
        <v>25.3356456469961</v>
      </c>
      <c r="Y418" s="401" t="str">
        <f aca="false">IF(AND(pos_z&lt;=0,K417&gt;0),"Impact balistique","") &amp; IF(AND(H419&lt;0,vit_z&gt;=0),"Apogée","") &amp; IF(AND(Poussee=0,Q417&gt;0),"Fin de propulsion","") &amp; IF(AND(L419&gt;L_rampe,pos_xz&lt;=L_rampe),"Sortie de rampe","")</f>
        <v/>
      </c>
      <c r="Z418" s="402" t="str">
        <f aca="false">IF(ABS(t-T_para)&lt;pas/2,"Para","")</f>
        <v/>
      </c>
      <c r="AA418" s="403" t="str">
        <f aca="false">IF(ABS(t-T_satellite)&lt;pas/2,"Satellite","")</f>
        <v/>
      </c>
      <c r="AC418" s="399" t="e">
        <f aca="false">IF(ABS(t-ROUND(t,0))&lt;0.001,t,NA())</f>
        <v>#N/A</v>
      </c>
      <c r="AD418" s="404" t="e">
        <f aca="false">IF(ABS(t-ROUND(t,0))&lt;0.001,pos_x,NA())</f>
        <v>#N/A</v>
      </c>
      <c r="AE418" s="405" t="e">
        <f aca="false">IF(t&lt;T_para, pos_z, NA())</f>
        <v>#N/A</v>
      </c>
      <c r="AG418" s="396" t="n">
        <f aca="false">IF(AND(L417&lt;L_rampe,Poussee&lt;Poids*SIN(M417)),0,(-W417+Poussee)/m-Poids*SIN(M417)/m)</f>
        <v>6.58553174891414</v>
      </c>
      <c r="AH418" s="397" t="n">
        <f aca="false">IF(AND(L417&lt;L_rampe,Poussee&lt;Poids*SIN(M417)), g*SIN(M417), (-W417+Poussee)/m)</f>
        <v>-2.94522851338071</v>
      </c>
    </row>
    <row r="419" customFormat="false" ht="12.75" hidden="false" customHeight="false" outlineLevel="0" collapsed="false">
      <c r="A419" s="396" t="n">
        <f aca="false">IF(B418+0.01&lt;=T_ini+ROUNDUP(Temps_fin_propu,0), 0.01, IF(K418&gt;0, 0.1, 0.0001))</f>
        <v>0.1</v>
      </c>
      <c r="B419" s="397" t="n">
        <f aca="false">B418+pas</f>
        <v>23.5000000000001</v>
      </c>
      <c r="D419" s="396" t="n">
        <f aca="false">IF(AND(L418&lt;L_rampe,Poussee&lt;Poids*SIN(M418)),0,(-W418+Poussee)/m*COS(M418)-U418/m*SIN(M418))</f>
        <v>-0.701528499741941</v>
      </c>
      <c r="E419" s="398" t="n">
        <f aca="false">IF(AND(L418&lt;L_rampe,Poussee&lt;Poids*SIN(M418)),0,(-W418+Poussee)/m*SIN(M418)+U418/m*COS(M418)-Poids/m)</f>
        <v>-6.89492397873321</v>
      </c>
      <c r="F419" s="397" t="n">
        <f aca="false">SQRT(acc_x^2+acc_z^2)</f>
        <v>6.93052082519491</v>
      </c>
      <c r="G419" s="396" t="n">
        <f aca="false">G418+acc_x*pas</f>
        <v>18.0281974722133</v>
      </c>
      <c r="H419" s="398" t="n">
        <f aca="false">H418+acc_z*pas</f>
        <v>-75.893945343266</v>
      </c>
      <c r="I419" s="397" t="n">
        <f aca="false">SQRT(vit_x^2+vit_z^2)</f>
        <v>78.0058128850906</v>
      </c>
      <c r="J419" s="396" t="n">
        <f aca="false">J418+0.5*(vit_x+G418)*pas*(K418&gt;=0)</f>
        <v>563.862122400612</v>
      </c>
      <c r="K419" s="398" t="n">
        <f aca="false">K418+0.5*(vit_z+H418)*pas</f>
        <v>840.888020312549</v>
      </c>
      <c r="L419" s="397" t="n">
        <f aca="false">SQRT(pos_x^2+pos_z^2)</f>
        <v>1012.43921090764</v>
      </c>
      <c r="M419" s="396" t="n">
        <f aca="false">IF(AND(L418&gt;L_rampe,G419&gt;0),ATAN2(G419,H419),$M$4)</f>
        <v>-1.33757430069044</v>
      </c>
      <c r="N419" s="397" t="n">
        <f aca="false">DEGREES(Beta)</f>
        <v>-76.6373622147245</v>
      </c>
      <c r="P419" s="399" t="n">
        <f aca="false">MATCH(t-pas/2-T_ini,CdP_t)</f>
        <v>23</v>
      </c>
      <c r="Q419" s="397" t="n">
        <f aca="false">(INDEX(CdP,2,i_P+1)-INDEX(CdP,2,i_P+0))/(INDEX(CdP,1,i_P+1)-INDEX(CdP,1,i_P+0))*(t-pas/2-T_ini-INDEX(CdP,1,i_P+0))+INDEX(CdP,2,i_P+0)</f>
        <v>0</v>
      </c>
      <c r="R419" s="396" t="n">
        <f aca="false">Poussee/(g*ISP)</f>
        <v>0</v>
      </c>
      <c r="S419" s="398" t="n">
        <f aca="false">S418-Débit*pas</f>
        <v>8.45</v>
      </c>
      <c r="T419" s="397" t="n">
        <f aca="false">m*g</f>
        <v>82.8945</v>
      </c>
      <c r="U419" s="400" t="n">
        <f aca="false">IF(pos_xz&lt;L_rampe,Poids*COS(Beta),0)</f>
        <v>0</v>
      </c>
      <c r="V419" s="396" t="n">
        <f aca="false">Rho_moyen*(20000-Alt_rampe-pos_z)/(20000+Alt_rampe+pos_z)</f>
        <v>1.12614741522733</v>
      </c>
      <c r="W419" s="397" t="n">
        <f aca="false">1/2*Rho*Sref*Cx*vit_xz^2</f>
        <v>25.7855693426915</v>
      </c>
      <c r="Y419" s="401" t="str">
        <f aca="false">IF(AND(pos_z&lt;=0,K418&gt;0),"Impact balistique","") &amp; IF(AND(H420&lt;0,vit_z&gt;=0),"Apogée","") &amp; IF(AND(Poussee=0,Q418&gt;0),"Fin de propulsion","") &amp; IF(AND(L420&gt;L_rampe,pos_xz&lt;=L_rampe),"Sortie de rampe","")</f>
        <v/>
      </c>
      <c r="Z419" s="402" t="str">
        <f aca="false">IF(ABS(t-T_para)&lt;pas/2,"Para","")</f>
        <v/>
      </c>
      <c r="AA419" s="403" t="str">
        <f aca="false">IF(ABS(t-T_satellite)&lt;pas/2,"Satellite","")</f>
        <v/>
      </c>
      <c r="AC419" s="399" t="e">
        <f aca="false">IF(ABS(t-ROUND(t,0))&lt;0.001,t,NA())</f>
        <v>#N/A</v>
      </c>
      <c r="AD419" s="404" t="e">
        <f aca="false">IF(ABS(t-ROUND(t,0))&lt;0.001,pos_x,NA())</f>
        <v>#N/A</v>
      </c>
      <c r="AE419" s="405" t="e">
        <f aca="false">IF(t&lt;T_para, pos_z, NA())</f>
        <v>#N/A</v>
      </c>
      <c r="AG419" s="396" t="n">
        <f aca="false">IF(AND(L418&lt;L_rampe,Poussee&lt;Poids*SIN(M418)),0,(-W418+Poussee)/m-Poids*SIN(M418)/m)</f>
        <v>6.5393980199693</v>
      </c>
      <c r="AH419" s="397" t="n">
        <f aca="false">IF(AND(L418&lt;L_rampe,Poussee&lt;Poids*SIN(M418)), g*SIN(M418), (-W418+Poussee)/m)</f>
        <v>-2.99830125999954</v>
      </c>
    </row>
    <row r="420" customFormat="false" ht="12.75" hidden="false" customHeight="false" outlineLevel="0" collapsed="false">
      <c r="A420" s="396" t="n">
        <f aca="false">IF(B419+0.01&lt;=T_ini+ROUNDUP(Temps_fin_propu,0), 0.01, IF(K419&gt;0, 0.1, 0.0001))</f>
        <v>0.1</v>
      </c>
      <c r="B420" s="397" t="n">
        <f aca="false">B419+pas</f>
        <v>23.6000000000001</v>
      </c>
      <c r="D420" s="396" t="n">
        <f aca="false">IF(AND(L419&lt;L_rampe,Poussee&lt;Poids*SIN(M419)),0,(-W419+Poussee)/m*COS(M419)-U419/m*SIN(M419))</f>
        <v>-0.705253671330199</v>
      </c>
      <c r="E420" s="398" t="n">
        <f aca="false">IF(AND(L419&lt;L_rampe,Poussee&lt;Poids*SIN(M419)),0,(-W419+Poussee)/m*SIN(M419)+U419/m*COS(M419)-Poids/m)</f>
        <v>-6.84106848770828</v>
      </c>
      <c r="F420" s="397" t="n">
        <f aca="false">SQRT(acc_x^2+acc_z^2)</f>
        <v>6.87732511914625</v>
      </c>
      <c r="G420" s="396" t="n">
        <f aca="false">G419+acc_x*pas</f>
        <v>17.9576721050803</v>
      </c>
      <c r="H420" s="398" t="n">
        <f aca="false">H419+acc_z*pas</f>
        <v>-76.5780521920368</v>
      </c>
      <c r="I420" s="397" t="n">
        <f aca="false">SQRT(vit_x^2+vit_z^2)</f>
        <v>78.6554261634879</v>
      </c>
      <c r="J420" s="396" t="n">
        <f aca="false">J419+0.5*(vit_x+G419)*pas*(K419&gt;=0)</f>
        <v>565.661415879476</v>
      </c>
      <c r="K420" s="398" t="n">
        <f aca="false">K419+0.5*(vit_z+H419)*pas</f>
        <v>833.264420435784</v>
      </c>
      <c r="L420" s="397" t="n">
        <f aca="false">SQRT(pos_x^2+pos_z^2)</f>
        <v>1007.12582718296</v>
      </c>
      <c r="M420" s="396" t="n">
        <f aca="false">IF(AND(L419&gt;L_rampe,G420&gt;0),ATAN2(G420,H420),$M$4)</f>
        <v>-1.34045678040669</v>
      </c>
      <c r="N420" s="397" t="n">
        <f aca="false">DEGREES(Beta)</f>
        <v>-76.8025161369982</v>
      </c>
      <c r="P420" s="399" t="n">
        <f aca="false">MATCH(t-pas/2-T_ini,CdP_t)</f>
        <v>23</v>
      </c>
      <c r="Q420" s="397" t="n">
        <f aca="false">(INDEX(CdP,2,i_P+1)-INDEX(CdP,2,i_P+0))/(INDEX(CdP,1,i_P+1)-INDEX(CdP,1,i_P+0))*(t-pas/2-T_ini-INDEX(CdP,1,i_P+0))+INDEX(CdP,2,i_P+0)</f>
        <v>0</v>
      </c>
      <c r="R420" s="396" t="n">
        <f aca="false">Poussee/(g*ISP)</f>
        <v>0</v>
      </c>
      <c r="S420" s="398" t="n">
        <f aca="false">S419-Débit*pas</f>
        <v>8.45</v>
      </c>
      <c r="T420" s="397" t="n">
        <f aca="false">m*g</f>
        <v>82.8945</v>
      </c>
      <c r="U420" s="400" t="n">
        <f aca="false">IF(pos_xz&lt;L_rampe,Poids*COS(Beta),0)</f>
        <v>0</v>
      </c>
      <c r="V420" s="396" t="n">
        <f aca="false">Rho_moyen*(20000-Alt_rampe-pos_z)/(20000+Alt_rampe+pos_z)</f>
        <v>1.12700778001622</v>
      </c>
      <c r="W420" s="397" t="n">
        <f aca="false">1/2*Rho*Sref*Cx*vit_xz^2</f>
        <v>26.2368587875911</v>
      </c>
      <c r="Y420" s="401" t="str">
        <f aca="false">IF(AND(pos_z&lt;=0,K419&gt;0),"Impact balistique","") &amp; IF(AND(H421&lt;0,vit_z&gt;=0),"Apogée","") &amp; IF(AND(Poussee=0,Q419&gt;0),"Fin de propulsion","") &amp; IF(AND(L421&gt;L_rampe,pos_xz&lt;=L_rampe),"Sortie de rampe","")</f>
        <v/>
      </c>
      <c r="Z420" s="402" t="str">
        <f aca="false">IF(ABS(t-T_para)&lt;pas/2,"Para","")</f>
        <v/>
      </c>
      <c r="AA420" s="403" t="str">
        <f aca="false">IF(ABS(t-T_satellite)&lt;pas/2,"Satellite","")</f>
        <v/>
      </c>
      <c r="AC420" s="399" t="e">
        <f aca="false">IF(ABS(t-ROUND(t,0))&lt;0.001,t,NA())</f>
        <v>#N/A</v>
      </c>
      <c r="AD420" s="404" t="e">
        <f aca="false">IF(ABS(t-ROUND(t,0))&lt;0.001,pos_x,NA())</f>
        <v>#N/A</v>
      </c>
      <c r="AE420" s="405" t="e">
        <f aca="false">IF(t&lt;T_para, pos_z, NA())</f>
        <v>#N/A</v>
      </c>
      <c r="AG420" s="396" t="n">
        <f aca="false">IF(AND(L419&lt;L_rampe,Poussee&lt;Poids*SIN(M419)),0,(-W419+Poussee)/m-Poids*SIN(M419)/m)</f>
        <v>6.49286516874094</v>
      </c>
      <c r="AH420" s="397" t="n">
        <f aca="false">IF(AND(L419&lt;L_rampe,Poussee&lt;Poids*SIN(M419)), g*SIN(M419), (-W419+Poussee)/m)</f>
        <v>-3.05154666777415</v>
      </c>
    </row>
    <row r="421" customFormat="false" ht="12.75" hidden="false" customHeight="false" outlineLevel="0" collapsed="false">
      <c r="A421" s="396" t="n">
        <f aca="false">IF(B420+0.01&lt;=T_ini+ROUNDUP(Temps_fin_propu,0), 0.01, IF(K420&gt;0, 0.1, 0.0001))</f>
        <v>0.1</v>
      </c>
      <c r="B421" s="397" t="n">
        <f aca="false">B420+pas</f>
        <v>23.7000000000001</v>
      </c>
      <c r="D421" s="396" t="n">
        <f aca="false">IF(AND(L420&lt;L_rampe,Poussee&lt;Poids*SIN(M420)),0,(-W420+Poussee)/m*COS(M420)-U420/m*SIN(M420))</f>
        <v>-0.708886127934407</v>
      </c>
      <c r="E421" s="398" t="n">
        <f aca="false">IF(AND(L420&lt;L_rampe,Poussee&lt;Poids*SIN(M420)),0,(-W420+Poussee)/m*SIN(M420)+U420/m*COS(M420)-Poids/m)</f>
        <v>-6.78705144711855</v>
      </c>
      <c r="F421" s="397" t="n">
        <f aca="false">SQRT(acc_x^2+acc_z^2)</f>
        <v>6.82397148940497</v>
      </c>
      <c r="G421" s="396" t="n">
        <f aca="false">G420+acc_x*pas</f>
        <v>17.8867834922868</v>
      </c>
      <c r="H421" s="398" t="n">
        <f aca="false">H420+acc_z*pas</f>
        <v>-77.2567573367487</v>
      </c>
      <c r="I421" s="397" t="n">
        <f aca="false">SQRT(vit_x^2+vit_z^2)</f>
        <v>79.3003378169931</v>
      </c>
      <c r="J421" s="396" t="n">
        <f aca="false">J420+0.5*(vit_x+G420)*pas*(K420&gt;=0)</f>
        <v>567.453638659345</v>
      </c>
      <c r="K421" s="398" t="n">
        <f aca="false">K420+0.5*(vit_z+H420)*pas</f>
        <v>825.572679959345</v>
      </c>
      <c r="L421" s="397" t="n">
        <f aca="false">SQRT(pos_x^2+pos_z^2)</f>
        <v>1001.78534722913</v>
      </c>
      <c r="M421" s="396" t="n">
        <f aca="false">IF(AND(L420&gt;L_rampe,G421&gt;0),ATAN2(G421,H421),$M$4)</f>
        <v>-1.34328111337971</v>
      </c>
      <c r="N421" s="397" t="n">
        <f aca="false">DEGREES(Beta)</f>
        <v>-76.9643384962913</v>
      </c>
      <c r="P421" s="399" t="n">
        <f aca="false">MATCH(t-pas/2-T_ini,CdP_t)</f>
        <v>23</v>
      </c>
      <c r="Q421" s="397" t="n">
        <f aca="false">(INDEX(CdP,2,i_P+1)-INDEX(CdP,2,i_P+0))/(INDEX(CdP,1,i_P+1)-INDEX(CdP,1,i_P+0))*(t-pas/2-T_ini-INDEX(CdP,1,i_P+0))+INDEX(CdP,2,i_P+0)</f>
        <v>0</v>
      </c>
      <c r="R421" s="396" t="n">
        <f aca="false">Poussee/(g*ISP)</f>
        <v>0</v>
      </c>
      <c r="S421" s="398" t="n">
        <f aca="false">S420-Débit*pas</f>
        <v>8.45</v>
      </c>
      <c r="T421" s="397" t="n">
        <f aca="false">m*g</f>
        <v>82.8945</v>
      </c>
      <c r="U421" s="400" t="n">
        <f aca="false">IF(pos_xz&lt;L_rampe,Poids*COS(Beta),0)</f>
        <v>0</v>
      </c>
      <c r="V421" s="396" t="n">
        <f aca="false">Rho_moyen*(20000-Alt_rampe-pos_z)/(20000+Alt_rampe+pos_z)</f>
        <v>1.12787647321954</v>
      </c>
      <c r="W421" s="397" t="n">
        <f aca="false">1/2*Rho*Sref*Cx*vit_xz^2</f>
        <v>26.6894214282475</v>
      </c>
      <c r="Y421" s="401" t="str">
        <f aca="false">IF(AND(pos_z&lt;=0,K420&gt;0),"Impact balistique","") &amp; IF(AND(H422&lt;0,vit_z&gt;=0),"Apogée","") &amp; IF(AND(Poussee=0,Q420&gt;0),"Fin de propulsion","") &amp; IF(AND(L422&gt;L_rampe,pos_xz&lt;=L_rampe),"Sortie de rampe","")</f>
        <v/>
      </c>
      <c r="Z421" s="402" t="str">
        <f aca="false">IF(ABS(t-T_para)&lt;pas/2,"Para","")</f>
        <v/>
      </c>
      <c r="AA421" s="403" t="str">
        <f aca="false">IF(ABS(t-T_satellite)&lt;pas/2,"Satellite","")</f>
        <v/>
      </c>
      <c r="AC421" s="399" t="e">
        <f aca="false">IF(ABS(t-ROUND(t,0))&lt;0.001,t,NA())</f>
        <v>#N/A</v>
      </c>
      <c r="AD421" s="404" t="e">
        <f aca="false">IF(ABS(t-ROUND(t,0))&lt;0.001,pos_x,NA())</f>
        <v>#N/A</v>
      </c>
      <c r="AE421" s="405" t="e">
        <f aca="false">IF(t&lt;T_para, pos_z, NA())</f>
        <v>#N/A</v>
      </c>
      <c r="AG421" s="396" t="n">
        <f aca="false">IF(AND(L420&lt;L_rampe,Poussee&lt;Poids*SIN(M420)),0,(-W420+Poussee)/m-Poids*SIN(M420)/m)</f>
        <v>6.44595369998202</v>
      </c>
      <c r="AH421" s="397" t="n">
        <f aca="false">IF(AND(L420&lt;L_rampe,Poussee&lt;Poids*SIN(M420)), g*SIN(M420), (-W420+Poussee)/m)</f>
        <v>-3.1049537026735</v>
      </c>
    </row>
    <row r="422" customFormat="false" ht="12.75" hidden="false" customHeight="false" outlineLevel="0" collapsed="false">
      <c r="A422" s="396" t="n">
        <f aca="false">IF(B421+0.01&lt;=T_ini+ROUNDUP(Temps_fin_propu,0), 0.01, IF(K421&gt;0, 0.1, 0.0001))</f>
        <v>0.1</v>
      </c>
      <c r="B422" s="397" t="n">
        <f aca="false">B421+pas</f>
        <v>23.8000000000001</v>
      </c>
      <c r="D422" s="396" t="n">
        <f aca="false">IF(AND(L421&lt;L_rampe,Poussee&lt;Poids*SIN(M421)),0,(-W421+Poussee)/m*COS(M421)-U421/m*SIN(M421))</f>
        <v>-0.712425839951235</v>
      </c>
      <c r="E422" s="398" t="n">
        <f aca="false">IF(AND(L421&lt;L_rampe,Poussee&lt;Poids*SIN(M421)),0,(-W421+Poussee)/m*SIN(M421)+U421/m*COS(M421)-Poids/m)</f>
        <v>-6.73288385660417</v>
      </c>
      <c r="F422" s="397" t="n">
        <f aca="false">SQRT(acc_x^2+acc_z^2)</f>
        <v>6.77047085540963</v>
      </c>
      <c r="G422" s="396" t="n">
        <f aca="false">G421+acc_x*pas</f>
        <v>17.8155409082917</v>
      </c>
      <c r="H422" s="398" t="n">
        <f aca="false">H421+acc_z*pas</f>
        <v>-77.9300457224091</v>
      </c>
      <c r="I422" s="397" t="n">
        <f aca="false">SQRT(vit_x^2+vit_z^2)</f>
        <v>79.9405124086141</v>
      </c>
      <c r="J422" s="396" t="n">
        <f aca="false">J421+0.5*(vit_x+G421)*pas*(K421&gt;=0)</f>
        <v>569.238754879374</v>
      </c>
      <c r="K422" s="398" t="n">
        <f aca="false">K421+0.5*(vit_z+H421)*pas</f>
        <v>817.813339806387</v>
      </c>
      <c r="L422" s="397" t="n">
        <f aca="false">SQRT(pos_x^2+pos_z^2)</f>
        <v>996.419298700048</v>
      </c>
      <c r="M422" s="396" t="n">
        <f aca="false">IF(AND(L421&gt;L_rampe,G422&gt;0),ATAN2(G422,H422),$M$4)</f>
        <v>-1.34604907361682</v>
      </c>
      <c r="N422" s="397" t="n">
        <f aca="false">DEGREES(Beta)</f>
        <v>-77.1229309357379</v>
      </c>
      <c r="P422" s="399" t="n">
        <f aca="false">MATCH(t-pas/2-T_ini,CdP_t)</f>
        <v>23</v>
      </c>
      <c r="Q422" s="397" t="n">
        <f aca="false">(INDEX(CdP,2,i_P+1)-INDEX(CdP,2,i_P+0))/(INDEX(CdP,1,i_P+1)-INDEX(CdP,1,i_P+0))*(t-pas/2-T_ini-INDEX(CdP,1,i_P+0))+INDEX(CdP,2,i_P+0)</f>
        <v>0</v>
      </c>
      <c r="R422" s="396" t="n">
        <f aca="false">Poussee/(g*ISP)</f>
        <v>0</v>
      </c>
      <c r="S422" s="398" t="n">
        <f aca="false">S421-Débit*pas</f>
        <v>8.45</v>
      </c>
      <c r="T422" s="397" t="n">
        <f aca="false">m*g</f>
        <v>82.8945</v>
      </c>
      <c r="U422" s="400" t="n">
        <f aca="false">IF(pos_xz&lt;L_rampe,Poids*COS(Beta),0)</f>
        <v>0</v>
      </c>
      <c r="V422" s="396" t="n">
        <f aca="false">Rho_moyen*(20000-Alt_rampe-pos_z)/(20000+Alt_rampe+pos_z)</f>
        <v>1.12875345143986</v>
      </c>
      <c r="W422" s="397" t="n">
        <f aca="false">1/2*Rho*Sref*Cx*vit_xz^2</f>
        <v>27.1431654249576</v>
      </c>
      <c r="Y422" s="401" t="str">
        <f aca="false">IF(AND(pos_z&lt;=0,K421&gt;0),"Impact balistique","") &amp; IF(AND(H423&lt;0,vit_z&gt;=0),"Apogée","") &amp; IF(AND(Poussee=0,Q421&gt;0),"Fin de propulsion","") &amp; IF(AND(L423&gt;L_rampe,pos_xz&lt;=L_rampe),"Sortie de rampe","")</f>
        <v/>
      </c>
      <c r="Z422" s="402" t="str">
        <f aca="false">IF(ABS(t-T_para)&lt;pas/2,"Para","")</f>
        <v/>
      </c>
      <c r="AA422" s="403" t="str">
        <f aca="false">IF(ABS(t-T_satellite)&lt;pas/2,"Satellite","")</f>
        <v/>
      </c>
      <c r="AC422" s="399" t="e">
        <f aca="false">IF(ABS(t-ROUND(t,0))&lt;0.001,t,NA())</f>
        <v>#N/A</v>
      </c>
      <c r="AD422" s="404" t="e">
        <f aca="false">IF(ABS(t-ROUND(t,0))&lt;0.001,pos_x,NA())</f>
        <v>#N/A</v>
      </c>
      <c r="AE422" s="405" t="e">
        <f aca="false">IF(t&lt;T_para, pos_z, NA())</f>
        <v>#N/A</v>
      </c>
      <c r="AG422" s="396" t="n">
        <f aca="false">IF(AND(L421&lt;L_rampe,Poussee&lt;Poids*SIN(M421)),0,(-W421+Poussee)/m-Poids*SIN(M421)/m)</f>
        <v>6.39868355546815</v>
      </c>
      <c r="AH422" s="397" t="n">
        <f aca="false">IF(AND(L421&lt;L_rampe,Poussee&lt;Poids*SIN(M421)), g*SIN(M421), (-W421+Poussee)/m)</f>
        <v>-3.15851141162692</v>
      </c>
    </row>
    <row r="423" customFormat="false" ht="12.75" hidden="false" customHeight="false" outlineLevel="0" collapsed="false">
      <c r="A423" s="396" t="n">
        <f aca="false">IF(B422+0.01&lt;=T_ini+ROUNDUP(Temps_fin_propu,0), 0.01, IF(K422&gt;0, 0.1, 0.0001))</f>
        <v>0.1</v>
      </c>
      <c r="B423" s="397" t="n">
        <f aca="false">B422+pas</f>
        <v>23.9000000000001</v>
      </c>
      <c r="D423" s="396" t="n">
        <f aca="false">IF(AND(L422&lt;L_rampe,Poussee&lt;Poids*SIN(M422)),0,(-W422+Poussee)/m*COS(M422)-U422/m*SIN(M422))</f>
        <v>-0.715872813463592</v>
      </c>
      <c r="E423" s="398" t="n">
        <f aca="false">IF(AND(L422&lt;L_rampe,Poussee&lt;Poids*SIN(M422)),0,(-W422+Poussee)/m*SIN(M422)+U422/m*COS(M422)-Poids/m)</f>
        <v>-6.67857663363549</v>
      </c>
      <c r="F423" s="397" t="n">
        <f aca="false">SQRT(acc_x^2+acc_z^2)</f>
        <v>6.71683405604145</v>
      </c>
      <c r="G423" s="396" t="n">
        <f aca="false">G422+acc_x*pas</f>
        <v>17.7439536269453</v>
      </c>
      <c r="H423" s="398" t="n">
        <f aca="false">H422+acc_z*pas</f>
        <v>-78.5979033857727</v>
      </c>
      <c r="I423" s="397" t="n">
        <f aca="false">SQRT(vit_x^2+vit_z^2)</f>
        <v>80.5759164201962</v>
      </c>
      <c r="J423" s="396" t="n">
        <f aca="false">J422+0.5*(vit_x+G422)*pas*(K422&gt;=0)</f>
        <v>571.016729606135</v>
      </c>
      <c r="K423" s="398" t="n">
        <f aca="false">K422+0.5*(vit_z+H422)*pas</f>
        <v>809.986942350978</v>
      </c>
      <c r="L423" s="397" t="n">
        <f aca="false">SQRT(pos_x^2+pos_z^2)</f>
        <v>991.029238856842</v>
      </c>
      <c r="M423" s="396" t="n">
        <f aca="false">IF(AND(L422&gt;L_rampe,G423&gt;0),ATAN2(G423,H423),$M$4)</f>
        <v>-1.34876236460079</v>
      </c>
      <c r="N423" s="397" t="n">
        <f aca="false">DEGREES(Beta)</f>
        <v>-77.2783910577107</v>
      </c>
      <c r="P423" s="399" t="n">
        <f aca="false">MATCH(t-pas/2-T_ini,CdP_t)</f>
        <v>23</v>
      </c>
      <c r="Q423" s="397" t="n">
        <f aca="false">(INDEX(CdP,2,i_P+1)-INDEX(CdP,2,i_P+0))/(INDEX(CdP,1,i_P+1)-INDEX(CdP,1,i_P+0))*(t-pas/2-T_ini-INDEX(CdP,1,i_P+0))+INDEX(CdP,2,i_P+0)</f>
        <v>0</v>
      </c>
      <c r="R423" s="396" t="n">
        <f aca="false">Poussee/(g*ISP)</f>
        <v>0</v>
      </c>
      <c r="S423" s="398" t="n">
        <f aca="false">S422-Débit*pas</f>
        <v>8.45</v>
      </c>
      <c r="T423" s="397" t="n">
        <f aca="false">m*g</f>
        <v>82.8945</v>
      </c>
      <c r="U423" s="400" t="n">
        <f aca="false">IF(pos_xz&lt;L_rampe,Poids*COS(Beta),0)</f>
        <v>0</v>
      </c>
      <c r="V423" s="396" t="n">
        <f aca="false">Rho_moyen*(20000-Alt_rampe-pos_z)/(20000+Alt_rampe+pos_z)</f>
        <v>1.12963867112183</v>
      </c>
      <c r="W423" s="397" t="n">
        <f aca="false">1/2*Rho*Sref*Cx*vit_xz^2</f>
        <v>27.5979996805349</v>
      </c>
      <c r="Y423" s="401" t="str">
        <f aca="false">IF(AND(pos_z&lt;=0,K422&gt;0),"Impact balistique","") &amp; IF(AND(H424&lt;0,vit_z&gt;=0),"Apogée","") &amp; IF(AND(Poussee=0,Q422&gt;0),"Fin de propulsion","") &amp; IF(AND(L424&gt;L_rampe,pos_xz&lt;=L_rampe),"Sortie de rampe","")</f>
        <v/>
      </c>
      <c r="Z423" s="402" t="str">
        <f aca="false">IF(ABS(t-T_para)&lt;pas/2,"Para","")</f>
        <v/>
      </c>
      <c r="AA423" s="403" t="str">
        <f aca="false">IF(ABS(t-T_satellite)&lt;pas/2,"Satellite","")</f>
        <v/>
      </c>
      <c r="AC423" s="399" t="e">
        <f aca="false">IF(ABS(t-ROUND(t,0))&lt;0.001,t,NA())</f>
        <v>#N/A</v>
      </c>
      <c r="AD423" s="404" t="e">
        <f aca="false">IF(ABS(t-ROUND(t,0))&lt;0.001,pos_x,NA())</f>
        <v>#N/A</v>
      </c>
      <c r="AE423" s="405" t="e">
        <f aca="false">IF(t&lt;T_para, pos_z, NA())</f>
        <v>#N/A</v>
      </c>
      <c r="AG423" s="396" t="n">
        <f aca="false">IF(AND(L422&lt;L_rampe,Poussee&lt;Poids*SIN(M422)),0,(-W422+Poussee)/m-Poids*SIN(M422)/m)</f>
        <v>6.35107413912102</v>
      </c>
      <c r="AH423" s="397" t="n">
        <f aca="false">IF(AND(L422&lt;L_rampe,Poussee&lt;Poids*SIN(M422)), g*SIN(M422), (-W422+Poussee)/m)</f>
        <v>-3.21220892603049</v>
      </c>
    </row>
    <row r="424" customFormat="false" ht="12.75" hidden="false" customHeight="false" outlineLevel="0" collapsed="false">
      <c r="A424" s="396" t="n">
        <f aca="false">IF(B423+0.01&lt;=T_ini+ROUNDUP(Temps_fin_propu,0), 0.01, IF(K423&gt;0, 0.1, 0.0001))</f>
        <v>0.1</v>
      </c>
      <c r="B424" s="397" t="n">
        <f aca="false">B423+pas</f>
        <v>24.0000000000001</v>
      </c>
      <c r="D424" s="396" t="n">
        <f aca="false">IF(AND(L423&lt;L_rampe,Poussee&lt;Poids*SIN(M423)),0,(-W423+Poussee)/m*COS(M423)-U423/m*SIN(M423))</f>
        <v>-0.719227089337718</v>
      </c>
      <c r="E424" s="398" t="n">
        <f aca="false">IF(AND(L423&lt;L_rampe,Poussee&lt;Poids*SIN(M423)),0,(-W423+Poussee)/m*SIN(M423)+U423/m*COS(M423)-Poids/m)</f>
        <v>-6.62414060988345</v>
      </c>
      <c r="F424" s="397" t="n">
        <f aca="false">SQRT(acc_x^2+acc_z^2)</f>
        <v>6.66307184604401</v>
      </c>
      <c r="G424" s="396" t="n">
        <f aca="false">G423+acc_x*pas</f>
        <v>17.6720309180116</v>
      </c>
      <c r="H424" s="398" t="n">
        <f aca="false">H423+acc_z*pas</f>
        <v>-79.260317446761</v>
      </c>
      <c r="I424" s="397" t="n">
        <f aca="false">SQRT(vit_x^2+vit_z^2)</f>
        <v>81.2065182022261</v>
      </c>
      <c r="J424" s="396" t="n">
        <f aca="false">J423+0.5*(vit_x+G423)*pas*(K423&gt;=0)</f>
        <v>572.787528833383</v>
      </c>
      <c r="K424" s="398" t="n">
        <f aca="false">K423+0.5*(vit_z+H423)*pas</f>
        <v>802.094031309351</v>
      </c>
      <c r="L424" s="397" t="n">
        <f aca="false">SQRT(pos_x^2+pos_z^2)</f>
        <v>985.616755259944</v>
      </c>
      <c r="M424" s="396" t="n">
        <f aca="false">IF(AND(L423&gt;L_rampe,G424&gt;0),ATAN2(G424,H424),$M$4)</f>
        <v>-1.35142262267297</v>
      </c>
      <c r="N424" s="397" t="n">
        <f aca="false">DEGREES(Beta)</f>
        <v>-77.4308126176618</v>
      </c>
      <c r="P424" s="399" t="n">
        <f aca="false">MATCH(t-pas/2-T_ini,CdP_t)</f>
        <v>23</v>
      </c>
      <c r="Q424" s="397" t="n">
        <f aca="false">(INDEX(CdP,2,i_P+1)-INDEX(CdP,2,i_P+0))/(INDEX(CdP,1,i_P+1)-INDEX(CdP,1,i_P+0))*(t-pas/2-T_ini-INDEX(CdP,1,i_P+0))+INDEX(CdP,2,i_P+0)</f>
        <v>0</v>
      </c>
      <c r="R424" s="396" t="n">
        <f aca="false">Poussee/(g*ISP)</f>
        <v>0</v>
      </c>
      <c r="S424" s="398" t="n">
        <f aca="false">S423-Débit*pas</f>
        <v>8.45</v>
      </c>
      <c r="T424" s="397" t="n">
        <f aca="false">m*g</f>
        <v>82.8945</v>
      </c>
      <c r="U424" s="400" t="n">
        <f aca="false">IF(pos_xz&lt;L_rampe,Poids*COS(Beta),0)</f>
        <v>0</v>
      </c>
      <c r="V424" s="396" t="n">
        <f aca="false">Rho_moyen*(20000-Alt_rampe-pos_z)/(20000+Alt_rampe+pos_z)</f>
        <v>1.1305320885604</v>
      </c>
      <c r="W424" s="397" t="n">
        <f aca="false">1/2*Rho*Sref*Cx*vit_xz^2</f>
        <v>28.0538338682171</v>
      </c>
      <c r="Y424" s="401" t="str">
        <f aca="false">IF(AND(pos_z&lt;=0,K423&gt;0),"Impact balistique","") &amp; IF(AND(H425&lt;0,vit_z&gt;=0),"Apogée","") &amp; IF(AND(Poussee=0,Q423&gt;0),"Fin de propulsion","") &amp; IF(AND(L425&gt;L_rampe,pos_xz&lt;=L_rampe),"Sortie de rampe","")</f>
        <v/>
      </c>
      <c r="Z424" s="402" t="str">
        <f aca="false">IF(ABS(t-T_para)&lt;pas/2,"Para","")</f>
        <v/>
      </c>
      <c r="AA424" s="403" t="str">
        <f aca="false">IF(ABS(t-T_satellite)&lt;pas/2,"Satellite","")</f>
        <v/>
      </c>
      <c r="AC424" s="399" t="n">
        <f aca="false">IF(ABS(t-ROUND(t,0))&lt;0.001,t,NA())</f>
        <v>24.0000000000001</v>
      </c>
      <c r="AD424" s="404" t="n">
        <f aca="false">IF(ABS(t-ROUND(t,0))&lt;0.001,pos_x,NA())</f>
        <v>572.787528833383</v>
      </c>
      <c r="AE424" s="405" t="e">
        <f aca="false">IF(t&lt;T_para, pos_z, NA())</f>
        <v>#N/A</v>
      </c>
      <c r="AG424" s="396" t="n">
        <f aca="false">IF(AND(L423&lt;L_rampe,Poussee&lt;Poids*SIN(M423)),0,(-W423+Poussee)/m-Poids*SIN(M423)/m)</f>
        <v>6.30314434030615</v>
      </c>
      <c r="AH424" s="397" t="n">
        <f aca="false">IF(AND(L423&lt;L_rampe,Poussee&lt;Poids*SIN(M423)), g*SIN(M423), (-W423+Poussee)/m)</f>
        <v>-3.26603546515206</v>
      </c>
    </row>
    <row r="425" customFormat="false" ht="12.75" hidden="false" customHeight="false" outlineLevel="0" collapsed="false">
      <c r="A425" s="396" t="n">
        <f aca="false">IF(B424+0.01&lt;=T_ini+ROUNDUP(Temps_fin_propu,0), 0.01, IF(K424&gt;0, 0.1, 0.0001))</f>
        <v>0.1</v>
      </c>
      <c r="B425" s="397" t="n">
        <f aca="false">B424+pas</f>
        <v>24.1000000000001</v>
      </c>
      <c r="D425" s="396" t="n">
        <f aca="false">IF(AND(L424&lt;L_rampe,Poussee&lt;Poids*SIN(M424)),0,(-W424+Poussee)/m*COS(M424)-U424/m*SIN(M424))</f>
        <v>-0.722488742339152</v>
      </c>
      <c r="E425" s="398" t="n">
        <f aca="false">IF(AND(L424&lt;L_rampe,Poussee&lt;Poids*SIN(M424)),0,(-W424+Poussee)/m*SIN(M424)+U424/m*COS(M424)-Poids/m)</f>
        <v>-6.56958652770648</v>
      </c>
      <c r="F425" s="397" t="n">
        <f aca="false">SQRT(acc_x^2+acc_z^2)</f>
        <v>6.6091948925591</v>
      </c>
      <c r="G425" s="396" t="n">
        <f aca="false">G424+acc_x*pas</f>
        <v>17.5997820437776</v>
      </c>
      <c r="H425" s="398" t="n">
        <f aca="false">H424+acc_z*pas</f>
        <v>-79.9172760995317</v>
      </c>
      <c r="I425" s="397" t="n">
        <f aca="false">SQRT(vit_x^2+vit_z^2)</f>
        <v>81.8322879257158</v>
      </c>
      <c r="J425" s="396" t="n">
        <f aca="false">J424+0.5*(vit_x+G424)*pas*(K424&gt;=0)</f>
        <v>574.551119481473</v>
      </c>
      <c r="K425" s="398" t="n">
        <f aca="false">K424+0.5*(vit_z+H424)*pas</f>
        <v>794.135151632036</v>
      </c>
      <c r="L425" s="397" t="n">
        <f aca="false">SQRT(pos_x^2+pos_z^2)</f>
        <v>980.183466477093</v>
      </c>
      <c r="M425" s="396" t="n">
        <f aca="false">IF(AND(L424&gt;L_rampe,G425&gt;0),ATAN2(G425,H425),$M$4)</f>
        <v>-1.35403142022858</v>
      </c>
      <c r="N425" s="397" t="n">
        <f aca="false">DEGREES(Beta)</f>
        <v>-77.5802857072025</v>
      </c>
      <c r="P425" s="399" t="n">
        <f aca="false">MATCH(t-pas/2-T_ini,CdP_t)</f>
        <v>23</v>
      </c>
      <c r="Q425" s="397" t="n">
        <f aca="false">(INDEX(CdP,2,i_P+1)-INDEX(CdP,2,i_P+0))/(INDEX(CdP,1,i_P+1)-INDEX(CdP,1,i_P+0))*(t-pas/2-T_ini-INDEX(CdP,1,i_P+0))+INDEX(CdP,2,i_P+0)</f>
        <v>0</v>
      </c>
      <c r="R425" s="396" t="n">
        <f aca="false">Poussee/(g*ISP)</f>
        <v>0</v>
      </c>
      <c r="S425" s="398" t="n">
        <f aca="false">S424-Débit*pas</f>
        <v>8.45</v>
      </c>
      <c r="T425" s="397" t="n">
        <f aca="false">m*g</f>
        <v>82.8945</v>
      </c>
      <c r="U425" s="400" t="n">
        <f aca="false">IF(pos_xz&lt;L_rampe,Poids*COS(Beta),0)</f>
        <v>0</v>
      </c>
      <c r="V425" s="396" t="n">
        <f aca="false">Rho_moyen*(20000-Alt_rampe-pos_z)/(20000+Alt_rampe+pos_z)</f>
        <v>1.13143365990887</v>
      </c>
      <c r="W425" s="397" t="n">
        <f aca="false">1/2*Rho*Sref*Cx*vit_xz^2</f>
        <v>28.5105784587043</v>
      </c>
      <c r="Y425" s="401" t="str">
        <f aca="false">IF(AND(pos_z&lt;=0,K424&gt;0),"Impact balistique","") &amp; IF(AND(H426&lt;0,vit_z&gt;=0),"Apogée","") &amp; IF(AND(Poussee=0,Q424&gt;0),"Fin de propulsion","") &amp; IF(AND(L426&gt;L_rampe,pos_xz&lt;=L_rampe),"Sortie de rampe","")</f>
        <v/>
      </c>
      <c r="Z425" s="402" t="str">
        <f aca="false">IF(ABS(t-T_para)&lt;pas/2,"Para","")</f>
        <v/>
      </c>
      <c r="AA425" s="403" t="str">
        <f aca="false">IF(ABS(t-T_satellite)&lt;pas/2,"Satellite","")</f>
        <v/>
      </c>
      <c r="AC425" s="399" t="e">
        <f aca="false">IF(ABS(t-ROUND(t,0))&lt;0.001,t,NA())</f>
        <v>#N/A</v>
      </c>
      <c r="AD425" s="404" t="e">
        <f aca="false">IF(ABS(t-ROUND(t,0))&lt;0.001,pos_x,NA())</f>
        <v>#N/A</v>
      </c>
      <c r="AE425" s="405" t="e">
        <f aca="false">IF(t&lt;T_para, pos_z, NA())</f>
        <v>#N/A</v>
      </c>
      <c r="AG425" s="396" t="n">
        <f aca="false">IF(AND(L424&lt;L_rampe,Poussee&lt;Poids*SIN(M424)),0,(-W424+Poussee)/m-Poids*SIN(M424)/m)</f>
        <v>6.25491255544955</v>
      </c>
      <c r="AH425" s="397" t="n">
        <f aca="false">IF(AND(L424&lt;L_rampe,Poussee&lt;Poids*SIN(M424)), g*SIN(M424), (-W424+Poussee)/m)</f>
        <v>-3.31998033943398</v>
      </c>
    </row>
    <row r="426" customFormat="false" ht="12.75" hidden="false" customHeight="false" outlineLevel="0" collapsed="false">
      <c r="A426" s="396" t="n">
        <f aca="false">IF(B425+0.01&lt;=T_ini+ROUNDUP(Temps_fin_propu,0), 0.01, IF(K425&gt;0, 0.1, 0.0001))</f>
        <v>0.1</v>
      </c>
      <c r="B426" s="397" t="n">
        <f aca="false">B425+pas</f>
        <v>24.2000000000001</v>
      </c>
      <c r="D426" s="396" t="n">
        <f aca="false">IF(AND(L425&lt;L_rampe,Poussee&lt;Poids*SIN(M425)),0,(-W425+Poussee)/m*COS(M425)-U425/m*SIN(M425))</f>
        <v>-0.725657880266305</v>
      </c>
      <c r="E426" s="398" t="n">
        <f aca="false">IF(AND(L425&lt;L_rampe,Poussee&lt;Poids*SIN(M425)),0,(-W425+Poussee)/m*SIN(M425)+U425/m*COS(M425)-Poids/m)</f>
        <v>-6.51492503675372</v>
      </c>
      <c r="F426" s="397" t="n">
        <f aca="false">SQRT(acc_x^2+acc_z^2)</f>
        <v>6.55521377177839</v>
      </c>
      <c r="G426" s="396" t="n">
        <f aca="false">G425+acc_x*pas</f>
        <v>17.527216255751</v>
      </c>
      <c r="H426" s="398" t="n">
        <f aca="false">H425+acc_z*pas</f>
        <v>-80.568768603207</v>
      </c>
      <c r="I426" s="397" t="n">
        <f aca="false">SQRT(vit_x^2+vit_z^2)</f>
        <v>82.4531975360142</v>
      </c>
      <c r="J426" s="396" t="n">
        <f aca="false">J425+0.5*(vit_x+G425)*pas*(K425&gt;=0)</f>
        <v>576.307469396449</v>
      </c>
      <c r="K426" s="398" t="n">
        <f aca="false">K425+0.5*(vit_z+H425)*pas</f>
        <v>786.110849396899</v>
      </c>
      <c r="L426" s="397" t="n">
        <f aca="false">SQRT(pos_x^2+pos_z^2)</f>
        <v>974.731022806627</v>
      </c>
      <c r="M426" s="396" t="n">
        <f aca="false">IF(AND(L425&gt;L_rampe,G426&gt;0),ATAN2(G426,H426),$M$4)</f>
        <v>-1.35659026873604</v>
      </c>
      <c r="N426" s="397" t="n">
        <f aca="false">DEGREES(Beta)</f>
        <v>-77.726896927093</v>
      </c>
      <c r="P426" s="399" t="n">
        <f aca="false">MATCH(t-pas/2-T_ini,CdP_t)</f>
        <v>23</v>
      </c>
      <c r="Q426" s="397" t="n">
        <f aca="false">(INDEX(CdP,2,i_P+1)-INDEX(CdP,2,i_P+0))/(INDEX(CdP,1,i_P+1)-INDEX(CdP,1,i_P+0))*(t-pas/2-T_ini-INDEX(CdP,1,i_P+0))+INDEX(CdP,2,i_P+0)</f>
        <v>0</v>
      </c>
      <c r="R426" s="396" t="n">
        <f aca="false">Poussee/(g*ISP)</f>
        <v>0</v>
      </c>
      <c r="S426" s="398" t="n">
        <f aca="false">S425-Débit*pas</f>
        <v>8.45</v>
      </c>
      <c r="T426" s="397" t="n">
        <f aca="false">m*g</f>
        <v>82.8945</v>
      </c>
      <c r="U426" s="400" t="n">
        <f aca="false">IF(pos_xz&lt;L_rampe,Poids*COS(Beta),0)</f>
        <v>0</v>
      </c>
      <c r="V426" s="396" t="n">
        <f aca="false">Rho_moyen*(20000-Alt_rampe-pos_z)/(20000+Alt_rampe+pos_z)</f>
        <v>1.13234334118697</v>
      </c>
      <c r="W426" s="397" t="n">
        <f aca="false">1/2*Rho*Sref*Cx*vit_xz^2</f>
        <v>28.9681447463197</v>
      </c>
      <c r="Y426" s="401" t="str">
        <f aca="false">IF(AND(pos_z&lt;=0,K425&gt;0),"Impact balistique","") &amp; IF(AND(H427&lt;0,vit_z&gt;=0),"Apogée","") &amp; IF(AND(Poussee=0,Q425&gt;0),"Fin de propulsion","") &amp; IF(AND(L427&gt;L_rampe,pos_xz&lt;=L_rampe),"Sortie de rampe","")</f>
        <v/>
      </c>
      <c r="Z426" s="402" t="str">
        <f aca="false">IF(ABS(t-T_para)&lt;pas/2,"Para","")</f>
        <v/>
      </c>
      <c r="AA426" s="403" t="str">
        <f aca="false">IF(ABS(t-T_satellite)&lt;pas/2,"Satellite","")</f>
        <v/>
      </c>
      <c r="AC426" s="399" t="e">
        <f aca="false">IF(ABS(t-ROUND(t,0))&lt;0.001,t,NA())</f>
        <v>#N/A</v>
      </c>
      <c r="AD426" s="404" t="e">
        <f aca="false">IF(ABS(t-ROUND(t,0))&lt;0.001,pos_x,NA())</f>
        <v>#N/A</v>
      </c>
      <c r="AE426" s="405" t="e">
        <f aca="false">IF(t&lt;T_para, pos_z, NA())</f>
        <v>#N/A</v>
      </c>
      <c r="AG426" s="396" t="n">
        <f aca="false">IF(AND(L425&lt;L_rampe,Poussee&lt;Poids*SIN(M425)),0,(-W425+Poussee)/m-Poids*SIN(M425)/m)</f>
        <v>6.20639670810621</v>
      </c>
      <c r="AH426" s="397" t="n">
        <f aca="false">IF(AND(L425&lt;L_rampe,Poussee&lt;Poids*SIN(M425)), g*SIN(M425), (-W425+Poussee)/m)</f>
        <v>-3.37403295369282</v>
      </c>
    </row>
    <row r="427" customFormat="false" ht="12.75" hidden="false" customHeight="false" outlineLevel="0" collapsed="false">
      <c r="A427" s="396" t="n">
        <f aca="false">IF(B426+0.01&lt;=T_ini+ROUNDUP(Temps_fin_propu,0), 0.01, IF(K426&gt;0, 0.1, 0.0001))</f>
        <v>0.1</v>
      </c>
      <c r="B427" s="397" t="n">
        <f aca="false">B426+pas</f>
        <v>24.3000000000001</v>
      </c>
      <c r="D427" s="396" t="n">
        <f aca="false">IF(AND(L426&lt;L_rampe,Poussee&lt;Poids*SIN(M426)),0,(-W426+Poussee)/m*COS(M426)-U426/m*SIN(M426))</f>
        <v>-0.728734643100383</v>
      </c>
      <c r="E427" s="398" t="n">
        <f aca="false">IF(AND(L426&lt;L_rampe,Poussee&lt;Poids*SIN(M426)),0,(-W426+Poussee)/m*SIN(M426)+U426/m*COS(M426)-Poids/m)</f>
        <v>-6.46016669068424</v>
      </c>
      <c r="F427" s="397" t="n">
        <f aca="false">SQRT(acc_x^2+acc_z^2)</f>
        <v>6.50113896571061</v>
      </c>
      <c r="G427" s="396" t="n">
        <f aca="false">G426+acc_x*pas</f>
        <v>17.454342791441</v>
      </c>
      <c r="H427" s="398" t="n">
        <f aca="false">H426+acc_z*pas</f>
        <v>-81.2147852722755</v>
      </c>
      <c r="I427" s="397" t="n">
        <f aca="false">SQRT(vit_x^2+vit_z^2)</f>
        <v>83.0692207084124</v>
      </c>
      <c r="J427" s="396" t="n">
        <f aca="false">J426+0.5*(vit_x+G426)*pas*(K426&gt;=0)</f>
        <v>578.056547348809</v>
      </c>
      <c r="K427" s="398" t="n">
        <f aca="false">K426+0.5*(vit_z+H426)*pas</f>
        <v>778.021671703125</v>
      </c>
      <c r="L427" s="397" t="n">
        <f aca="false">SQRT(pos_x^2+pos_z^2)</f>
        <v>969.261107015314</v>
      </c>
      <c r="M427" s="396" t="n">
        <f aca="false">IF(AND(L426&gt;L_rampe,G427&gt;0),ATAN2(G427,H427),$M$4)</f>
        <v>-1.35910062159091</v>
      </c>
      <c r="N427" s="397" t="n">
        <f aca="false">DEGREES(Beta)</f>
        <v>-77.8707295507658</v>
      </c>
      <c r="P427" s="399" t="n">
        <f aca="false">MATCH(t-pas/2-T_ini,CdP_t)</f>
        <v>23</v>
      </c>
      <c r="Q427" s="397" t="n">
        <f aca="false">(INDEX(CdP,2,i_P+1)-INDEX(CdP,2,i_P+0))/(INDEX(CdP,1,i_P+1)-INDEX(CdP,1,i_P+0))*(t-pas/2-T_ini-INDEX(CdP,1,i_P+0))+INDEX(CdP,2,i_P+0)</f>
        <v>0</v>
      </c>
      <c r="R427" s="396" t="n">
        <f aca="false">Poussee/(g*ISP)</f>
        <v>0</v>
      </c>
      <c r="S427" s="398" t="n">
        <f aca="false">S426-Débit*pas</f>
        <v>8.45</v>
      </c>
      <c r="T427" s="397" t="n">
        <f aca="false">m*g</f>
        <v>82.8945</v>
      </c>
      <c r="U427" s="400" t="n">
        <f aca="false">IF(pos_xz&lt;L_rampe,Poids*COS(Beta),0)</f>
        <v>0</v>
      </c>
      <c r="V427" s="396" t="n">
        <f aca="false">Rho_moyen*(20000-Alt_rampe-pos_z)/(20000+Alt_rampe+pos_z)</f>
        <v>1.13326108828885</v>
      </c>
      <c r="W427" s="397" t="n">
        <f aca="false">1/2*Rho*Sref*Cx*vit_xz^2</f>
        <v>29.4264448742916</v>
      </c>
      <c r="Y427" s="401" t="str">
        <f aca="false">IF(AND(pos_z&lt;=0,K426&gt;0),"Impact balistique","") &amp; IF(AND(H428&lt;0,vit_z&gt;=0),"Apogée","") &amp; IF(AND(Poussee=0,Q426&gt;0),"Fin de propulsion","") &amp; IF(AND(L428&gt;L_rampe,pos_xz&lt;=L_rampe),"Sortie de rampe","")</f>
        <v/>
      </c>
      <c r="Z427" s="402" t="str">
        <f aca="false">IF(ABS(t-T_para)&lt;pas/2,"Para","")</f>
        <v/>
      </c>
      <c r="AA427" s="403" t="str">
        <f aca="false">IF(ABS(t-T_satellite)&lt;pas/2,"Satellite","")</f>
        <v/>
      </c>
      <c r="AC427" s="399" t="e">
        <f aca="false">IF(ABS(t-ROUND(t,0))&lt;0.001,t,NA())</f>
        <v>#N/A</v>
      </c>
      <c r="AD427" s="404" t="e">
        <f aca="false">IF(ABS(t-ROUND(t,0))&lt;0.001,pos_x,NA())</f>
        <v>#N/A</v>
      </c>
      <c r="AE427" s="405" t="e">
        <f aca="false">IF(t&lt;T_para, pos_z, NA())</f>
        <v>#N/A</v>
      </c>
      <c r="AG427" s="396" t="n">
        <f aca="false">IF(AND(L426&lt;L_rampe,Poussee&lt;Poids*SIN(M426)),0,(-W426+Poussee)/m-Poids*SIN(M426)/m)</f>
        <v>6.15761426760247</v>
      </c>
      <c r="AH427" s="397" t="n">
        <f aca="false">IF(AND(L426&lt;L_rampe,Poussee&lt;Poids*SIN(M426)), g*SIN(M426), (-W426+Poussee)/m)</f>
        <v>-3.42818281021535</v>
      </c>
    </row>
    <row r="428" customFormat="false" ht="12.75" hidden="false" customHeight="false" outlineLevel="0" collapsed="false">
      <c r="A428" s="396" t="n">
        <f aca="false">IF(B427+0.01&lt;=T_ini+ROUNDUP(Temps_fin_propu,0), 0.01, IF(K427&gt;0, 0.1, 0.0001))</f>
        <v>0.1</v>
      </c>
      <c r="B428" s="397" t="n">
        <f aca="false">B427+pas</f>
        <v>24.4000000000001</v>
      </c>
      <c r="D428" s="396" t="n">
        <f aca="false">IF(AND(L427&lt;L_rampe,Poussee&lt;Poids*SIN(M427)),0,(-W427+Poussee)/m*COS(M427)-U427/m*SIN(M427))</f>
        <v>-0.731719202170629</v>
      </c>
      <c r="E428" s="398" t="n">
        <f aca="false">IF(AND(L427&lt;L_rampe,Poussee&lt;Poids*SIN(M427)),0,(-W427+Poussee)/m*SIN(M427)+U427/m*COS(M427)-Poids/m)</f>
        <v>-6.40532194400187</v>
      </c>
      <c r="F428" s="397" t="n">
        <f aca="false">SQRT(acc_x^2+acc_z^2)</f>
        <v>6.44698085906396</v>
      </c>
      <c r="G428" s="396" t="n">
        <f aca="false">G427+acc_x*pas</f>
        <v>17.3811708712239</v>
      </c>
      <c r="H428" s="398" t="n">
        <f aca="false">H427+acc_z*pas</f>
        <v>-81.8553174666756</v>
      </c>
      <c r="I428" s="397" t="n">
        <f aca="false">SQRT(vit_x^2+vit_z^2)</f>
        <v>83.6803328054145</v>
      </c>
      <c r="J428" s="396" t="n">
        <f aca="false">J427+0.5*(vit_x+G427)*pas*(K427&gt;=0)</f>
        <v>579.798323031942</v>
      </c>
      <c r="K428" s="398" t="n">
        <f aca="false">K427+0.5*(vit_z+H427)*pas</f>
        <v>769.868166566178</v>
      </c>
      <c r="L428" s="397" t="n">
        <f aca="false">SQRT(pos_x^2+pos_z^2)</f>
        <v>963.775435089845</v>
      </c>
      <c r="M428" s="396" t="n">
        <f aca="false">IF(AND(L427&gt;L_rampe,G428&gt;0),ATAN2(G428,H428),$M$4)</f>
        <v>-1.36156387681492</v>
      </c>
      <c r="N428" s="397" t="n">
        <f aca="false">DEGREES(Beta)</f>
        <v>-78.0118636789654</v>
      </c>
      <c r="P428" s="399" t="n">
        <f aca="false">MATCH(t-pas/2-T_ini,CdP_t)</f>
        <v>23</v>
      </c>
      <c r="Q428" s="397" t="n">
        <f aca="false">(INDEX(CdP,2,i_P+1)-INDEX(CdP,2,i_P+0))/(INDEX(CdP,1,i_P+1)-INDEX(CdP,1,i_P+0))*(t-pas/2-T_ini-INDEX(CdP,1,i_P+0))+INDEX(CdP,2,i_P+0)</f>
        <v>0</v>
      </c>
      <c r="R428" s="396" t="n">
        <f aca="false">Poussee/(g*ISP)</f>
        <v>0</v>
      </c>
      <c r="S428" s="398" t="n">
        <f aca="false">S427-Débit*pas</f>
        <v>8.45</v>
      </c>
      <c r="T428" s="397" t="n">
        <f aca="false">m*g</f>
        <v>82.8945</v>
      </c>
      <c r="U428" s="400" t="n">
        <f aca="false">IF(pos_xz&lt;L_rampe,Poids*COS(Beta),0)</f>
        <v>0</v>
      </c>
      <c r="V428" s="396" t="n">
        <f aca="false">Rho_moyen*(20000-Alt_rampe-pos_z)/(20000+Alt_rampe+pos_z)</f>
        <v>1.13418685699106</v>
      </c>
      <c r="W428" s="397" t="n">
        <f aca="false">1/2*Rho*Sref*Cx*vit_xz^2</f>
        <v>29.8853918591499</v>
      </c>
      <c r="Y428" s="401" t="str">
        <f aca="false">IF(AND(pos_z&lt;=0,K427&gt;0),"Impact balistique","") &amp; IF(AND(H429&lt;0,vit_z&gt;=0),"Apogée","") &amp; IF(AND(Poussee=0,Q427&gt;0),"Fin de propulsion","") &amp; IF(AND(L429&gt;L_rampe,pos_xz&lt;=L_rampe),"Sortie de rampe","")</f>
        <v/>
      </c>
      <c r="Z428" s="402" t="str">
        <f aca="false">IF(ABS(t-T_para)&lt;pas/2,"Para","")</f>
        <v/>
      </c>
      <c r="AA428" s="403" t="str">
        <f aca="false">IF(ABS(t-T_satellite)&lt;pas/2,"Satellite","")</f>
        <v/>
      </c>
      <c r="AC428" s="399" t="e">
        <f aca="false">IF(ABS(t-ROUND(t,0))&lt;0.001,t,NA())</f>
        <v>#N/A</v>
      </c>
      <c r="AD428" s="404" t="e">
        <f aca="false">IF(ABS(t-ROUND(t,0))&lt;0.001,pos_x,NA())</f>
        <v>#N/A</v>
      </c>
      <c r="AE428" s="405" t="e">
        <f aca="false">IF(t&lt;T_para, pos_z, NA())</f>
        <v>#N/A</v>
      </c>
      <c r="AG428" s="396" t="n">
        <f aca="false">IF(AND(L427&lt;L_rampe,Poussee&lt;Poids*SIN(M427)),0,(-W427+Poussee)/m-Poids*SIN(M427)/m)</f>
        <v>6.10858226636465</v>
      </c>
      <c r="AH428" s="397" t="n">
        <f aca="false">IF(AND(L427&lt;L_rampe,Poussee&lt;Poids*SIN(M427)), g*SIN(M427), (-W427+Poussee)/m)</f>
        <v>-3.48241951175048</v>
      </c>
    </row>
    <row r="429" customFormat="false" ht="12.75" hidden="false" customHeight="false" outlineLevel="0" collapsed="false">
      <c r="A429" s="396" t="n">
        <f aca="false">IF(B428+0.01&lt;=T_ini+ROUNDUP(Temps_fin_propu,0), 0.01, IF(K428&gt;0, 0.1, 0.0001))</f>
        <v>0.1</v>
      </c>
      <c r="B429" s="397" t="n">
        <f aca="false">B428+pas</f>
        <v>24.5000000000001</v>
      </c>
      <c r="D429" s="396" t="n">
        <f aca="false">IF(AND(L428&lt;L_rampe,Poussee&lt;Poids*SIN(M428)),0,(-W428+Poussee)/m*COS(M428)-U428/m*SIN(M428))</f>
        <v>-0.734611759333886</v>
      </c>
      <c r="E429" s="398" t="n">
        <f aca="false">IF(AND(L428&lt;L_rampe,Poussee&lt;Poids*SIN(M428)),0,(-W428+Poussee)/m*SIN(M428)+U428/m*COS(M428)-Poids/m)</f>
        <v>-6.35040114900533</v>
      </c>
      <c r="F429" s="397" t="n">
        <f aca="false">SQRT(acc_x^2+acc_z^2)</f>
        <v>6.39274973624338</v>
      </c>
      <c r="G429" s="396" t="n">
        <f aca="false">G428+acc_x*pas</f>
        <v>17.3077096952905</v>
      </c>
      <c r="H429" s="398" t="n">
        <f aca="false">H428+acc_z*pas</f>
        <v>-82.4903575815762</v>
      </c>
      <c r="I429" s="397" t="n">
        <f aca="false">SQRT(vit_x^2+vit_z^2)</f>
        <v>84.2865108355587</v>
      </c>
      <c r="J429" s="396" t="n">
        <f aca="false">J428+0.5*(vit_x+G428)*pas*(K428&gt;=0)</f>
        <v>581.532767060268</v>
      </c>
      <c r="K429" s="398" t="n">
        <f aca="false">K428+0.5*(vit_z+H428)*pas</f>
        <v>761.650882813765</v>
      </c>
      <c r="L429" s="397" t="n">
        <f aca="false">SQRT(pos_x^2+pos_z^2)</f>
        <v>958.275757000958</v>
      </c>
      <c r="M429" s="396" t="n">
        <f aca="false">IF(AND(L428&gt;L_rampe,G429&gt;0),ATAN2(G429,H429),$M$4)</f>
        <v>-1.36398137960933</v>
      </c>
      <c r="N429" s="397" t="n">
        <f aca="false">DEGREES(Beta)</f>
        <v>-78.150376386046</v>
      </c>
      <c r="P429" s="399" t="n">
        <f aca="false">MATCH(t-pas/2-T_ini,CdP_t)</f>
        <v>23</v>
      </c>
      <c r="Q429" s="397" t="n">
        <f aca="false">(INDEX(CdP,2,i_P+1)-INDEX(CdP,2,i_P+0))/(INDEX(CdP,1,i_P+1)-INDEX(CdP,1,i_P+0))*(t-pas/2-T_ini-INDEX(CdP,1,i_P+0))+INDEX(CdP,2,i_P+0)</f>
        <v>0</v>
      </c>
      <c r="R429" s="396" t="n">
        <f aca="false">Poussee/(g*ISP)</f>
        <v>0</v>
      </c>
      <c r="S429" s="398" t="n">
        <f aca="false">S428-Débit*pas</f>
        <v>8.45</v>
      </c>
      <c r="T429" s="397" t="n">
        <f aca="false">m*g</f>
        <v>82.8945</v>
      </c>
      <c r="U429" s="400" t="n">
        <f aca="false">IF(pos_xz&lt;L_rampe,Poids*COS(Beta),0)</f>
        <v>0</v>
      </c>
      <c r="V429" s="396" t="n">
        <f aca="false">Rho_moyen*(20000-Alt_rampe-pos_z)/(20000+Alt_rampe+pos_z)</f>
        <v>1.13512060296041</v>
      </c>
      <c r="W429" s="397" t="n">
        <f aca="false">1/2*Rho*Sref*Cx*vit_xz^2</f>
        <v>30.3448996142378</v>
      </c>
      <c r="Y429" s="401" t="str">
        <f aca="false">IF(AND(pos_z&lt;=0,K428&gt;0),"Impact balistique","") &amp; IF(AND(H430&lt;0,vit_z&gt;=0),"Apogée","") &amp; IF(AND(Poussee=0,Q428&gt;0),"Fin de propulsion","") &amp; IF(AND(L430&gt;L_rampe,pos_xz&lt;=L_rampe),"Sortie de rampe","")</f>
        <v/>
      </c>
      <c r="Z429" s="402" t="str">
        <f aca="false">IF(ABS(t-T_para)&lt;pas/2,"Para","")</f>
        <v/>
      </c>
      <c r="AA429" s="403" t="str">
        <f aca="false">IF(ABS(t-T_satellite)&lt;pas/2,"Satellite","")</f>
        <v/>
      </c>
      <c r="AC429" s="399" t="e">
        <f aca="false">IF(ABS(t-ROUND(t,0))&lt;0.001,t,NA())</f>
        <v>#N/A</v>
      </c>
      <c r="AD429" s="404" t="e">
        <f aca="false">IF(ABS(t-ROUND(t,0))&lt;0.001,pos_x,NA())</f>
        <v>#N/A</v>
      </c>
      <c r="AE429" s="405" t="e">
        <f aca="false">IF(t&lt;T_para, pos_z, NA())</f>
        <v>#N/A</v>
      </c>
      <c r="AG429" s="396" t="n">
        <f aca="false">IF(AND(L428&lt;L_rampe,Poussee&lt;Poids*SIN(M428)),0,(-W428+Poussee)/m-Poids*SIN(M428)/m)</f>
        <v>6.05931731603691</v>
      </c>
      <c r="AH429" s="397" t="n">
        <f aca="false">IF(AND(L428&lt;L_rampe,Poussee&lt;Poids*SIN(M428)), g*SIN(M428), (-W428+Poussee)/m)</f>
        <v>-3.53673276439644</v>
      </c>
    </row>
    <row r="430" customFormat="false" ht="12.75" hidden="false" customHeight="false" outlineLevel="0" collapsed="false">
      <c r="A430" s="396" t="n">
        <f aca="false">IF(B429+0.01&lt;=T_ini+ROUNDUP(Temps_fin_propu,0), 0.01, IF(K429&gt;0, 0.1, 0.0001))</f>
        <v>0.1</v>
      </c>
      <c r="B430" s="397" t="n">
        <f aca="false">B429+pas</f>
        <v>24.6000000000001</v>
      </c>
      <c r="D430" s="396" t="n">
        <f aca="false">IF(AND(L429&lt;L_rampe,Poussee&lt;Poids*SIN(M429)),0,(-W429+Poussee)/m*COS(M429)-U429/m*SIN(M429))</f>
        <v>-0.737412546167638</v>
      </c>
      <c r="E430" s="398" t="n">
        <f aca="false">IF(AND(L429&lt;L_rampe,Poussee&lt;Poids*SIN(M429)),0,(-W429+Poussee)/m*SIN(M429)+U429/m*COS(M429)-Poids/m)</f>
        <v>-6.29541455285324</v>
      </c>
      <c r="F430" s="397" t="n">
        <f aca="false">SQRT(acc_x^2+acc_z^2)</f>
        <v>6.33845577846227</v>
      </c>
      <c r="G430" s="396" t="n">
        <f aca="false">G429+acc_x*pas</f>
        <v>17.2339684406738</v>
      </c>
      <c r="H430" s="398" t="n">
        <f aca="false">H429+acc_z*pas</f>
        <v>-83.1198990368615</v>
      </c>
      <c r="I430" s="397" t="n">
        <f aca="false">SQRT(vit_x^2+vit_z^2)</f>
        <v>84.8877334136811</v>
      </c>
      <c r="J430" s="396" t="n">
        <f aca="false">J429+0.5*(vit_x+G429)*pas*(K429&gt;=0)</f>
        <v>583.259850967066</v>
      </c>
      <c r="K430" s="398" t="n">
        <f aca="false">K429+0.5*(vit_z+H429)*pas</f>
        <v>753.370369982843</v>
      </c>
      <c r="L430" s="397" t="n">
        <f aca="false">SQRT(pos_x^2+pos_z^2)</f>
        <v>952.763857478972</v>
      </c>
      <c r="M430" s="396" t="n">
        <f aca="false">IF(AND(L429&gt;L_rampe,G430&gt;0),ATAN2(G430,H430),$M$4)</f>
        <v>-1.36635442477155</v>
      </c>
      <c r="N430" s="397" t="n">
        <f aca="false">DEGREES(Beta)</f>
        <v>-78.2863418584353</v>
      </c>
      <c r="P430" s="399" t="n">
        <f aca="false">MATCH(t-pas/2-T_ini,CdP_t)</f>
        <v>23</v>
      </c>
      <c r="Q430" s="397" t="n">
        <f aca="false">(INDEX(CdP,2,i_P+1)-INDEX(CdP,2,i_P+0))/(INDEX(CdP,1,i_P+1)-INDEX(CdP,1,i_P+0))*(t-pas/2-T_ini-INDEX(CdP,1,i_P+0))+INDEX(CdP,2,i_P+0)</f>
        <v>0</v>
      </c>
      <c r="R430" s="396" t="n">
        <f aca="false">Poussee/(g*ISP)</f>
        <v>0</v>
      </c>
      <c r="S430" s="398" t="n">
        <f aca="false">S429-Débit*pas</f>
        <v>8.45</v>
      </c>
      <c r="T430" s="397" t="n">
        <f aca="false">m*g</f>
        <v>82.8945</v>
      </c>
      <c r="U430" s="400" t="n">
        <f aca="false">IF(pos_xz&lt;L_rampe,Poids*COS(Beta),0)</f>
        <v>0</v>
      </c>
      <c r="V430" s="396" t="n">
        <f aca="false">Rho_moyen*(20000-Alt_rampe-pos_z)/(20000+Alt_rampe+pos_z)</f>
        <v>1.13606228176183</v>
      </c>
      <c r="W430" s="397" t="n">
        <f aca="false">1/2*Rho*Sref*Cx*vit_xz^2</f>
        <v>30.8048829723335</v>
      </c>
      <c r="Y430" s="401" t="str">
        <f aca="false">IF(AND(pos_z&lt;=0,K429&gt;0),"Impact balistique","") &amp; IF(AND(H431&lt;0,vit_z&gt;=0),"Apogée","") &amp; IF(AND(Poussee=0,Q429&gt;0),"Fin de propulsion","") &amp; IF(AND(L431&gt;L_rampe,pos_xz&lt;=L_rampe),"Sortie de rampe","")</f>
        <v/>
      </c>
      <c r="Z430" s="402" t="str">
        <f aca="false">IF(ABS(t-T_para)&lt;pas/2,"Para","")</f>
        <v/>
      </c>
      <c r="AA430" s="403" t="str">
        <f aca="false">IF(ABS(t-T_satellite)&lt;pas/2,"Satellite","")</f>
        <v/>
      </c>
      <c r="AC430" s="399" t="e">
        <f aca="false">IF(ABS(t-ROUND(t,0))&lt;0.001,t,NA())</f>
        <v>#N/A</v>
      </c>
      <c r="AD430" s="404" t="e">
        <f aca="false">IF(ABS(t-ROUND(t,0))&lt;0.001,pos_x,NA())</f>
        <v>#N/A</v>
      </c>
      <c r="AE430" s="405" t="e">
        <f aca="false">IF(t&lt;T_para, pos_z, NA())</f>
        <v>#N/A</v>
      </c>
      <c r="AG430" s="396" t="n">
        <f aca="false">IF(AND(L429&lt;L_rampe,Poussee&lt;Poids*SIN(M429)),0,(-W429+Poussee)/m-Poids*SIN(M429)/m)</f>
        <v>6.00983562248356</v>
      </c>
      <c r="AH430" s="397" t="n">
        <f aca="false">IF(AND(L429&lt;L_rampe,Poussee&lt;Poids*SIN(M429)), g*SIN(M429), (-W429+Poussee)/m)</f>
        <v>-3.59111238038317</v>
      </c>
    </row>
    <row r="431" customFormat="false" ht="12.75" hidden="false" customHeight="false" outlineLevel="0" collapsed="false">
      <c r="A431" s="396" t="n">
        <f aca="false">IF(B430+0.01&lt;=T_ini+ROUNDUP(Temps_fin_propu,0), 0.01, IF(K430&gt;0, 0.1, 0.0001))</f>
        <v>0.1</v>
      </c>
      <c r="B431" s="397" t="n">
        <f aca="false">B430+pas</f>
        <v>24.7000000000001</v>
      </c>
      <c r="D431" s="396" t="n">
        <f aca="false">IF(AND(L430&lt;L_rampe,Poussee&lt;Poids*SIN(M430)),0,(-W430+Poussee)/m*COS(M430)-U430/m*SIN(M430))</f>
        <v>-0.74012182317574</v>
      </c>
      <c r="E431" s="398" t="n">
        <f aca="false">IF(AND(L430&lt;L_rampe,Poussee&lt;Poids*SIN(M430)),0,(-W430+Poussee)/m*SIN(M430)+U430/m*COS(M430)-Poids/m)</f>
        <v>-6.24037229474349</v>
      </c>
      <c r="F431" s="397" t="n">
        <f aca="false">SQRT(acc_x^2+acc_z^2)</f>
        <v>6.28410906096824</v>
      </c>
      <c r="G431" s="396" t="n">
        <f aca="false">G430+acc_x*pas</f>
        <v>17.1599562583562</v>
      </c>
      <c r="H431" s="398" t="n">
        <f aca="false">H430+acc_z*pas</f>
        <v>-83.7439362663358</v>
      </c>
      <c r="I431" s="397" t="n">
        <f aca="false">SQRT(vit_x^2+vit_z^2)</f>
        <v>85.4839807225238</v>
      </c>
      <c r="J431" s="396" t="n">
        <f aca="false">J430+0.5*(vit_x+G430)*pas*(K430&gt;=0)</f>
        <v>584.979547202017</v>
      </c>
      <c r="K431" s="398" t="n">
        <f aca="false">K430+0.5*(vit_z+H430)*pas</f>
        <v>745.027178217683</v>
      </c>
      <c r="L431" s="397" t="n">
        <f aca="false">SQRT(pos_x^2+pos_z^2)</f>
        <v>947.241556799363</v>
      </c>
      <c r="M431" s="396" t="n">
        <f aca="false">IF(AND(L430&gt;L_rampe,G431&gt;0),ATAN2(G431,H431),$M$4)</f>
        <v>-1.36868425898334</v>
      </c>
      <c r="N431" s="397" t="n">
        <f aca="false">DEGREES(Beta)</f>
        <v>-78.419831525736</v>
      </c>
      <c r="P431" s="399" t="n">
        <f aca="false">MATCH(t-pas/2-T_ini,CdP_t)</f>
        <v>23</v>
      </c>
      <c r="Q431" s="397" t="n">
        <f aca="false">(INDEX(CdP,2,i_P+1)-INDEX(CdP,2,i_P+0))/(INDEX(CdP,1,i_P+1)-INDEX(CdP,1,i_P+0))*(t-pas/2-T_ini-INDEX(CdP,1,i_P+0))+INDEX(CdP,2,i_P+0)</f>
        <v>0</v>
      </c>
      <c r="R431" s="396" t="n">
        <f aca="false">Poussee/(g*ISP)</f>
        <v>0</v>
      </c>
      <c r="S431" s="398" t="n">
        <f aca="false">S430-Débit*pas</f>
        <v>8.45</v>
      </c>
      <c r="T431" s="397" t="n">
        <f aca="false">m*g</f>
        <v>82.8945</v>
      </c>
      <c r="U431" s="400" t="n">
        <f aca="false">IF(pos_xz&lt;L_rampe,Poids*COS(Beta),0)</f>
        <v>0</v>
      </c>
      <c r="V431" s="396" t="n">
        <f aca="false">Rho_moyen*(20000-Alt_rampe-pos_z)/(20000+Alt_rampe+pos_z)</f>
        <v>1.13701184886613</v>
      </c>
      <c r="W431" s="397" t="n">
        <f aca="false">1/2*Rho*Sref*Cx*vit_xz^2</f>
        <v>31.265257707385</v>
      </c>
      <c r="Y431" s="401" t="str">
        <f aca="false">IF(AND(pos_z&lt;=0,K430&gt;0),"Impact balistique","") &amp; IF(AND(H432&lt;0,vit_z&gt;=0),"Apogée","") &amp; IF(AND(Poussee=0,Q430&gt;0),"Fin de propulsion","") &amp; IF(AND(L432&gt;L_rampe,pos_xz&lt;=L_rampe),"Sortie de rampe","")</f>
        <v/>
      </c>
      <c r="Z431" s="402" t="str">
        <f aca="false">IF(ABS(t-T_para)&lt;pas/2,"Para","")</f>
        <v/>
      </c>
      <c r="AA431" s="403" t="str">
        <f aca="false">IF(ABS(t-T_satellite)&lt;pas/2,"Satellite","")</f>
        <v/>
      </c>
      <c r="AC431" s="399" t="e">
        <f aca="false">IF(ABS(t-ROUND(t,0))&lt;0.001,t,NA())</f>
        <v>#N/A</v>
      </c>
      <c r="AD431" s="404" t="e">
        <f aca="false">IF(ABS(t-ROUND(t,0))&lt;0.001,pos_x,NA())</f>
        <v>#N/A</v>
      </c>
      <c r="AE431" s="405" t="e">
        <f aca="false">IF(t&lt;T_para, pos_z, NA())</f>
        <v>#N/A</v>
      </c>
      <c r="AG431" s="396" t="n">
        <f aca="false">IF(AND(L430&lt;L_rampe,Poussee&lt;Poids*SIN(M430)),0,(-W430+Poussee)/m-Poids*SIN(M430)/m)</f>
        <v>5.96015299976311</v>
      </c>
      <c r="AH431" s="397" t="n">
        <f aca="false">IF(AND(L430&lt;L_rampe,Poussee&lt;Poids*SIN(M430)), g*SIN(M430), (-W430+Poussee)/m)</f>
        <v>-3.64554828074952</v>
      </c>
    </row>
    <row r="432" customFormat="false" ht="12.75" hidden="false" customHeight="false" outlineLevel="0" collapsed="false">
      <c r="A432" s="396" t="n">
        <f aca="false">IF(B431+0.01&lt;=T_ini+ROUNDUP(Temps_fin_propu,0), 0.01, IF(K431&gt;0, 0.1, 0.0001))</f>
        <v>0.1</v>
      </c>
      <c r="B432" s="397" t="n">
        <f aca="false">B431+pas</f>
        <v>24.8000000000001</v>
      </c>
      <c r="D432" s="396" t="n">
        <f aca="false">IF(AND(L431&lt;L_rampe,Poussee&lt;Poids*SIN(M431)),0,(-W431+Poussee)/m*COS(M431)-U431/m*SIN(M431))</f>
        <v>-0.742739879006156</v>
      </c>
      <c r="E432" s="398" t="n">
        <f aca="false">IF(AND(L431&lt;L_rampe,Poussee&lt;Poids*SIN(M431)),0,(-W431+Poussee)/m*SIN(M431)+U431/m*COS(M431)-Poids/m)</f>
        <v>-6.18528440320653</v>
      </c>
      <c r="F432" s="397" t="n">
        <f aca="false">SQRT(acc_x^2+acc_z^2)</f>
        <v>6.22971955038234</v>
      </c>
      <c r="G432" s="396" t="n">
        <f aca="false">G431+acc_x*pas</f>
        <v>17.0856822704556</v>
      </c>
      <c r="H432" s="398" t="n">
        <f aca="false">H431+acc_z*pas</f>
        <v>-84.3624647066565</v>
      </c>
      <c r="I432" s="397" t="n">
        <f aca="false">SQRT(vit_x^2+vit_z^2)</f>
        <v>86.075234475596</v>
      </c>
      <c r="J432" s="396" t="n">
        <f aca="false">J431+0.5*(vit_x+G431)*pas*(K431&gt;=0)</f>
        <v>586.691829128458</v>
      </c>
      <c r="K432" s="398" t="n">
        <f aca="false">K431+0.5*(vit_z+H431)*pas</f>
        <v>736.621858169034</v>
      </c>
      <c r="L432" s="397" t="n">
        <f aca="false">SQRT(pos_x^2+pos_z^2)</f>
        <v>941.710711576807</v>
      </c>
      <c r="M432" s="396" t="n">
        <f aca="false">IF(AND(L431&gt;L_rampe,G432&gt;0),ATAN2(G432,H432),$M$4)</f>
        <v>-1.37097208297814</v>
      </c>
      <c r="N432" s="397" t="n">
        <f aca="false">DEGREES(Beta)</f>
        <v>-78.5509141849067</v>
      </c>
      <c r="P432" s="399" t="n">
        <f aca="false">MATCH(t-pas/2-T_ini,CdP_t)</f>
        <v>23</v>
      </c>
      <c r="Q432" s="397" t="n">
        <f aca="false">(INDEX(CdP,2,i_P+1)-INDEX(CdP,2,i_P+0))/(INDEX(CdP,1,i_P+1)-INDEX(CdP,1,i_P+0))*(t-pas/2-T_ini-INDEX(CdP,1,i_P+0))+INDEX(CdP,2,i_P+0)</f>
        <v>0</v>
      </c>
      <c r="R432" s="396" t="n">
        <f aca="false">Poussee/(g*ISP)</f>
        <v>0</v>
      </c>
      <c r="S432" s="398" t="n">
        <f aca="false">S431-Débit*pas</f>
        <v>8.45</v>
      </c>
      <c r="T432" s="397" t="n">
        <f aca="false">m*g</f>
        <v>82.8945</v>
      </c>
      <c r="U432" s="400" t="n">
        <f aca="false">IF(pos_xz&lt;L_rampe,Poids*COS(Beta),0)</f>
        <v>0</v>
      </c>
      <c r="V432" s="396" t="n">
        <f aca="false">Rho_moyen*(20000-Alt_rampe-pos_z)/(20000+Alt_rampe+pos_z)</f>
        <v>1.13796925965773</v>
      </c>
      <c r="W432" s="397" t="n">
        <f aca="false">1/2*Rho*Sref*Cx*vit_xz^2</f>
        <v>31.7259405553549</v>
      </c>
      <c r="Y432" s="401" t="str">
        <f aca="false">IF(AND(pos_z&lt;=0,K431&gt;0),"Impact balistique","") &amp; IF(AND(H433&lt;0,vit_z&gt;=0),"Apogée","") &amp; IF(AND(Poussee=0,Q431&gt;0),"Fin de propulsion","") &amp; IF(AND(L433&gt;L_rampe,pos_xz&lt;=L_rampe),"Sortie de rampe","")</f>
        <v/>
      </c>
      <c r="Z432" s="402" t="str">
        <f aca="false">IF(ABS(t-T_para)&lt;pas/2,"Para","")</f>
        <v/>
      </c>
      <c r="AA432" s="403" t="str">
        <f aca="false">IF(ABS(t-T_satellite)&lt;pas/2,"Satellite","")</f>
        <v/>
      </c>
      <c r="AC432" s="399" t="e">
        <f aca="false">IF(ABS(t-ROUND(t,0))&lt;0.001,t,NA())</f>
        <v>#N/A</v>
      </c>
      <c r="AD432" s="404" t="e">
        <f aca="false">IF(ABS(t-ROUND(t,0))&lt;0.001,pos_x,NA())</f>
        <v>#N/A</v>
      </c>
      <c r="AE432" s="405" t="e">
        <f aca="false">IF(t&lt;T_para, pos_z, NA())</f>
        <v>#N/A</v>
      </c>
      <c r="AG432" s="396" t="n">
        <f aca="false">IF(AND(L431&lt;L_rampe,Poussee&lt;Poids*SIN(M431)),0,(-W431+Poussee)/m-Poids*SIN(M431)/m)</f>
        <v>5.91028488315453</v>
      </c>
      <c r="AH432" s="397" t="n">
        <f aca="false">IF(AND(L431&lt;L_rampe,Poussee&lt;Poids*SIN(M431)), g*SIN(M431), (-W431+Poussee)/m)</f>
        <v>-3.70003049791538</v>
      </c>
    </row>
    <row r="433" customFormat="false" ht="12.75" hidden="false" customHeight="false" outlineLevel="0" collapsed="false">
      <c r="A433" s="396" t="n">
        <f aca="false">IF(B432+0.01&lt;=T_ini+ROUNDUP(Temps_fin_propu,0), 0.01, IF(K432&gt;0, 0.1, 0.0001))</f>
        <v>0.1</v>
      </c>
      <c r="B433" s="397" t="n">
        <f aca="false">B432+pas</f>
        <v>24.9000000000001</v>
      </c>
      <c r="D433" s="396" t="n">
        <f aca="false">IF(AND(L432&lt;L_rampe,Poussee&lt;Poids*SIN(M432)),0,(-W432+Poussee)/m*COS(M432)-U432/m*SIN(M432))</f>
        <v>-0.7452670296801</v>
      </c>
      <c r="E433" s="398" t="n">
        <f aca="false">IF(AND(L432&lt;L_rampe,Poussee&lt;Poids*SIN(M432)),0,(-W432+Poussee)/m*SIN(M432)+U432/m*COS(M432)-Poids/m)</f>
        <v>-6.13016079351184</v>
      </c>
      <c r="F433" s="397" t="n">
        <f aca="false">SQRT(acc_x^2+acc_z^2)</f>
        <v>6.17529710215127</v>
      </c>
      <c r="G433" s="396" t="n">
        <f aca="false">G432+acc_x*pas</f>
        <v>17.0111555674876</v>
      </c>
      <c r="H433" s="398" t="n">
        <f aca="false">H432+acc_z*pas</f>
        <v>-84.9754807860077</v>
      </c>
      <c r="I433" s="397" t="n">
        <f aca="false">SQRT(vit_x^2+vit_z^2)</f>
        <v>86.6614778812041</v>
      </c>
      <c r="J433" s="396" t="n">
        <f aca="false">J432+0.5*(vit_x+G432)*pas*(K432&gt;=0)</f>
        <v>588.396671020355</v>
      </c>
      <c r="K433" s="398" t="n">
        <f aca="false">K432+0.5*(vit_z+H432)*pas</f>
        <v>728.154960894401</v>
      </c>
      <c r="L433" s="397" t="n">
        <f aca="false">SQRT(pos_x^2+pos_z^2)</f>
        <v>936.173215565881</v>
      </c>
      <c r="M433" s="396" t="n">
        <f aca="false">IF(AND(L432&gt;L_rampe,G433&gt;0),ATAN2(G433,H433),$M$4)</f>
        <v>-1.37321905359485</v>
      </c>
      <c r="N433" s="397" t="n">
        <f aca="false">DEGREES(Beta)</f>
        <v>-78.6796561179341</v>
      </c>
      <c r="P433" s="399" t="n">
        <f aca="false">MATCH(t-pas/2-T_ini,CdP_t)</f>
        <v>23</v>
      </c>
      <c r="Q433" s="397" t="n">
        <f aca="false">(INDEX(CdP,2,i_P+1)-INDEX(CdP,2,i_P+0))/(INDEX(CdP,1,i_P+1)-INDEX(CdP,1,i_P+0))*(t-pas/2-T_ini-INDEX(CdP,1,i_P+0))+INDEX(CdP,2,i_P+0)</f>
        <v>0</v>
      </c>
      <c r="R433" s="396" t="n">
        <f aca="false">Poussee/(g*ISP)</f>
        <v>0</v>
      </c>
      <c r="S433" s="398" t="n">
        <f aca="false">S432-Débit*pas</f>
        <v>8.45</v>
      </c>
      <c r="T433" s="397" t="n">
        <f aca="false">m*g</f>
        <v>82.8945</v>
      </c>
      <c r="U433" s="400" t="n">
        <f aca="false">IF(pos_xz&lt;L_rampe,Poids*COS(Beta),0)</f>
        <v>0</v>
      </c>
      <c r="V433" s="396" t="n">
        <f aca="false">Rho_moyen*(20000-Alt_rampe-pos_z)/(20000+Alt_rampe+pos_z)</f>
        <v>1.13893446944232</v>
      </c>
      <c r="W433" s="397" t="n">
        <f aca="false">1/2*Rho*Sref*Cx*vit_xz^2</f>
        <v>32.1868492341778</v>
      </c>
      <c r="Y433" s="401" t="str">
        <f aca="false">IF(AND(pos_z&lt;=0,K432&gt;0),"Impact balistique","") &amp; IF(AND(H434&lt;0,vit_z&gt;=0),"Apogée","") &amp; IF(AND(Poussee=0,Q432&gt;0),"Fin de propulsion","") &amp; IF(AND(L434&gt;L_rampe,pos_xz&lt;=L_rampe),"Sortie de rampe","")</f>
        <v/>
      </c>
      <c r="Z433" s="402" t="str">
        <f aca="false">IF(ABS(t-T_para)&lt;pas/2,"Para","")</f>
        <v/>
      </c>
      <c r="AA433" s="403" t="str">
        <f aca="false">IF(ABS(t-T_satellite)&lt;pas/2,"Satellite","")</f>
        <v/>
      </c>
      <c r="AC433" s="399" t="e">
        <f aca="false">IF(ABS(t-ROUND(t,0))&lt;0.001,t,NA())</f>
        <v>#N/A</v>
      </c>
      <c r="AD433" s="404" t="e">
        <f aca="false">IF(ABS(t-ROUND(t,0))&lt;0.001,pos_x,NA())</f>
        <v>#N/A</v>
      </c>
      <c r="AE433" s="405" t="e">
        <f aca="false">IF(t&lt;T_para, pos_z, NA())</f>
        <v>#N/A</v>
      </c>
      <c r="AG433" s="396" t="n">
        <f aca="false">IF(AND(L432&lt;L_rampe,Poussee&lt;Poids*SIN(M432)),0,(-W432+Poussee)/m-Poids*SIN(M432)/m)</f>
        <v>5.86024634131</v>
      </c>
      <c r="AH433" s="397" t="n">
        <f aca="false">IF(AND(L432&lt;L_rampe,Poussee&lt;Poids*SIN(M432)), g*SIN(M432), (-W432+Poussee)/m)</f>
        <v>-3.75454917814851</v>
      </c>
    </row>
    <row r="434" customFormat="false" ht="12.75" hidden="false" customHeight="false" outlineLevel="0" collapsed="false">
      <c r="A434" s="396" t="n">
        <f aca="false">IF(B433+0.01&lt;=T_ini+ROUNDUP(Temps_fin_propu,0), 0.01, IF(K433&gt;0, 0.1, 0.0001))</f>
        <v>0.1</v>
      </c>
      <c r="B434" s="397" t="n">
        <f aca="false">B433+pas</f>
        <v>25.0000000000001</v>
      </c>
      <c r="D434" s="396" t="n">
        <f aca="false">IF(AND(L433&lt;L_rampe,Poussee&lt;Poids*SIN(M433)),0,(-W433+Poussee)/m*COS(M433)-U433/m*SIN(M433))</f>
        <v>-0.747703617832019</v>
      </c>
      <c r="E434" s="398" t="n">
        <f aca="false">IF(AND(L433&lt;L_rampe,Poussee&lt;Poids*SIN(M433)),0,(-W433+Poussee)/m*SIN(M433)+U433/m*COS(M433)-Poids/m)</f>
        <v>-6.07501126518726</v>
      </c>
      <c r="F434" s="397" t="n">
        <f aca="false">SQRT(acc_x^2+acc_z^2)</f>
        <v>6.12085145811195</v>
      </c>
      <c r="G434" s="396" t="n">
        <f aca="false">G433+acc_x*pas</f>
        <v>16.9363852057044</v>
      </c>
      <c r="H434" s="398" t="n">
        <f aca="false">H433+acc_z*pas</f>
        <v>-85.5829819125264</v>
      </c>
      <c r="I434" s="397" t="n">
        <f aca="false">SQRT(vit_x^2+vit_z^2)</f>
        <v>87.2426956075741</v>
      </c>
      <c r="J434" s="396" t="n">
        <f aca="false">J433+0.5*(vit_x+G433)*pas*(K433&gt;=0)</f>
        <v>590.094048059015</v>
      </c>
      <c r="K434" s="398" t="n">
        <f aca="false">K433+0.5*(vit_z+H433)*pas</f>
        <v>719.627037759474</v>
      </c>
      <c r="L434" s="397" t="n">
        <f aca="false">SQRT(pos_x^2+pos_z^2)</f>
        <v>930.631000466431</v>
      </c>
      <c r="M434" s="396" t="n">
        <f aca="false">IF(AND(L433&gt;L_rampe,G434&gt;0),ATAN2(G434,H434),$M$4)</f>
        <v>-1.37542628572475</v>
      </c>
      <c r="N434" s="397" t="n">
        <f aca="false">DEGREES(Beta)</f>
        <v>-78.806121203383</v>
      </c>
      <c r="P434" s="399" t="n">
        <f aca="false">MATCH(t-pas/2-T_ini,CdP_t)</f>
        <v>23</v>
      </c>
      <c r="Q434" s="397" t="n">
        <f aca="false">(INDEX(CdP,2,i_P+1)-INDEX(CdP,2,i_P+0))/(INDEX(CdP,1,i_P+1)-INDEX(CdP,1,i_P+0))*(t-pas/2-T_ini-INDEX(CdP,1,i_P+0))+INDEX(CdP,2,i_P+0)</f>
        <v>0</v>
      </c>
      <c r="R434" s="396" t="n">
        <f aca="false">Poussee/(g*ISP)</f>
        <v>0</v>
      </c>
      <c r="S434" s="398" t="n">
        <f aca="false">S433-Débit*pas</f>
        <v>8.45</v>
      </c>
      <c r="T434" s="397" t="n">
        <f aca="false">m*g</f>
        <v>82.8945</v>
      </c>
      <c r="U434" s="400" t="n">
        <f aca="false">IF(pos_xz&lt;L_rampe,Poids*COS(Beta),0)</f>
        <v>0</v>
      </c>
      <c r="V434" s="396" t="n">
        <f aca="false">Rho_moyen*(20000-Alt_rampe-pos_z)/(20000+Alt_rampe+pos_z)</f>
        <v>1.13990743345439</v>
      </c>
      <c r="W434" s="397" t="n">
        <f aca="false">1/2*Rho*Sref*Cx*vit_xz^2</f>
        <v>32.6479024628322</v>
      </c>
      <c r="Y434" s="401" t="str">
        <f aca="false">IF(AND(pos_z&lt;=0,K433&gt;0),"Impact balistique","") &amp; IF(AND(H435&lt;0,vit_z&gt;=0),"Apogée","") &amp; IF(AND(Poussee=0,Q433&gt;0),"Fin de propulsion","") &amp; IF(AND(L435&gt;L_rampe,pos_xz&lt;=L_rampe),"Sortie de rampe","")</f>
        <v/>
      </c>
      <c r="Z434" s="402" t="str">
        <f aca="false">IF(ABS(t-T_para)&lt;pas/2,"Para","")</f>
        <v/>
      </c>
      <c r="AA434" s="403" t="str">
        <f aca="false">IF(ABS(t-T_satellite)&lt;pas/2,"Satellite","")</f>
        <v/>
      </c>
      <c r="AC434" s="399" t="n">
        <f aca="false">IF(ABS(t-ROUND(t,0))&lt;0.001,t,NA())</f>
        <v>25.0000000000001</v>
      </c>
      <c r="AD434" s="404" t="n">
        <f aca="false">IF(ABS(t-ROUND(t,0))&lt;0.001,pos_x,NA())</f>
        <v>590.094048059015</v>
      </c>
      <c r="AE434" s="405" t="e">
        <f aca="false">IF(t&lt;T_para, pos_z, NA())</f>
        <v>#N/A</v>
      </c>
      <c r="AG434" s="396" t="n">
        <f aca="false">IF(AND(L433&lt;L_rampe,Poussee&lt;Poids*SIN(M433)),0,(-W433+Poussee)/m-Poids*SIN(M433)/m)</f>
        <v>5.81005208760225</v>
      </c>
      <c r="AH434" s="397" t="n">
        <f aca="false">IF(AND(L433&lt;L_rampe,Poussee&lt;Poids*SIN(M433)), g*SIN(M433), (-W433+Poussee)/m)</f>
        <v>-3.80909458392637</v>
      </c>
    </row>
    <row r="435" customFormat="false" ht="12.75" hidden="false" customHeight="false" outlineLevel="0" collapsed="false">
      <c r="A435" s="396" t="n">
        <f aca="false">IF(B434+0.01&lt;=T_ini+ROUNDUP(Temps_fin_propu,0), 0.01, IF(K434&gt;0, 0.1, 0.0001))</f>
        <v>0.1</v>
      </c>
      <c r="B435" s="397" t="n">
        <f aca="false">B434+pas</f>
        <v>25.1000000000001</v>
      </c>
      <c r="D435" s="396" t="n">
        <f aca="false">IF(AND(L434&lt;L_rampe,Poussee&lt;Poids*SIN(M434)),0,(-W434+Poussee)/m*COS(M434)-U434/m*SIN(M434))</f>
        <v>-0.750050011959964</v>
      </c>
      <c r="E435" s="398" t="n">
        <f aca="false">IF(AND(L434&lt;L_rampe,Poussee&lt;Poids*SIN(M434)),0,(-W434+Poussee)/m*SIN(M434)+U434/m*COS(M434)-Poids/m)</f>
        <v>-6.0198454996501</v>
      </c>
      <c r="F435" s="397" t="n">
        <f aca="false">SQRT(acc_x^2+acc_z^2)</f>
        <v>6.06639224416776</v>
      </c>
      <c r="G435" s="396" t="n">
        <f aca="false">G434+acc_x*pas</f>
        <v>16.8613802045084</v>
      </c>
      <c r="H435" s="398" t="n">
        <f aca="false">H434+acc_z*pas</f>
        <v>-86.1849664624914</v>
      </c>
      <c r="I435" s="397" t="n">
        <f aca="false">SQRT(vit_x^2+vit_z^2)</f>
        <v>87.8188737489941</v>
      </c>
      <c r="J435" s="396" t="n">
        <f aca="false">J434+0.5*(vit_x+G434)*pas*(K434&gt;=0)</f>
        <v>591.783936329525</v>
      </c>
      <c r="K435" s="398" t="n">
        <f aca="false">K434+0.5*(vit_z+H434)*pas</f>
        <v>711.038640340723</v>
      </c>
      <c r="L435" s="397" t="n">
        <f aca="false">SQRT(pos_x^2+pos_z^2)</f>
        <v>925.086036731315</v>
      </c>
      <c r="M435" s="396" t="n">
        <f aca="false">IF(AND(L434&gt;L_rampe,G435&gt;0),ATAN2(G435,H435),$M$4)</f>
        <v>-1.37759485415781</v>
      </c>
      <c r="N435" s="397" t="n">
        <f aca="false">DEGREES(Beta)</f>
        <v>-78.9303710221827</v>
      </c>
      <c r="P435" s="399" t="n">
        <f aca="false">MATCH(t-pas/2-T_ini,CdP_t)</f>
        <v>23</v>
      </c>
      <c r="Q435" s="397" t="n">
        <f aca="false">(INDEX(CdP,2,i_P+1)-INDEX(CdP,2,i_P+0))/(INDEX(CdP,1,i_P+1)-INDEX(CdP,1,i_P+0))*(t-pas/2-T_ini-INDEX(CdP,1,i_P+0))+INDEX(CdP,2,i_P+0)</f>
        <v>0</v>
      </c>
      <c r="R435" s="396" t="n">
        <f aca="false">Poussee/(g*ISP)</f>
        <v>0</v>
      </c>
      <c r="S435" s="398" t="n">
        <f aca="false">S434-Débit*pas</f>
        <v>8.45</v>
      </c>
      <c r="T435" s="397" t="n">
        <f aca="false">m*g</f>
        <v>82.8945</v>
      </c>
      <c r="U435" s="400" t="n">
        <f aca="false">IF(pos_xz&lt;L_rampe,Poids*COS(Beta),0)</f>
        <v>0</v>
      </c>
      <c r="V435" s="396" t="n">
        <f aca="false">Rho_moyen*(20000-Alt_rampe-pos_z)/(20000+Alt_rampe+pos_z)</f>
        <v>1.14088810686483</v>
      </c>
      <c r="W435" s="397" t="n">
        <f aca="false">1/2*Rho*Sref*Cx*vit_xz^2</f>
        <v>33.1090199795281</v>
      </c>
      <c r="Y435" s="401" t="str">
        <f aca="false">IF(AND(pos_z&lt;=0,K434&gt;0),"Impact balistique","") &amp; IF(AND(H436&lt;0,vit_z&gt;=0),"Apogée","") &amp; IF(AND(Poussee=0,Q434&gt;0),"Fin de propulsion","") &amp; IF(AND(L436&gt;L_rampe,pos_xz&lt;=L_rampe),"Sortie de rampe","")</f>
        <v/>
      </c>
      <c r="Z435" s="402" t="str">
        <f aca="false">IF(ABS(t-T_para)&lt;pas/2,"Para","")</f>
        <v/>
      </c>
      <c r="AA435" s="403" t="str">
        <f aca="false">IF(ABS(t-T_satellite)&lt;pas/2,"Satellite","")</f>
        <v/>
      </c>
      <c r="AC435" s="399" t="e">
        <f aca="false">IF(ABS(t-ROUND(t,0))&lt;0.001,t,NA())</f>
        <v>#N/A</v>
      </c>
      <c r="AD435" s="404" t="e">
        <f aca="false">IF(ABS(t-ROUND(t,0))&lt;0.001,pos_x,NA())</f>
        <v>#N/A</v>
      </c>
      <c r="AE435" s="405" t="e">
        <f aca="false">IF(t&lt;T_para, pos_z, NA())</f>
        <v>#N/A</v>
      </c>
      <c r="AG435" s="396" t="n">
        <f aca="false">IF(AND(L434&lt;L_rampe,Poussee&lt;Poids*SIN(M434)),0,(-W434+Poussee)/m-Poids*SIN(M434)/m)</f>
        <v>5.75971649072976</v>
      </c>
      <c r="AH435" s="397" t="n">
        <f aca="false">IF(AND(L434&lt;L_rampe,Poussee&lt;Poids*SIN(M434)), g*SIN(M434), (-W434+Poussee)/m)</f>
        <v>-3.86365709619316</v>
      </c>
    </row>
    <row r="436" customFormat="false" ht="12.75" hidden="false" customHeight="false" outlineLevel="0" collapsed="false">
      <c r="A436" s="396" t="n">
        <f aca="false">IF(B435+0.01&lt;=T_ini+ROUNDUP(Temps_fin_propu,0), 0.01, IF(K435&gt;0, 0.1, 0.0001))</f>
        <v>0.1</v>
      </c>
      <c r="B436" s="397" t="n">
        <f aca="false">B435+pas</f>
        <v>25.2000000000001</v>
      </c>
      <c r="D436" s="396" t="n">
        <f aca="false">IF(AND(L435&lt;L_rampe,Poussee&lt;Poids*SIN(M435)),0,(-W435+Poussee)/m*COS(M435)-U435/m*SIN(M435))</f>
        <v>-0.752306605685904</v>
      </c>
      <c r="E436" s="398" t="n">
        <f aca="false">IF(AND(L435&lt;L_rampe,Poussee&lt;Poids*SIN(M435)),0,(-W435+Poussee)/m*SIN(M435)+U435/m*COS(M435)-Poids/m)</f>
        <v>-5.96467305794965</v>
      </c>
      <c r="F436" s="397" t="n">
        <f aca="false">SQRT(acc_x^2+acc_z^2)</f>
        <v>6.01192896807581</v>
      </c>
      <c r="G436" s="396" t="n">
        <f aca="false">G435+acc_x*pas</f>
        <v>16.7861495439398</v>
      </c>
      <c r="H436" s="398" t="n">
        <f aca="false">H435+acc_z*pas</f>
        <v>-86.7814337682864</v>
      </c>
      <c r="I436" s="397" t="n">
        <f aca="false">SQRT(vit_x^2+vit_z^2)</f>
        <v>88.389999792912</v>
      </c>
      <c r="J436" s="396" t="n">
        <f aca="false">J435+0.5*(vit_x+G435)*pas*(K435&gt;=0)</f>
        <v>593.466312816948</v>
      </c>
      <c r="K436" s="398" t="n">
        <f aca="false">K435+0.5*(vit_z+H435)*pas</f>
        <v>702.390320329184</v>
      </c>
      <c r="L436" s="397" t="n">
        <f aca="false">SQRT(pos_x^2+pos_z^2)</f>
        <v>919.540334374016</v>
      </c>
      <c r="M436" s="396" t="n">
        <f aca="false">IF(AND(L435&gt;L_rampe,G436&gt;0),ATAN2(G436,H436),$M$4)</f>
        <v>-1.37972579533431</v>
      </c>
      <c r="N436" s="397" t="n">
        <f aca="false">DEGREES(Beta)</f>
        <v>-79.0524649579868</v>
      </c>
      <c r="P436" s="399" t="n">
        <f aca="false">MATCH(t-pas/2-T_ini,CdP_t)</f>
        <v>23</v>
      </c>
      <c r="Q436" s="397" t="n">
        <f aca="false">(INDEX(CdP,2,i_P+1)-INDEX(CdP,2,i_P+0))/(INDEX(CdP,1,i_P+1)-INDEX(CdP,1,i_P+0))*(t-pas/2-T_ini-INDEX(CdP,1,i_P+0))+INDEX(CdP,2,i_P+0)</f>
        <v>0</v>
      </c>
      <c r="R436" s="396" t="n">
        <f aca="false">Poussee/(g*ISP)</f>
        <v>0</v>
      </c>
      <c r="S436" s="398" t="n">
        <f aca="false">S435-Débit*pas</f>
        <v>8.45</v>
      </c>
      <c r="T436" s="397" t="n">
        <f aca="false">m*g</f>
        <v>82.8945</v>
      </c>
      <c r="U436" s="400" t="n">
        <f aca="false">IF(pos_xz&lt;L_rampe,Poids*COS(Beta),0)</f>
        <v>0</v>
      </c>
      <c r="V436" s="396" t="n">
        <f aca="false">Rho_moyen*(20000-Alt_rampe-pos_z)/(20000+Alt_rampe+pos_z)</f>
        <v>1.14187644478828</v>
      </c>
      <c r="W436" s="397" t="n">
        <f aca="false">1/2*Rho*Sref*Cx*vit_xz^2</f>
        <v>33.5701225590159</v>
      </c>
      <c r="Y436" s="401" t="str">
        <f aca="false">IF(AND(pos_z&lt;=0,K435&gt;0),"Impact balistique","") &amp; IF(AND(H437&lt;0,vit_z&gt;=0),"Apogée","") &amp; IF(AND(Poussee=0,Q435&gt;0),"Fin de propulsion","") &amp; IF(AND(L437&gt;L_rampe,pos_xz&lt;=L_rampe),"Sortie de rampe","")</f>
        <v/>
      </c>
      <c r="Z436" s="402" t="str">
        <f aca="false">IF(ABS(t-T_para)&lt;pas/2,"Para","")</f>
        <v/>
      </c>
      <c r="AA436" s="403" t="str">
        <f aca="false">IF(ABS(t-T_satellite)&lt;pas/2,"Satellite","")</f>
        <v/>
      </c>
      <c r="AC436" s="399" t="e">
        <f aca="false">IF(ABS(t-ROUND(t,0))&lt;0.001,t,NA())</f>
        <v>#N/A</v>
      </c>
      <c r="AD436" s="404" t="e">
        <f aca="false">IF(ABS(t-ROUND(t,0))&lt;0.001,pos_x,NA())</f>
        <v>#N/A</v>
      </c>
      <c r="AE436" s="405" t="e">
        <f aca="false">IF(t&lt;T_para, pos_z, NA())</f>
        <v>#N/A</v>
      </c>
      <c r="AG436" s="396" t="n">
        <f aca="false">IF(AND(L435&lt;L_rampe,Poussee&lt;Poids*SIN(M435)),0,(-W435+Poussee)/m-Poids*SIN(M435)/m)</f>
        <v>5.70925358463763</v>
      </c>
      <c r="AH436" s="397" t="n">
        <f aca="false">IF(AND(L435&lt;L_rampe,Poussee&lt;Poids*SIN(M435)), g*SIN(M435), (-W435+Poussee)/m)</f>
        <v>-3.9182272165122</v>
      </c>
    </row>
    <row r="437" customFormat="false" ht="12.75" hidden="false" customHeight="false" outlineLevel="0" collapsed="false">
      <c r="A437" s="396" t="n">
        <f aca="false">IF(B436+0.01&lt;=T_ini+ROUNDUP(Temps_fin_propu,0), 0.01, IF(K436&gt;0, 0.1, 0.0001))</f>
        <v>0.1</v>
      </c>
      <c r="B437" s="397" t="n">
        <f aca="false">B436+pas</f>
        <v>25.3000000000001</v>
      </c>
      <c r="D437" s="396" t="n">
        <f aca="false">IF(AND(L436&lt;L_rampe,Poussee&lt;Poids*SIN(M436)),0,(-W436+Poussee)/m*COS(M436)-U436/m*SIN(M436))</f>
        <v>-0.754473817025643</v>
      </c>
      <c r="E437" s="398" t="n">
        <f aca="false">IF(AND(L436&lt;L_rampe,Poussee&lt;Poids*SIN(M436)),0,(-W436+Poussee)/m*SIN(M436)+U436/m*COS(M436)-Poids/m)</f>
        <v>-5.90950337861997</v>
      </c>
      <c r="F437" s="397" t="n">
        <f aca="false">SQRT(acc_x^2+acc_z^2)</f>
        <v>5.95747101734437</v>
      </c>
      <c r="G437" s="396" t="n">
        <f aca="false">G436+acc_x*pas</f>
        <v>16.7107021622372</v>
      </c>
      <c r="H437" s="398" t="n">
        <f aca="false">H436+acc_z*pas</f>
        <v>-87.3723841061484</v>
      </c>
      <c r="I437" s="397" t="n">
        <f aca="false">SQRT(vit_x^2+vit_z^2)</f>
        <v>88.9560625879278</v>
      </c>
      <c r="J437" s="396" t="n">
        <f aca="false">J436+0.5*(vit_x+G436)*pas*(K436&gt;=0)</f>
        <v>595.141155402257</v>
      </c>
      <c r="K437" s="398" t="n">
        <f aca="false">K436+0.5*(vit_z+H436)*pas</f>
        <v>693.682629435462</v>
      </c>
      <c r="L437" s="397" t="n">
        <f aca="false">SQRT(pos_x^2+pos_z^2)</f>
        <v>913.995943773292</v>
      </c>
      <c r="M437" s="396" t="n">
        <f aca="false">IF(AND(L436&gt;L_rampe,G437&gt;0),ATAN2(G437,H437),$M$4)</f>
        <v>-1.38182010900725</v>
      </c>
      <c r="N437" s="397" t="n">
        <f aca="false">DEGREES(Beta)</f>
        <v>-79.1724602924227</v>
      </c>
      <c r="P437" s="399" t="n">
        <f aca="false">MATCH(t-pas/2-T_ini,CdP_t)</f>
        <v>23</v>
      </c>
      <c r="Q437" s="397" t="n">
        <f aca="false">(INDEX(CdP,2,i_P+1)-INDEX(CdP,2,i_P+0))/(INDEX(CdP,1,i_P+1)-INDEX(CdP,1,i_P+0))*(t-pas/2-T_ini-INDEX(CdP,1,i_P+0))+INDEX(CdP,2,i_P+0)</f>
        <v>0</v>
      </c>
      <c r="R437" s="396" t="n">
        <f aca="false">Poussee/(g*ISP)</f>
        <v>0</v>
      </c>
      <c r="S437" s="398" t="n">
        <f aca="false">S436-Débit*pas</f>
        <v>8.45</v>
      </c>
      <c r="T437" s="397" t="n">
        <f aca="false">m*g</f>
        <v>82.8945</v>
      </c>
      <c r="U437" s="400" t="n">
        <f aca="false">IF(pos_xz&lt;L_rampe,Poids*COS(Beta),0)</f>
        <v>0</v>
      </c>
      <c r="V437" s="396" t="n">
        <f aca="false">Rho_moyen*(20000-Alt_rampe-pos_z)/(20000+Alt_rampe+pos_z)</f>
        <v>1.14287240229057</v>
      </c>
      <c r="W437" s="397" t="n">
        <f aca="false">1/2*Rho*Sref*Cx*vit_xz^2</f>
        <v>34.0311320290183</v>
      </c>
      <c r="Y437" s="401" t="str">
        <f aca="false">IF(AND(pos_z&lt;=0,K436&gt;0),"Impact balistique","") &amp; IF(AND(H438&lt;0,vit_z&gt;=0),"Apogée","") &amp; IF(AND(Poussee=0,Q436&gt;0),"Fin de propulsion","") &amp; IF(AND(L438&gt;L_rampe,pos_xz&lt;=L_rampe),"Sortie de rampe","")</f>
        <v/>
      </c>
      <c r="Z437" s="402" t="str">
        <f aca="false">IF(ABS(t-T_para)&lt;pas/2,"Para","")</f>
        <v/>
      </c>
      <c r="AA437" s="403" t="str">
        <f aca="false">IF(ABS(t-T_satellite)&lt;pas/2,"Satellite","")</f>
        <v/>
      </c>
      <c r="AC437" s="399" t="e">
        <f aca="false">IF(ABS(t-ROUND(t,0))&lt;0.001,t,NA())</f>
        <v>#N/A</v>
      </c>
      <c r="AD437" s="404" t="e">
        <f aca="false">IF(ABS(t-ROUND(t,0))&lt;0.001,pos_x,NA())</f>
        <v>#N/A</v>
      </c>
      <c r="AE437" s="405" t="e">
        <f aca="false">IF(t&lt;T_para, pos_z, NA())</f>
        <v>#N/A</v>
      </c>
      <c r="AG437" s="396" t="n">
        <f aca="false">IF(AND(L436&lt;L_rampe,Poussee&lt;Poids*SIN(M436)),0,(-W436+Poussee)/m-Poids*SIN(M436)/m)</f>
        <v>5.65867707780788</v>
      </c>
      <c r="AH437" s="397" t="n">
        <f aca="false">IF(AND(L436&lt;L_rampe,Poussee&lt;Poids*SIN(M436)), g*SIN(M436), (-W436+Poussee)/m)</f>
        <v>-3.97279556911431</v>
      </c>
    </row>
    <row r="438" customFormat="false" ht="12.75" hidden="false" customHeight="false" outlineLevel="0" collapsed="false">
      <c r="A438" s="396" t="n">
        <f aca="false">IF(B437+0.01&lt;=T_ini+ROUNDUP(Temps_fin_propu,0), 0.01, IF(K437&gt;0, 0.1, 0.0001))</f>
        <v>0.1</v>
      </c>
      <c r="B438" s="397" t="n">
        <f aca="false">B437+pas</f>
        <v>25.4000000000001</v>
      </c>
      <c r="D438" s="396" t="n">
        <f aca="false">IF(AND(L437&lt;L_rampe,Poussee&lt;Poids*SIN(M437)),0,(-W437+Poussee)/m*COS(M437)-U437/m*SIN(M437))</f>
        <v>-0.756552087667987</v>
      </c>
      <c r="E438" s="398" t="n">
        <f aca="false">IF(AND(L437&lt;L_rampe,Poussee&lt;Poids*SIN(M437)),0,(-W437+Poussee)/m*SIN(M437)+U437/m*COS(M437)-Poids/m)</f>
        <v>-5.85434577564237</v>
      </c>
      <c r="F438" s="397" t="n">
        <f aca="false">SQRT(acc_x^2+acc_z^2)</f>
        <v>5.90302765723967</v>
      </c>
      <c r="G438" s="396" t="n">
        <f aca="false">G437+acc_x*pas</f>
        <v>16.6350469534704</v>
      </c>
      <c r="H438" s="398" t="n">
        <f aca="false">H437+acc_z*pas</f>
        <v>-87.9578186837126</v>
      </c>
      <c r="I438" s="397" t="n">
        <f aca="false">SQRT(vit_x^2+vit_z^2)</f>
        <v>89.5170523126238</v>
      </c>
      <c r="J438" s="396" t="n">
        <f aca="false">J437+0.5*(vit_x+G437)*pas*(K437&gt;=0)</f>
        <v>596.808442858042</v>
      </c>
      <c r="K438" s="398" t="n">
        <f aca="false">K437+0.5*(vit_z+H437)*pas</f>
        <v>684.916119295969</v>
      </c>
      <c r="L438" s="397" t="n">
        <f aca="false">SQRT(pos_x^2+pos_z^2)</f>
        <v>908.454956471751</v>
      </c>
      <c r="M438" s="396" t="n">
        <f aca="false">IF(AND(L437&gt;L_rampe,G438&gt;0),ATAN2(G438,H438),$M$4)</f>
        <v>-1.38387875982069</v>
      </c>
      <c r="N438" s="397" t="n">
        <f aca="false">DEGREES(Beta)</f>
        <v>-79.2904122955242</v>
      </c>
      <c r="P438" s="399" t="n">
        <f aca="false">MATCH(t-pas/2-T_ini,CdP_t)</f>
        <v>23</v>
      </c>
      <c r="Q438" s="397" t="n">
        <f aca="false">(INDEX(CdP,2,i_P+1)-INDEX(CdP,2,i_P+0))/(INDEX(CdP,1,i_P+1)-INDEX(CdP,1,i_P+0))*(t-pas/2-T_ini-INDEX(CdP,1,i_P+0))+INDEX(CdP,2,i_P+0)</f>
        <v>0</v>
      </c>
      <c r="R438" s="396" t="n">
        <f aca="false">Poussee/(g*ISP)</f>
        <v>0</v>
      </c>
      <c r="S438" s="398" t="n">
        <f aca="false">S437-Débit*pas</f>
        <v>8.45</v>
      </c>
      <c r="T438" s="397" t="n">
        <f aca="false">m*g</f>
        <v>82.8945</v>
      </c>
      <c r="U438" s="400" t="n">
        <f aca="false">IF(pos_xz&lt;L_rampe,Poids*COS(Beta),0)</f>
        <v>0</v>
      </c>
      <c r="V438" s="396" t="n">
        <f aca="false">Rho_moyen*(20000-Alt_rampe-pos_z)/(20000+Alt_rampe+pos_z)</f>
        <v>1.14387593439599</v>
      </c>
      <c r="W438" s="397" t="n">
        <f aca="false">1/2*Rho*Sref*Cx*vit_xz^2</f>
        <v>34.4919712857923</v>
      </c>
      <c r="Y438" s="401" t="str">
        <f aca="false">IF(AND(pos_z&lt;=0,K437&gt;0),"Impact balistique","") &amp; IF(AND(H439&lt;0,vit_z&gt;=0),"Apogée","") &amp; IF(AND(Poussee=0,Q437&gt;0),"Fin de propulsion","") &amp; IF(AND(L439&gt;L_rampe,pos_xz&lt;=L_rampe),"Sortie de rampe","")</f>
        <v/>
      </c>
      <c r="Z438" s="402" t="str">
        <f aca="false">IF(ABS(t-T_para)&lt;pas/2,"Para","")</f>
        <v/>
      </c>
      <c r="AA438" s="403" t="str">
        <f aca="false">IF(ABS(t-T_satellite)&lt;pas/2,"Satellite","")</f>
        <v/>
      </c>
      <c r="AC438" s="399" t="e">
        <f aca="false">IF(ABS(t-ROUND(t,0))&lt;0.001,t,NA())</f>
        <v>#N/A</v>
      </c>
      <c r="AD438" s="404" t="e">
        <f aca="false">IF(ABS(t-ROUND(t,0))&lt;0.001,pos_x,NA())</f>
        <v>#N/A</v>
      </c>
      <c r="AE438" s="405" t="e">
        <f aca="false">IF(t&lt;T_para, pos_z, NA())</f>
        <v>#N/A</v>
      </c>
      <c r="AG438" s="396" t="n">
        <f aca="false">IF(AND(L437&lt;L_rampe,Poussee&lt;Poids*SIN(M437)),0,(-W437+Poussee)/m-Poids*SIN(M437)/m)</f>
        <v>5.60800036196852</v>
      </c>
      <c r="AH438" s="397" t="n">
        <f aca="false">IF(AND(L437&lt;L_rampe,Poussee&lt;Poids*SIN(M437)), g*SIN(M437), (-W437+Poussee)/m)</f>
        <v>-4.02735290284241</v>
      </c>
    </row>
    <row r="439" customFormat="false" ht="12.75" hidden="false" customHeight="false" outlineLevel="0" collapsed="false">
      <c r="A439" s="396" t="n">
        <f aca="false">IF(B438+0.01&lt;=T_ini+ROUNDUP(Temps_fin_propu,0), 0.01, IF(K438&gt;0, 0.1, 0.0001))</f>
        <v>0.1</v>
      </c>
      <c r="B439" s="397" t="n">
        <f aca="false">B438+pas</f>
        <v>25.5000000000001</v>
      </c>
      <c r="D439" s="396" t="n">
        <f aca="false">IF(AND(L438&lt;L_rampe,Poussee&lt;Poids*SIN(M438)),0,(-W438+Poussee)/m*COS(M438)-U438/m*SIN(M438))</f>
        <v>-0.758541882262933</v>
      </c>
      <c r="E439" s="398" t="n">
        <f aca="false">IF(AND(L438&lt;L_rampe,Poussee&lt;Poids*SIN(M438)),0,(-W438+Poussee)/m*SIN(M438)+U438/m*COS(M438)-Poids/m)</f>
        <v>-5.79920943651644</v>
      </c>
      <c r="F439" s="397" t="n">
        <f aca="false">SQRT(acc_x^2+acc_z^2)</f>
        <v>5.84860802890126</v>
      </c>
      <c r="G439" s="396" t="n">
        <f aca="false">G438+acc_x*pas</f>
        <v>16.5591927652441</v>
      </c>
      <c r="H439" s="398" t="n">
        <f aca="false">H438+acc_z*pas</f>
        <v>-88.5377396273643</v>
      </c>
      <c r="I439" s="397" t="n">
        <f aca="false">SQRT(vit_x^2+vit_z^2)</f>
        <v>90.0729604451828</v>
      </c>
      <c r="J439" s="396" t="n">
        <f aca="false">J438+0.5*(vit_x+G438)*pas*(K438&gt;=0)</f>
        <v>598.468154843978</v>
      </c>
      <c r="K439" s="398" t="n">
        <f aca="false">K438+0.5*(vit_z+H438)*pas</f>
        <v>676.091341380416</v>
      </c>
      <c r="L439" s="397" t="n">
        <f aca="false">SQRT(pos_x^2+pos_z^2)</f>
        <v>902.919505964914</v>
      </c>
      <c r="M439" s="396" t="n">
        <f aca="false">IF(AND(L438&gt;L_rampe,G439&gt;0),ATAN2(G439,H439),$M$4)</f>
        <v>-1.38590267880887</v>
      </c>
      <c r="N439" s="397" t="n">
        <f aca="false">DEGREES(Beta)</f>
        <v>-79.406374311623</v>
      </c>
      <c r="P439" s="399" t="n">
        <f aca="false">MATCH(t-pas/2-T_ini,CdP_t)</f>
        <v>23</v>
      </c>
      <c r="Q439" s="397" t="n">
        <f aca="false">(INDEX(CdP,2,i_P+1)-INDEX(CdP,2,i_P+0))/(INDEX(CdP,1,i_P+1)-INDEX(CdP,1,i_P+0))*(t-pas/2-T_ini-INDEX(CdP,1,i_P+0))+INDEX(CdP,2,i_P+0)</f>
        <v>0</v>
      </c>
      <c r="R439" s="396" t="n">
        <f aca="false">Poussee/(g*ISP)</f>
        <v>0</v>
      </c>
      <c r="S439" s="398" t="n">
        <f aca="false">S438-Débit*pas</f>
        <v>8.45</v>
      </c>
      <c r="T439" s="397" t="n">
        <f aca="false">m*g</f>
        <v>82.8945</v>
      </c>
      <c r="U439" s="400" t="n">
        <f aca="false">IF(pos_xz&lt;L_rampe,Poids*COS(Beta),0)</f>
        <v>0</v>
      </c>
      <c r="V439" s="396" t="n">
        <f aca="false">Rho_moyen*(20000-Alt_rampe-pos_z)/(20000+Alt_rampe+pos_z)</f>
        <v>1.14488699609452</v>
      </c>
      <c r="W439" s="397" t="n">
        <f aca="false">1/2*Rho*Sref*Cx*vit_xz^2</f>
        <v>34.9525643088247</v>
      </c>
      <c r="Y439" s="401" t="str">
        <f aca="false">IF(AND(pos_z&lt;=0,K438&gt;0),"Impact balistique","") &amp; IF(AND(H440&lt;0,vit_z&gt;=0),"Apogée","") &amp; IF(AND(Poussee=0,Q438&gt;0),"Fin de propulsion","") &amp; IF(AND(L440&gt;L_rampe,pos_xz&lt;=L_rampe),"Sortie de rampe","")</f>
        <v/>
      </c>
      <c r="Z439" s="402" t="str">
        <f aca="false">IF(ABS(t-T_para)&lt;pas/2,"Para","")</f>
        <v/>
      </c>
      <c r="AA439" s="403" t="str">
        <f aca="false">IF(ABS(t-T_satellite)&lt;pas/2,"Satellite","")</f>
        <v/>
      </c>
      <c r="AC439" s="399" t="e">
        <f aca="false">IF(ABS(t-ROUND(t,0))&lt;0.001,t,NA())</f>
        <v>#N/A</v>
      </c>
      <c r="AD439" s="404" t="e">
        <f aca="false">IF(ABS(t-ROUND(t,0))&lt;0.001,pos_x,NA())</f>
        <v>#N/A</v>
      </c>
      <c r="AE439" s="405" t="e">
        <f aca="false">IF(t&lt;T_para, pos_z, NA())</f>
        <v>#N/A</v>
      </c>
      <c r="AG439" s="396" t="n">
        <f aca="false">IF(AND(L438&lt;L_rampe,Poussee&lt;Poids*SIN(M438)),0,(-W438+Poussee)/m-Poids*SIN(M438)/m)</f>
        <v>5.55723652026706</v>
      </c>
      <c r="AH439" s="397" t="n">
        <f aca="false">IF(AND(L438&lt;L_rampe,Poussee&lt;Poids*SIN(M438)), g*SIN(M438), (-W438+Poussee)/m)</f>
        <v>-4.08189009299317</v>
      </c>
    </row>
    <row r="440" customFormat="false" ht="12.75" hidden="false" customHeight="false" outlineLevel="0" collapsed="false">
      <c r="A440" s="396" t="n">
        <f aca="false">IF(B439+0.01&lt;=T_ini+ROUNDUP(Temps_fin_propu,0), 0.01, IF(K439&gt;0, 0.1, 0.0001))</f>
        <v>0.1</v>
      </c>
      <c r="B440" s="397" t="n">
        <f aca="false">B439+pas</f>
        <v>25.6000000000001</v>
      </c>
      <c r="D440" s="396" t="n">
        <f aca="false">IF(AND(L439&lt;L_rampe,Poussee&lt;Poids*SIN(M439)),0,(-W439+Poussee)/m*COS(M439)-U439/m*SIN(M439))</f>
        <v>-0.760443687718586</v>
      </c>
      <c r="E440" s="398" t="n">
        <f aca="false">IF(AND(L439&lt;L_rampe,Poussee&lt;Poids*SIN(M439)),0,(-W439+Poussee)/m*SIN(M439)+U439/m*COS(M439)-Poids/m)</f>
        <v>-5.74410342043879</v>
      </c>
      <c r="F440" s="397" t="n">
        <f aca="false">SQRT(acc_x^2+acc_z^2)</f>
        <v>5.79422114756484</v>
      </c>
      <c r="G440" s="396" t="n">
        <f aca="false">G439+acc_x*pas</f>
        <v>16.4831483964723</v>
      </c>
      <c r="H440" s="398" t="n">
        <f aca="false">H439+acc_z*pas</f>
        <v>-89.1121499694081</v>
      </c>
      <c r="I440" s="397" t="n">
        <f aca="false">SQRT(vit_x^2+vit_z^2)</f>
        <v>90.6237797337455</v>
      </c>
      <c r="J440" s="396" t="n">
        <f aca="false">J439+0.5*(vit_x+G439)*pas*(K439&gt;=0)</f>
        <v>600.120271902064</v>
      </c>
      <c r="K440" s="398" t="n">
        <f aca="false">K439+0.5*(vit_z+H439)*pas</f>
        <v>667.208846900577</v>
      </c>
      <c r="L440" s="397" t="n">
        <f aca="false">SQRT(pos_x^2+pos_z^2)</f>
        <v>897.391768476959</v>
      </c>
      <c r="M440" s="396" t="n">
        <f aca="false">IF(AND(L439&gt;L_rampe,G440&gt;0),ATAN2(G440,H440),$M$4)</f>
        <v>-1.38789276482053</v>
      </c>
      <c r="N440" s="397" t="n">
        <f aca="false">DEGREES(Beta)</f>
        <v>-79.5203978409594</v>
      </c>
      <c r="P440" s="399" t="n">
        <f aca="false">MATCH(t-pas/2-T_ini,CdP_t)</f>
        <v>23</v>
      </c>
      <c r="Q440" s="397" t="n">
        <f aca="false">(INDEX(CdP,2,i_P+1)-INDEX(CdP,2,i_P+0))/(INDEX(CdP,1,i_P+1)-INDEX(CdP,1,i_P+0))*(t-pas/2-T_ini-INDEX(CdP,1,i_P+0))+INDEX(CdP,2,i_P+0)</f>
        <v>0</v>
      </c>
      <c r="R440" s="396" t="n">
        <f aca="false">Poussee/(g*ISP)</f>
        <v>0</v>
      </c>
      <c r="S440" s="398" t="n">
        <f aca="false">S439-Débit*pas</f>
        <v>8.45</v>
      </c>
      <c r="T440" s="397" t="n">
        <f aca="false">m*g</f>
        <v>82.8945</v>
      </c>
      <c r="U440" s="400" t="n">
        <f aca="false">IF(pos_xz&lt;L_rampe,Poids*COS(Beta),0)</f>
        <v>0</v>
      </c>
      <c r="V440" s="396" t="n">
        <f aca="false">Rho_moyen*(20000-Alt_rampe-pos_z)/(20000+Alt_rampe+pos_z)</f>
        <v>1.14590554234896</v>
      </c>
      <c r="W440" s="397" t="n">
        <f aca="false">1/2*Rho*Sref*Cx*vit_xz^2</f>
        <v>35.41283617467</v>
      </c>
      <c r="Y440" s="401" t="str">
        <f aca="false">IF(AND(pos_z&lt;=0,K439&gt;0),"Impact balistique","") &amp; IF(AND(H441&lt;0,vit_z&gt;=0),"Apogée","") &amp; IF(AND(Poussee=0,Q439&gt;0),"Fin de propulsion","") &amp; IF(AND(L441&gt;L_rampe,pos_xz&lt;=L_rampe),"Sortie de rampe","")</f>
        <v/>
      </c>
      <c r="Z440" s="402" t="str">
        <f aca="false">IF(ABS(t-T_para)&lt;pas/2,"Para","")</f>
        <v/>
      </c>
      <c r="AA440" s="403" t="str">
        <f aca="false">IF(ABS(t-T_satellite)&lt;pas/2,"Satellite","")</f>
        <v/>
      </c>
      <c r="AC440" s="399" t="e">
        <f aca="false">IF(ABS(t-ROUND(t,0))&lt;0.001,t,NA())</f>
        <v>#N/A</v>
      </c>
      <c r="AD440" s="404" t="e">
        <f aca="false">IF(ABS(t-ROUND(t,0))&lt;0.001,pos_x,NA())</f>
        <v>#N/A</v>
      </c>
      <c r="AE440" s="405" t="e">
        <f aca="false">IF(t&lt;T_para, pos_z, NA())</f>
        <v>#N/A</v>
      </c>
      <c r="AG440" s="396" t="n">
        <f aca="false">IF(AND(L439&lt;L_rampe,Poussee&lt;Poids*SIN(M439)),0,(-W439+Poussee)/m-Poids*SIN(M439)/m)</f>
        <v>5.5063983349505</v>
      </c>
      <c r="AH440" s="397" t="n">
        <f aca="false">IF(AND(L439&lt;L_rampe,Poussee&lt;Poids*SIN(M439)), g*SIN(M439), (-W439+Poussee)/m)</f>
        <v>-4.13639814305618</v>
      </c>
    </row>
    <row r="441" customFormat="false" ht="12.75" hidden="false" customHeight="false" outlineLevel="0" collapsed="false">
      <c r="A441" s="396" t="n">
        <f aca="false">IF(B440+0.01&lt;=T_ini+ROUNDUP(Temps_fin_propu,0), 0.01, IF(K440&gt;0, 0.1, 0.0001))</f>
        <v>0.1</v>
      </c>
      <c r="B441" s="397" t="n">
        <f aca="false">B440+pas</f>
        <v>25.7000000000001</v>
      </c>
      <c r="D441" s="396" t="n">
        <f aca="false">IF(AND(L440&lt;L_rampe,Poussee&lt;Poids*SIN(M440)),0,(-W440+Poussee)/m*COS(M440)-U440/m*SIN(M440))</f>
        <v>-0.762258012506659</v>
      </c>
      <c r="E441" s="398" t="n">
        <f aca="false">IF(AND(L440&lt;L_rampe,Poussee&lt;Poids*SIN(M440)),0,(-W440+Poussee)/m*SIN(M440)+U440/m*COS(M440)-Poids/m)</f>
        <v>-5.68903665658837</v>
      </c>
      <c r="F441" s="397" t="n">
        <f aca="false">SQRT(acc_x^2+acc_z^2)</f>
        <v>5.73987590089166</v>
      </c>
      <c r="G441" s="396" t="n">
        <f aca="false">G440+acc_x*pas</f>
        <v>16.4069225952216</v>
      </c>
      <c r="H441" s="398" t="n">
        <f aca="false">H440+acc_z*pas</f>
        <v>-89.681053635067</v>
      </c>
      <c r="I441" s="397" t="n">
        <f aca="false">SQRT(vit_x^2+vit_z^2)</f>
        <v>91.1695041674646</v>
      </c>
      <c r="J441" s="396" t="n">
        <f aca="false">J440+0.5*(vit_x+G440)*pas*(K440&gt;=0)</f>
        <v>601.764775451648</v>
      </c>
      <c r="K441" s="398" t="n">
        <f aca="false">K440+0.5*(vit_z+H440)*pas</f>
        <v>658.269186720353</v>
      </c>
      <c r="L441" s="397" t="n">
        <f aca="false">SQRT(pos_x^2+pos_z^2)</f>
        <v>891.873963719004</v>
      </c>
      <c r="M441" s="396" t="n">
        <f aca="false">IF(AND(L440&gt;L_rampe,G441&gt;0),ATAN2(G441,H441),$M$4)</f>
        <v>-1.38984988587283</v>
      </c>
      <c r="N441" s="397" t="n">
        <f aca="false">DEGREES(Beta)</f>
        <v>-79.632532617252</v>
      </c>
      <c r="P441" s="399" t="n">
        <f aca="false">MATCH(t-pas/2-T_ini,CdP_t)</f>
        <v>23</v>
      </c>
      <c r="Q441" s="397" t="n">
        <f aca="false">(INDEX(CdP,2,i_P+1)-INDEX(CdP,2,i_P+0))/(INDEX(CdP,1,i_P+1)-INDEX(CdP,1,i_P+0))*(t-pas/2-T_ini-INDEX(CdP,1,i_P+0))+INDEX(CdP,2,i_P+0)</f>
        <v>0</v>
      </c>
      <c r="R441" s="396" t="n">
        <f aca="false">Poussee/(g*ISP)</f>
        <v>0</v>
      </c>
      <c r="S441" s="398" t="n">
        <f aca="false">S440-Débit*pas</f>
        <v>8.45</v>
      </c>
      <c r="T441" s="397" t="n">
        <f aca="false">m*g</f>
        <v>82.8945</v>
      </c>
      <c r="U441" s="400" t="n">
        <f aca="false">IF(pos_xz&lt;L_rampe,Poids*COS(Beta),0)</f>
        <v>0</v>
      </c>
      <c r="V441" s="396" t="n">
        <f aca="false">Rho_moyen*(20000-Alt_rampe-pos_z)/(20000+Alt_rampe+pos_z)</f>
        <v>1.146931528102</v>
      </c>
      <c r="W441" s="397" t="n">
        <f aca="false">1/2*Rho*Sref*Cx*vit_xz^2</f>
        <v>35.8727130699348</v>
      </c>
      <c r="Y441" s="401" t="str">
        <f aca="false">IF(AND(pos_z&lt;=0,K440&gt;0),"Impact balistique","") &amp; IF(AND(H442&lt;0,vit_z&gt;=0),"Apogée","") &amp; IF(AND(Poussee=0,Q440&gt;0),"Fin de propulsion","") &amp; IF(AND(L442&gt;L_rampe,pos_xz&lt;=L_rampe),"Sortie de rampe","")</f>
        <v/>
      </c>
      <c r="Z441" s="402" t="str">
        <f aca="false">IF(ABS(t-T_para)&lt;pas/2,"Para","")</f>
        <v/>
      </c>
      <c r="AA441" s="403" t="str">
        <f aca="false">IF(ABS(t-T_satellite)&lt;pas/2,"Satellite","")</f>
        <v/>
      </c>
      <c r="AC441" s="399" t="e">
        <f aca="false">IF(ABS(t-ROUND(t,0))&lt;0.001,t,NA())</f>
        <v>#N/A</v>
      </c>
      <c r="AD441" s="404" t="e">
        <f aca="false">IF(ABS(t-ROUND(t,0))&lt;0.001,pos_x,NA())</f>
        <v>#N/A</v>
      </c>
      <c r="AE441" s="405" t="e">
        <f aca="false">IF(t&lt;T_para, pos_z, NA())</f>
        <v>#N/A</v>
      </c>
      <c r="AG441" s="396" t="n">
        <f aca="false">IF(AND(L440&lt;L_rampe,Poussee&lt;Poids*SIN(M440)),0,(-W440+Poussee)/m-Poids*SIN(M440)/m)</f>
        <v>5.45549829459075</v>
      </c>
      <c r="AH441" s="397" t="n">
        <f aca="false">IF(AND(L440&lt;L_rampe,Poussee&lt;Poids*SIN(M440)), g*SIN(M440), (-W440+Poussee)/m)</f>
        <v>-4.19086818635148</v>
      </c>
    </row>
    <row r="442" customFormat="false" ht="12.75" hidden="false" customHeight="false" outlineLevel="0" collapsed="false">
      <c r="A442" s="396" t="n">
        <f aca="false">IF(B441+0.01&lt;=T_ini+ROUNDUP(Temps_fin_propu,0), 0.01, IF(K441&gt;0, 0.1, 0.0001))</f>
        <v>0.1</v>
      </c>
      <c r="B442" s="397" t="n">
        <f aca="false">B441+pas</f>
        <v>25.8000000000001</v>
      </c>
      <c r="D442" s="396" t="n">
        <f aca="false">IF(AND(L441&lt;L_rampe,Poussee&lt;Poids*SIN(M441)),0,(-W441+Poussee)/m*COS(M441)-U441/m*SIN(M441))</f>
        <v>-0.763985385976347</v>
      </c>
      <c r="E442" s="398" t="n">
        <f aca="false">IF(AND(L441&lt;L_rampe,Poussee&lt;Poids*SIN(M441)),0,(-W441+Poussee)/m*SIN(M441)+U441/m*COS(M441)-Poids/m)</f>
        <v>-5.63401794251735</v>
      </c>
      <c r="F442" s="397" t="n">
        <f aca="false">SQRT(acc_x^2+acc_z^2)</f>
        <v>5.68558104740341</v>
      </c>
      <c r="G442" s="396" t="n">
        <f aca="false">G441+acc_x*pas</f>
        <v>16.330524056624</v>
      </c>
      <c r="H442" s="398" t="n">
        <f aca="false">H441+acc_z*pas</f>
        <v>-90.2444554293187</v>
      </c>
      <c r="I442" s="397" t="n">
        <f aca="false">SQRT(vit_x^2+vit_z^2)</f>
        <v>91.7101289482152</v>
      </c>
      <c r="J442" s="396" t="n">
        <f aca="false">J441+0.5*(vit_x+G441)*pas*(K441&gt;=0)</f>
        <v>603.40164778424</v>
      </c>
      <c r="K442" s="398" t="n">
        <f aca="false">K441+0.5*(vit_z+H441)*pas</f>
        <v>649.272911267134</v>
      </c>
      <c r="L442" s="397" t="n">
        <f aca="false">SQRT(pos_x^2+pos_z^2)</f>
        <v>886.368355625378</v>
      </c>
      <c r="M442" s="396" t="n">
        <f aca="false">IF(AND(L441&gt;L_rampe,G442&gt;0),ATAN2(G442,H442),$M$4)</f>
        <v>-1.39177488043858</v>
      </c>
      <c r="N442" s="397" t="n">
        <f aca="false">DEGREES(Beta)</f>
        <v>-79.7428266814555</v>
      </c>
      <c r="P442" s="399" t="n">
        <f aca="false">MATCH(t-pas/2-T_ini,CdP_t)</f>
        <v>23</v>
      </c>
      <c r="Q442" s="397" t="n">
        <f aca="false">(INDEX(CdP,2,i_P+1)-INDEX(CdP,2,i_P+0))/(INDEX(CdP,1,i_P+1)-INDEX(CdP,1,i_P+0))*(t-pas/2-T_ini-INDEX(CdP,1,i_P+0))+INDEX(CdP,2,i_P+0)</f>
        <v>0</v>
      </c>
      <c r="R442" s="396" t="n">
        <f aca="false">Poussee/(g*ISP)</f>
        <v>0</v>
      </c>
      <c r="S442" s="398" t="n">
        <f aca="false">S441-Débit*pas</f>
        <v>8.45</v>
      </c>
      <c r="T442" s="397" t="n">
        <f aca="false">m*g</f>
        <v>82.8945</v>
      </c>
      <c r="U442" s="400" t="n">
        <f aca="false">IF(pos_xz&lt;L_rampe,Poids*COS(Beta),0)</f>
        <v>0</v>
      </c>
      <c r="V442" s="396" t="n">
        <f aca="false">Rho_moyen*(20000-Alt_rampe-pos_z)/(20000+Alt_rampe+pos_z)</f>
        <v>1.14796490828321</v>
      </c>
      <c r="W442" s="397" t="n">
        <f aca="false">1/2*Rho*Sref*Cx*vit_xz^2</f>
        <v>36.3321223034186</v>
      </c>
      <c r="Y442" s="401" t="str">
        <f aca="false">IF(AND(pos_z&lt;=0,K441&gt;0),"Impact balistique","") &amp; IF(AND(H443&lt;0,vit_z&gt;=0),"Apogée","") &amp; IF(AND(Poussee=0,Q441&gt;0),"Fin de propulsion","") &amp; IF(AND(L443&gt;L_rampe,pos_xz&lt;=L_rampe),"Sortie de rampe","")</f>
        <v/>
      </c>
      <c r="Z442" s="402" t="str">
        <f aca="false">IF(ABS(t-T_para)&lt;pas/2,"Para","")</f>
        <v/>
      </c>
      <c r="AA442" s="403" t="str">
        <f aca="false">IF(ABS(t-T_satellite)&lt;pas/2,"Satellite","")</f>
        <v/>
      </c>
      <c r="AC442" s="399" t="e">
        <f aca="false">IF(ABS(t-ROUND(t,0))&lt;0.001,t,NA())</f>
        <v>#N/A</v>
      </c>
      <c r="AD442" s="404" t="e">
        <f aca="false">IF(ABS(t-ROUND(t,0))&lt;0.001,pos_x,NA())</f>
        <v>#N/A</v>
      </c>
      <c r="AE442" s="405" t="e">
        <f aca="false">IF(t&lt;T_para, pos_z, NA())</f>
        <v>#N/A</v>
      </c>
      <c r="AG442" s="396" t="n">
        <f aca="false">IF(AND(L441&lt;L_rampe,Poussee&lt;Poids*SIN(M441)),0,(-W441+Poussee)/m-Poids*SIN(M441)/m)</f>
        <v>5.4045486008914</v>
      </c>
      <c r="AH442" s="397" t="n">
        <f aca="false">IF(AND(L441&lt;L_rampe,Poussee&lt;Poids*SIN(M441)), g*SIN(M441), (-W441+Poussee)/m)</f>
        <v>-4.24529148756625</v>
      </c>
    </row>
    <row r="443" customFormat="false" ht="12.75" hidden="false" customHeight="false" outlineLevel="0" collapsed="false">
      <c r="A443" s="396" t="n">
        <f aca="false">IF(B442+0.01&lt;=T_ini+ROUNDUP(Temps_fin_propu,0), 0.01, IF(K442&gt;0, 0.1, 0.0001))</f>
        <v>0.1</v>
      </c>
      <c r="B443" s="397" t="n">
        <f aca="false">B442+pas</f>
        <v>25.9000000000001</v>
      </c>
      <c r="D443" s="396" t="n">
        <f aca="false">IF(AND(L442&lt;L_rampe,Poussee&lt;Poids*SIN(M442)),0,(-W442+Poussee)/m*COS(M442)-U442/m*SIN(M442))</f>
        <v>-0.765626357676461</v>
      </c>
      <c r="E443" s="398" t="n">
        <f aca="false">IF(AND(L442&lt;L_rampe,Poussee&lt;Poids*SIN(M442)),0,(-W442+Poussee)/m*SIN(M442)+U442/m*COS(M442)-Poids/m)</f>
        <v>-5.57905594264629</v>
      </c>
      <c r="F443" s="397" t="n">
        <f aca="false">SQRT(acc_x^2+acc_z^2)</f>
        <v>5.63134521502152</v>
      </c>
      <c r="G443" s="396" t="n">
        <f aca="false">G442+acc_x*pas</f>
        <v>16.2539614208563</v>
      </c>
      <c r="H443" s="398" t="n">
        <f aca="false">H442+acc_z*pas</f>
        <v>-90.8023610235833</v>
      </c>
      <c r="I443" s="397" t="n">
        <f aca="false">SQRT(vit_x^2+vit_z^2)</f>
        <v>92.2456504629235</v>
      </c>
      <c r="J443" s="396" t="n">
        <f aca="false">J442+0.5*(vit_x+G442)*pas*(K442&gt;=0)</f>
        <v>605.030872058114</v>
      </c>
      <c r="K443" s="398" t="n">
        <f aca="false">K442+0.5*(vit_z+H442)*pas</f>
        <v>640.220570444489</v>
      </c>
      <c r="L443" s="397" t="n">
        <f aca="false">SQRT(pos_x^2+pos_z^2)</f>
        <v>880.877253062916</v>
      </c>
      <c r="M443" s="396" t="n">
        <f aca="false">IF(AND(L442&gt;L_rampe,G443&gt;0),ATAN2(G443,H443),$M$4)</f>
        <v>-1.39366855867081</v>
      </c>
      <c r="N443" s="397" t="n">
        <f aca="false">DEGREES(Beta)</f>
        <v>-79.8513264519178</v>
      </c>
      <c r="P443" s="399" t="n">
        <f aca="false">MATCH(t-pas/2-T_ini,CdP_t)</f>
        <v>23</v>
      </c>
      <c r="Q443" s="397" t="n">
        <f aca="false">(INDEX(CdP,2,i_P+1)-INDEX(CdP,2,i_P+0))/(INDEX(CdP,1,i_P+1)-INDEX(CdP,1,i_P+0))*(t-pas/2-T_ini-INDEX(CdP,1,i_P+0))+INDEX(CdP,2,i_P+0)</f>
        <v>0</v>
      </c>
      <c r="R443" s="396" t="n">
        <f aca="false">Poussee/(g*ISP)</f>
        <v>0</v>
      </c>
      <c r="S443" s="398" t="n">
        <f aca="false">S442-Débit*pas</f>
        <v>8.45</v>
      </c>
      <c r="T443" s="397" t="n">
        <f aca="false">m*g</f>
        <v>82.8945</v>
      </c>
      <c r="U443" s="400" t="n">
        <f aca="false">IF(pos_xz&lt;L_rampe,Poids*COS(Beta),0)</f>
        <v>0</v>
      </c>
      <c r="V443" s="396" t="n">
        <f aca="false">Rho_moyen*(20000-Alt_rampe-pos_z)/(20000+Alt_rampe+pos_z)</f>
        <v>1.14900563781595</v>
      </c>
      <c r="W443" s="397" t="n">
        <f aca="false">1/2*Rho*Sref*Cx*vit_xz^2</f>
        <v>36.7909923174178</v>
      </c>
      <c r="Y443" s="401" t="str">
        <f aca="false">IF(AND(pos_z&lt;=0,K442&gt;0),"Impact balistique","") &amp; IF(AND(H444&lt;0,vit_z&gt;=0),"Apogée","") &amp; IF(AND(Poussee=0,Q442&gt;0),"Fin de propulsion","") &amp; IF(AND(L444&gt;L_rampe,pos_xz&lt;=L_rampe),"Sortie de rampe","")</f>
        <v/>
      </c>
      <c r="Z443" s="402" t="str">
        <f aca="false">IF(ABS(t-T_para)&lt;pas/2,"Para","")</f>
        <v/>
      </c>
      <c r="AA443" s="403" t="str">
        <f aca="false">IF(ABS(t-T_satellite)&lt;pas/2,"Satellite","")</f>
        <v/>
      </c>
      <c r="AC443" s="399" t="e">
        <f aca="false">IF(ABS(t-ROUND(t,0))&lt;0.001,t,NA())</f>
        <v>#N/A</v>
      </c>
      <c r="AD443" s="404" t="e">
        <f aca="false">IF(ABS(t-ROUND(t,0))&lt;0.001,pos_x,NA())</f>
        <v>#N/A</v>
      </c>
      <c r="AE443" s="405" t="e">
        <f aca="false">IF(t&lt;T_para, pos_z, NA())</f>
        <v>#N/A</v>
      </c>
      <c r="AG443" s="396" t="n">
        <f aca="false">IF(AND(L442&lt;L_rampe,Poussee&lt;Poids*SIN(M442)),0,(-W442+Poussee)/m-Poids*SIN(M442)/m)</f>
        <v>5.35356117510892</v>
      </c>
      <c r="AH443" s="397" t="n">
        <f aca="false">IF(AND(L442&lt;L_rampe,Poussee&lt;Poids*SIN(M442)), g*SIN(M442), (-W442+Poussee)/m)</f>
        <v>-4.29965944419156</v>
      </c>
    </row>
    <row r="444" customFormat="false" ht="12.75" hidden="false" customHeight="false" outlineLevel="0" collapsed="false">
      <c r="A444" s="396" t="n">
        <f aca="false">IF(B443+0.01&lt;=T_ini+ROUNDUP(Temps_fin_propu,0), 0.01, IF(K443&gt;0, 0.1, 0.0001))</f>
        <v>0.1</v>
      </c>
      <c r="B444" s="397" t="n">
        <f aca="false">B443+pas</f>
        <v>26.0000000000001</v>
      </c>
      <c r="D444" s="396" t="n">
        <f aca="false">IF(AND(L443&lt;L_rampe,Poussee&lt;Poids*SIN(M443)),0,(-W443+Poussee)/m*COS(M443)-U443/m*SIN(M443))</f>
        <v>-0.767181496685696</v>
      </c>
      <c r="E444" s="398" t="n">
        <f aca="false">IF(AND(L443&lt;L_rampe,Poussee&lt;Poids*SIN(M443)),0,(-W443+Poussee)/m*SIN(M443)+U443/m*COS(M443)-Poids/m)</f>
        <v>-5.52415918686255</v>
      </c>
      <c r="F444" s="397" t="n">
        <f aca="false">SQRT(acc_x^2+acc_z^2)</f>
        <v>5.57717689970964</v>
      </c>
      <c r="G444" s="396" t="n">
        <f aca="false">G443+acc_x*pas</f>
        <v>16.1772432711878</v>
      </c>
      <c r="H444" s="398" t="n">
        <f aca="false">H443+acc_z*pas</f>
        <v>-91.3547769422696</v>
      </c>
      <c r="I444" s="397" t="n">
        <f aca="false">SQRT(vit_x^2+vit_z^2)</f>
        <v>92.7760662564814</v>
      </c>
      <c r="J444" s="396" t="n">
        <f aca="false">J443+0.5*(vit_x+G443)*pas*(K443&gt;=0)</f>
        <v>606.652432292717</v>
      </c>
      <c r="K444" s="398" t="n">
        <f aca="false">K443+0.5*(vit_z+H443)*pas</f>
        <v>631.112713546196</v>
      </c>
      <c r="L444" s="397" t="n">
        <f aca="false">SQRT(pos_x^2+pos_z^2)</f>
        <v>875.40301050791</v>
      </c>
      <c r="M444" s="396" t="n">
        <f aca="false">IF(AND(L443&gt;L_rampe,G444&gt;0),ATAN2(G444,H444),$M$4)</f>
        <v>-1.39553170356781</v>
      </c>
      <c r="N444" s="397" t="n">
        <f aca="false">DEGREES(Beta)</f>
        <v>-79.9580767911372</v>
      </c>
      <c r="P444" s="399" t="n">
        <f aca="false">MATCH(t-pas/2-T_ini,CdP_t)</f>
        <v>23</v>
      </c>
      <c r="Q444" s="397" t="n">
        <f aca="false">(INDEX(CdP,2,i_P+1)-INDEX(CdP,2,i_P+0))/(INDEX(CdP,1,i_P+1)-INDEX(CdP,1,i_P+0))*(t-pas/2-T_ini-INDEX(CdP,1,i_P+0))+INDEX(CdP,2,i_P+0)</f>
        <v>0</v>
      </c>
      <c r="R444" s="396" t="n">
        <f aca="false">Poussee/(g*ISP)</f>
        <v>0</v>
      </c>
      <c r="S444" s="398" t="n">
        <f aca="false">S443-Débit*pas</f>
        <v>8.45</v>
      </c>
      <c r="T444" s="397" t="n">
        <f aca="false">m*g</f>
        <v>82.8945</v>
      </c>
      <c r="U444" s="400" t="n">
        <f aca="false">IF(pos_xz&lt;L_rampe,Poids*COS(Beta),0)</f>
        <v>0</v>
      </c>
      <c r="V444" s="396" t="n">
        <f aca="false">Rho_moyen*(20000-Alt_rampe-pos_z)/(20000+Alt_rampe+pos_z)</f>
        <v>1.15005367162417</v>
      </c>
      <c r="W444" s="397" t="n">
        <f aca="false">1/2*Rho*Sref*Cx*vit_xz^2</f>
        <v>37.2492526982023</v>
      </c>
      <c r="Y444" s="401" t="str">
        <f aca="false">IF(AND(pos_z&lt;=0,K443&gt;0),"Impact balistique","") &amp; IF(AND(H445&lt;0,vit_z&gt;=0),"Apogée","") &amp; IF(AND(Poussee=0,Q443&gt;0),"Fin de propulsion","") &amp; IF(AND(L445&gt;L_rampe,pos_xz&lt;=L_rampe),"Sortie de rampe","")</f>
        <v/>
      </c>
      <c r="Z444" s="402" t="str">
        <f aca="false">IF(ABS(t-T_para)&lt;pas/2,"Para","")</f>
        <v/>
      </c>
      <c r="AA444" s="403" t="str">
        <f aca="false">IF(ABS(t-T_satellite)&lt;pas/2,"Satellite","")</f>
        <v/>
      </c>
      <c r="AC444" s="399" t="n">
        <f aca="false">IF(ABS(t-ROUND(t,0))&lt;0.001,t,NA())</f>
        <v>26.0000000000001</v>
      </c>
      <c r="AD444" s="404" t="n">
        <f aca="false">IF(ABS(t-ROUND(t,0))&lt;0.001,pos_x,NA())</f>
        <v>606.652432292717</v>
      </c>
      <c r="AE444" s="405" t="e">
        <f aca="false">IF(t&lt;T_para, pos_z, NA())</f>
        <v>#N/A</v>
      </c>
      <c r="AG444" s="396" t="n">
        <f aca="false">IF(AND(L443&lt;L_rampe,Poussee&lt;Poids*SIN(M443)),0,(-W443+Poussee)/m-Poids*SIN(M443)/m)</f>
        <v>5.30254766411901</v>
      </c>
      <c r="AH444" s="397" t="n">
        <f aca="false">IF(AND(L443&lt;L_rampe,Poussee&lt;Poids*SIN(M443)), g*SIN(M443), (-W443+Poussee)/m)</f>
        <v>-4.3539635878601</v>
      </c>
    </row>
    <row r="445" customFormat="false" ht="12.75" hidden="false" customHeight="false" outlineLevel="0" collapsed="false">
      <c r="A445" s="396" t="n">
        <f aca="false">IF(B444+0.01&lt;=T_ini+ROUNDUP(Temps_fin_propu,0), 0.01, IF(K444&gt;0, 0.1, 0.0001))</f>
        <v>0.1</v>
      </c>
      <c r="B445" s="397" t="n">
        <f aca="false">B444+pas</f>
        <v>26.1000000000001</v>
      </c>
      <c r="D445" s="396" t="n">
        <f aca="false">IF(AND(L444&lt;L_rampe,Poussee&lt;Poids*SIN(M444)),0,(-W444+Poussee)/m*COS(M444)-U444/m*SIN(M444))</f>
        <v>-0.76865139095095</v>
      </c>
      <c r="E445" s="398" t="n">
        <f aca="false">IF(AND(L444&lt;L_rampe,Poussee&lt;Poids*SIN(M444)),0,(-W444+Poussee)/m*SIN(M444)+U444/m*COS(M444)-Poids/m)</f>
        <v>-5.46933606922055</v>
      </c>
      <c r="F445" s="397" t="n">
        <f aca="false">SQRT(acc_x^2+acc_z^2)</f>
        <v>5.52308446421814</v>
      </c>
      <c r="G445" s="396" t="n">
        <f aca="false">G444+acc_x*pas</f>
        <v>16.1003781320927</v>
      </c>
      <c r="H445" s="398" t="n">
        <f aca="false">H444+acc_z*pas</f>
        <v>-91.9017105491916</v>
      </c>
      <c r="I445" s="397" t="n">
        <f aca="false">SQRT(vit_x^2+vit_z^2)</f>
        <v>93.3013750052151</v>
      </c>
      <c r="J445" s="396" t="n">
        <f aca="false">J444+0.5*(vit_x+G444)*pas*(K444&gt;=0)</f>
        <v>608.266313362881</v>
      </c>
      <c r="K445" s="398" t="n">
        <f aca="false">K444+0.5*(vit_z+H444)*pas</f>
        <v>621.949889171623</v>
      </c>
      <c r="L445" s="397" t="n">
        <f aca="false">SQRT(pos_x^2+pos_z^2)</f>
        <v>869.948028684854</v>
      </c>
      <c r="M445" s="396" t="n">
        <f aca="false">IF(AND(L444&gt;L_rampe,G445&gt;0),ATAN2(G445,H445),$M$4)</f>
        <v>-1.39736507208225</v>
      </c>
      <c r="N445" s="397" t="n">
        <f aca="false">DEGREES(Beta)</f>
        <v>-80.0631210693068</v>
      </c>
      <c r="P445" s="399" t="n">
        <f aca="false">MATCH(t-pas/2-T_ini,CdP_t)</f>
        <v>23</v>
      </c>
      <c r="Q445" s="397" t="n">
        <f aca="false">(INDEX(CdP,2,i_P+1)-INDEX(CdP,2,i_P+0))/(INDEX(CdP,1,i_P+1)-INDEX(CdP,1,i_P+0))*(t-pas/2-T_ini-INDEX(CdP,1,i_P+0))+INDEX(CdP,2,i_P+0)</f>
        <v>0</v>
      </c>
      <c r="R445" s="396" t="n">
        <f aca="false">Poussee/(g*ISP)</f>
        <v>0</v>
      </c>
      <c r="S445" s="398" t="n">
        <f aca="false">S444-Débit*pas</f>
        <v>8.45</v>
      </c>
      <c r="T445" s="397" t="n">
        <f aca="false">m*g</f>
        <v>82.8945</v>
      </c>
      <c r="U445" s="400" t="n">
        <f aca="false">IF(pos_xz&lt;L_rampe,Poids*COS(Beta),0)</f>
        <v>0</v>
      </c>
      <c r="V445" s="396" t="n">
        <f aca="false">Rho_moyen*(20000-Alt_rampe-pos_z)/(20000+Alt_rampe+pos_z)</f>
        <v>1.15110896463915</v>
      </c>
      <c r="W445" s="397" t="n">
        <f aca="false">1/2*Rho*Sref*Cx*vit_xz^2</f>
        <v>37.7068341856739</v>
      </c>
      <c r="Y445" s="401" t="str">
        <f aca="false">IF(AND(pos_z&lt;=0,K444&gt;0),"Impact balistique","") &amp; IF(AND(H446&lt;0,vit_z&gt;=0),"Apogée","") &amp; IF(AND(Poussee=0,Q444&gt;0),"Fin de propulsion","") &amp; IF(AND(L446&gt;L_rampe,pos_xz&lt;=L_rampe),"Sortie de rampe","")</f>
        <v/>
      </c>
      <c r="Z445" s="402" t="str">
        <f aca="false">IF(ABS(t-T_para)&lt;pas/2,"Para","")</f>
        <v/>
      </c>
      <c r="AA445" s="403" t="str">
        <f aca="false">IF(ABS(t-T_satellite)&lt;pas/2,"Satellite","")</f>
        <v/>
      </c>
      <c r="AC445" s="399" t="e">
        <f aca="false">IF(ABS(t-ROUND(t,0))&lt;0.001,t,NA())</f>
        <v>#N/A</v>
      </c>
      <c r="AD445" s="404" t="e">
        <f aca="false">IF(ABS(t-ROUND(t,0))&lt;0.001,pos_x,NA())</f>
        <v>#N/A</v>
      </c>
      <c r="AE445" s="405" t="e">
        <f aca="false">IF(t&lt;T_para, pos_z, NA())</f>
        <v>#N/A</v>
      </c>
      <c r="AG445" s="396" t="n">
        <f aca="false">IF(AND(L444&lt;L_rampe,Poussee&lt;Poids*SIN(M444)),0,(-W444+Poussee)/m-Poids*SIN(M444)/m)</f>
        <v>5.25151944615636</v>
      </c>
      <c r="AH445" s="397" t="n">
        <f aca="false">IF(AND(L444&lt;L_rampe,Poussee&lt;Poids*SIN(M444)), g*SIN(M444), (-W444+Poussee)/m)</f>
        <v>-4.40819558558607</v>
      </c>
    </row>
    <row r="446" customFormat="false" ht="12.75" hidden="false" customHeight="false" outlineLevel="0" collapsed="false">
      <c r="A446" s="396" t="n">
        <f aca="false">IF(B445+0.01&lt;=T_ini+ROUNDUP(Temps_fin_propu,0), 0.01, IF(K445&gt;0, 0.1, 0.0001))</f>
        <v>0.1</v>
      </c>
      <c r="B446" s="397" t="n">
        <f aca="false">B445+pas</f>
        <v>26.2000000000001</v>
      </c>
      <c r="D446" s="396" t="n">
        <f aca="false">IF(AND(L445&lt;L_rampe,Poussee&lt;Poids*SIN(M445)),0,(-W445+Poussee)/m*COS(M445)-U445/m*SIN(M445))</f>
        <v>-0.770036646633619</v>
      </c>
      <c r="E446" s="398" t="n">
        <f aca="false">IF(AND(L445&lt;L_rampe,Poussee&lt;Poids*SIN(M445)),0,(-W445+Poussee)/m*SIN(M445)+U445/m*COS(M445)-Poids/m)</f>
        <v>-5.41459484674259</v>
      </c>
      <c r="F446" s="397" t="n">
        <f aca="false">SQRT(acc_x^2+acc_z^2)</f>
        <v>5.46907613692936</v>
      </c>
      <c r="G446" s="396" t="n">
        <f aca="false">G445+acc_x*pas</f>
        <v>16.0233744674293</v>
      </c>
      <c r="H446" s="398" t="n">
        <f aca="false">H445+acc_z*pas</f>
        <v>-92.4431700338659</v>
      </c>
      <c r="I446" s="397" t="n">
        <f aca="false">SQRT(vit_x^2+vit_z^2)</f>
        <v>93.8215764908782</v>
      </c>
      <c r="J446" s="396" t="n">
        <f aca="false">J445+0.5*(vit_x+G445)*pas*(K445&gt;=0)</f>
        <v>609.872500992857</v>
      </c>
      <c r="K446" s="398" t="n">
        <f aca="false">K445+0.5*(vit_z+H445)*pas</f>
        <v>612.73264514247</v>
      </c>
      <c r="L446" s="397" t="n">
        <f aca="false">SQRT(pos_x^2+pos_z^2)</f>
        <v>864.514755160703</v>
      </c>
      <c r="M446" s="396" t="n">
        <f aca="false">IF(AND(L445&gt;L_rampe,G446&gt;0),ATAN2(G446,H446),$M$4)</f>
        <v>-1.39916939617719</v>
      </c>
      <c r="N446" s="397" t="n">
        <f aca="false">DEGREES(Beta)</f>
        <v>-80.1665012248208</v>
      </c>
      <c r="P446" s="399" t="n">
        <f aca="false">MATCH(t-pas/2-T_ini,CdP_t)</f>
        <v>23</v>
      </c>
      <c r="Q446" s="397" t="n">
        <f aca="false">(INDEX(CdP,2,i_P+1)-INDEX(CdP,2,i_P+0))/(INDEX(CdP,1,i_P+1)-INDEX(CdP,1,i_P+0))*(t-pas/2-T_ini-INDEX(CdP,1,i_P+0))+INDEX(CdP,2,i_P+0)</f>
        <v>0</v>
      </c>
      <c r="R446" s="396" t="n">
        <f aca="false">Poussee/(g*ISP)</f>
        <v>0</v>
      </c>
      <c r="S446" s="398" t="n">
        <f aca="false">S445-Débit*pas</f>
        <v>8.45</v>
      </c>
      <c r="T446" s="397" t="n">
        <f aca="false">m*g</f>
        <v>82.8945</v>
      </c>
      <c r="U446" s="400" t="n">
        <f aca="false">IF(pos_xz&lt;L_rampe,Poids*COS(Beta),0)</f>
        <v>0</v>
      </c>
      <c r="V446" s="396" t="n">
        <f aca="false">Rho_moyen*(20000-Alt_rampe-pos_z)/(20000+Alt_rampe+pos_z)</f>
        <v>1.15217147180615</v>
      </c>
      <c r="W446" s="397" t="n">
        <f aca="false">1/2*Rho*Sref*Cx*vit_xz^2</f>
        <v>38.1636686822161</v>
      </c>
      <c r="Y446" s="401" t="str">
        <f aca="false">IF(AND(pos_z&lt;=0,K445&gt;0),"Impact balistique","") &amp; IF(AND(H447&lt;0,vit_z&gt;=0),"Apogée","") &amp; IF(AND(Poussee=0,Q445&gt;0),"Fin de propulsion","") &amp; IF(AND(L447&gt;L_rampe,pos_xz&lt;=L_rampe),"Sortie de rampe","")</f>
        <v/>
      </c>
      <c r="Z446" s="402" t="str">
        <f aca="false">IF(ABS(t-T_para)&lt;pas/2,"Para","")</f>
        <v/>
      </c>
      <c r="AA446" s="403" t="str">
        <f aca="false">IF(ABS(t-T_satellite)&lt;pas/2,"Satellite","")</f>
        <v/>
      </c>
      <c r="AC446" s="399" t="e">
        <f aca="false">IF(ABS(t-ROUND(t,0))&lt;0.001,t,NA())</f>
        <v>#N/A</v>
      </c>
      <c r="AD446" s="404" t="e">
        <f aca="false">IF(ABS(t-ROUND(t,0))&lt;0.001,pos_x,NA())</f>
        <v>#N/A</v>
      </c>
      <c r="AE446" s="405" t="e">
        <f aca="false">IF(t&lt;T_para, pos_z, NA())</f>
        <v>#N/A</v>
      </c>
      <c r="AG446" s="396" t="n">
        <f aca="false">IF(AND(L445&lt;L_rampe,Poussee&lt;Poids*SIN(M445)),0,(-W445+Poussee)/m-Poids*SIN(M445)/m)</f>
        <v>5.20048763625393</v>
      </c>
      <c r="AH446" s="397" t="n">
        <f aca="false">IF(AND(L445&lt;L_rampe,Poussee&lt;Poids*SIN(M445)), g*SIN(M445), (-W445+Poussee)/m)</f>
        <v>-4.46234724090815</v>
      </c>
    </row>
    <row r="447" customFormat="false" ht="12.75" hidden="false" customHeight="false" outlineLevel="0" collapsed="false">
      <c r="A447" s="396" t="n">
        <f aca="false">IF(B446+0.01&lt;=T_ini+ROUNDUP(Temps_fin_propu,0), 0.01, IF(K446&gt;0, 0.1, 0.0001))</f>
        <v>0.1</v>
      </c>
      <c r="B447" s="397" t="n">
        <f aca="false">B446+pas</f>
        <v>26.3000000000001</v>
      </c>
      <c r="D447" s="396" t="n">
        <f aca="false">IF(AND(L446&lt;L_rampe,Poussee&lt;Poids*SIN(M446)),0,(-W446+Poussee)/m*COS(M446)-U446/m*SIN(M446))</f>
        <v>-0.771337887463831</v>
      </c>
      <c r="E447" s="398" t="n">
        <f aca="false">IF(AND(L446&lt;L_rampe,Poussee&lt;Poids*SIN(M446)),0,(-W446+Poussee)/m*SIN(M446)+U446/m*COS(M446)-Poids/m)</f>
        <v>-5.35994363831892</v>
      </c>
      <c r="F447" s="397" t="n">
        <f aca="false">SQRT(acc_x^2+acc_z^2)</f>
        <v>5.41516001080233</v>
      </c>
      <c r="G447" s="396" t="n">
        <f aca="false">G446+acc_x*pas</f>
        <v>15.9462406786829</v>
      </c>
      <c r="H447" s="398" t="n">
        <f aca="false">H446+acc_z*pas</f>
        <v>-92.9791643976978</v>
      </c>
      <c r="I447" s="397" t="n">
        <f aca="false">SQRT(vit_x^2+vit_z^2)</f>
        <v>94.3366715751441</v>
      </c>
      <c r="J447" s="396" t="n">
        <f aca="false">J446+0.5*(vit_x+G446)*pas*(K446&gt;=0)</f>
        <v>611.470981750162</v>
      </c>
      <c r="K447" s="398" t="n">
        <f aca="false">K446+0.5*(vit_z+H446)*pas</f>
        <v>603.461528420892</v>
      </c>
      <c r="L447" s="397" t="n">
        <f aca="false">SQRT(pos_x^2+pos_z^2)</f>
        <v>859.105684887829</v>
      </c>
      <c r="M447" s="396" t="n">
        <f aca="false">IF(AND(L446&gt;L_rampe,G447&gt;0),ATAN2(G447,H447),$M$4)</f>
        <v>-1.40094538383203</v>
      </c>
      <c r="N447" s="397" t="n">
        <f aca="false">DEGREES(Beta)</f>
        <v>-80.2682578219102</v>
      </c>
      <c r="P447" s="399" t="n">
        <f aca="false">MATCH(t-pas/2-T_ini,CdP_t)</f>
        <v>23</v>
      </c>
      <c r="Q447" s="397" t="n">
        <f aca="false">(INDEX(CdP,2,i_P+1)-INDEX(CdP,2,i_P+0))/(INDEX(CdP,1,i_P+1)-INDEX(CdP,1,i_P+0))*(t-pas/2-T_ini-INDEX(CdP,1,i_P+0))+INDEX(CdP,2,i_P+0)</f>
        <v>0</v>
      </c>
      <c r="R447" s="396" t="n">
        <f aca="false">Poussee/(g*ISP)</f>
        <v>0</v>
      </c>
      <c r="S447" s="398" t="n">
        <f aca="false">S446-Débit*pas</f>
        <v>8.45</v>
      </c>
      <c r="T447" s="397" t="n">
        <f aca="false">m*g</f>
        <v>82.8945</v>
      </c>
      <c r="U447" s="400" t="n">
        <f aca="false">IF(pos_xz&lt;L_rampe,Poids*COS(Beta),0)</f>
        <v>0</v>
      </c>
      <c r="V447" s="396" t="n">
        <f aca="false">Rho_moyen*(20000-Alt_rampe-pos_z)/(20000+Alt_rampe+pos_z)</f>
        <v>1.15324114809098</v>
      </c>
      <c r="W447" s="397" t="n">
        <f aca="false">1/2*Rho*Sref*Cx*vit_xz^2</f>
        <v>38.6196892607466</v>
      </c>
      <c r="Y447" s="401" t="str">
        <f aca="false">IF(AND(pos_z&lt;=0,K446&gt;0),"Impact balistique","") &amp; IF(AND(H448&lt;0,vit_z&gt;=0),"Apogée","") &amp; IF(AND(Poussee=0,Q446&gt;0),"Fin de propulsion","") &amp; IF(AND(L448&gt;L_rampe,pos_xz&lt;=L_rampe),"Sortie de rampe","")</f>
        <v/>
      </c>
      <c r="Z447" s="402" t="str">
        <f aca="false">IF(ABS(t-T_para)&lt;pas/2,"Para","")</f>
        <v/>
      </c>
      <c r="AA447" s="403" t="str">
        <f aca="false">IF(ABS(t-T_satellite)&lt;pas/2,"Satellite","")</f>
        <v/>
      </c>
      <c r="AC447" s="399" t="e">
        <f aca="false">IF(ABS(t-ROUND(t,0))&lt;0.001,t,NA())</f>
        <v>#N/A</v>
      </c>
      <c r="AD447" s="404" t="e">
        <f aca="false">IF(ABS(t-ROUND(t,0))&lt;0.001,pos_x,NA())</f>
        <v>#N/A</v>
      </c>
      <c r="AE447" s="405" t="e">
        <f aca="false">IF(t&lt;T_para, pos_z, NA())</f>
        <v>#N/A</v>
      </c>
      <c r="AG447" s="396" t="n">
        <f aca="false">IF(AND(L446&lt;L_rampe,Poussee&lt;Poids*SIN(M446)),0,(-W446+Poussee)/m-Poids*SIN(M446)/m)</f>
        <v>5.14946309140603</v>
      </c>
      <c r="AH447" s="397" t="n">
        <f aca="false">IF(AND(L446&lt;L_rampe,Poussee&lt;Poids*SIN(M446)), g*SIN(M446), (-W446+Poussee)/m)</f>
        <v>-4.51641049493682</v>
      </c>
    </row>
    <row r="448" customFormat="false" ht="12.75" hidden="false" customHeight="false" outlineLevel="0" collapsed="false">
      <c r="A448" s="396" t="n">
        <f aca="false">IF(B447+0.01&lt;=T_ini+ROUNDUP(Temps_fin_propu,0), 0.01, IF(K447&gt;0, 0.1, 0.0001))</f>
        <v>0.1</v>
      </c>
      <c r="B448" s="397" t="n">
        <f aca="false">B447+pas</f>
        <v>26.4000000000001</v>
      </c>
      <c r="D448" s="396" t="n">
        <f aca="false">IF(AND(L447&lt;L_rampe,Poussee&lt;Poids*SIN(M447)),0,(-W447+Poussee)/m*COS(M447)-U447/m*SIN(M447))</f>
        <v>-0.772555754102568</v>
      </c>
      <c r="E448" s="398" t="n">
        <f aca="false">IF(AND(L447&lt;L_rampe,Poussee&lt;Poids*SIN(M447)),0,(-W447+Poussee)/m*SIN(M447)+U447/m*COS(M447)-Poids/m)</f>
        <v>-5.30539042370562</v>
      </c>
      <c r="F448" s="397" t="n">
        <f aca="false">SQRT(acc_x^2+acc_z^2)</f>
        <v>5.36134404241551</v>
      </c>
      <c r="G448" s="396" t="n">
        <f aca="false">G447+acc_x*pas</f>
        <v>15.8689851032727</v>
      </c>
      <c r="H448" s="398" t="n">
        <f aca="false">H447+acc_z*pas</f>
        <v>-93.5097034400684</v>
      </c>
      <c r="I448" s="397" t="n">
        <f aca="false">SQRT(vit_x^2+vit_z^2)</f>
        <v>94.8466621745722</v>
      </c>
      <c r="J448" s="396" t="n">
        <f aca="false">J447+0.5*(vit_x+G447)*pas*(K447&gt;=0)</f>
        <v>613.06174303926</v>
      </c>
      <c r="K448" s="398" t="n">
        <f aca="false">K447+0.5*(vit_z+H447)*pas</f>
        <v>594.137085029004</v>
      </c>
      <c r="L448" s="397" t="n">
        <f aca="false">SQRT(pos_x^2+pos_z^2)</f>
        <v>853.723360688401</v>
      </c>
      <c r="M448" s="396" t="n">
        <f aca="false">IF(AND(L447&gt;L_rampe,G448&gt;0),ATAN2(G448,H448),$M$4)</f>
        <v>-1.40269372000097</v>
      </c>
      <c r="N448" s="397" t="n">
        <f aca="false">DEGREES(Beta)</f>
        <v>-80.3684301055607</v>
      </c>
      <c r="P448" s="399" t="n">
        <f aca="false">MATCH(t-pas/2-T_ini,CdP_t)</f>
        <v>23</v>
      </c>
      <c r="Q448" s="397" t="n">
        <f aca="false">(INDEX(CdP,2,i_P+1)-INDEX(CdP,2,i_P+0))/(INDEX(CdP,1,i_P+1)-INDEX(CdP,1,i_P+0))*(t-pas/2-T_ini-INDEX(CdP,1,i_P+0))+INDEX(CdP,2,i_P+0)</f>
        <v>0</v>
      </c>
      <c r="R448" s="396" t="n">
        <f aca="false">Poussee/(g*ISP)</f>
        <v>0</v>
      </c>
      <c r="S448" s="398" t="n">
        <f aca="false">S447-Débit*pas</f>
        <v>8.45</v>
      </c>
      <c r="T448" s="397" t="n">
        <f aca="false">m*g</f>
        <v>82.8945</v>
      </c>
      <c r="U448" s="400" t="n">
        <f aca="false">IF(pos_xz&lt;L_rampe,Poids*COS(Beta),0)</f>
        <v>0</v>
      </c>
      <c r="V448" s="396" t="n">
        <f aca="false">Rho_moyen*(20000-Alt_rampe-pos_z)/(20000+Alt_rampe+pos_z)</f>
        <v>1.15431794848645</v>
      </c>
      <c r="W448" s="397" t="n">
        <f aca="false">1/2*Rho*Sref*Cx*vit_xz^2</f>
        <v>39.0748301719821</v>
      </c>
      <c r="Y448" s="401" t="str">
        <f aca="false">IF(AND(pos_z&lt;=0,K447&gt;0),"Impact balistique","") &amp; IF(AND(H449&lt;0,vit_z&gt;=0),"Apogée","") &amp; IF(AND(Poussee=0,Q447&gt;0),"Fin de propulsion","") &amp; IF(AND(L449&gt;L_rampe,pos_xz&lt;=L_rampe),"Sortie de rampe","")</f>
        <v/>
      </c>
      <c r="Z448" s="402" t="str">
        <f aca="false">IF(ABS(t-T_para)&lt;pas/2,"Para","")</f>
        <v/>
      </c>
      <c r="AA448" s="403" t="str">
        <f aca="false">IF(ABS(t-T_satellite)&lt;pas/2,"Satellite","")</f>
        <v/>
      </c>
      <c r="AC448" s="399" t="e">
        <f aca="false">IF(ABS(t-ROUND(t,0))&lt;0.001,t,NA())</f>
        <v>#N/A</v>
      </c>
      <c r="AD448" s="404" t="e">
        <f aca="false">IF(ABS(t-ROUND(t,0))&lt;0.001,pos_x,NA())</f>
        <v>#N/A</v>
      </c>
      <c r="AE448" s="405" t="e">
        <f aca="false">IF(t&lt;T_para, pos_z, NA())</f>
        <v>#N/A</v>
      </c>
      <c r="AG448" s="396" t="n">
        <f aca="false">IF(AND(L447&lt;L_rampe,Poussee&lt;Poids*SIN(M447)),0,(-W447+Poussee)/m-Poids*SIN(M447)/m)</f>
        <v>5.09845641547737</v>
      </c>
      <c r="AH448" s="397" t="n">
        <f aca="false">IF(AND(L447&lt;L_rampe,Poussee&lt;Poids*SIN(M447)), g*SIN(M447), (-W447+Poussee)/m)</f>
        <v>-4.5703774273073</v>
      </c>
    </row>
    <row r="449" customFormat="false" ht="12.75" hidden="false" customHeight="false" outlineLevel="0" collapsed="false">
      <c r="A449" s="396" t="n">
        <f aca="false">IF(B448+0.01&lt;=T_ini+ROUNDUP(Temps_fin_propu,0), 0.01, IF(K448&gt;0, 0.1, 0.0001))</f>
        <v>0.1</v>
      </c>
      <c r="B449" s="397" t="n">
        <f aca="false">B448+pas</f>
        <v>26.5000000000001</v>
      </c>
      <c r="D449" s="396" t="n">
        <f aca="false">IF(AND(L448&lt;L_rampe,Poussee&lt;Poids*SIN(M448)),0,(-W448+Poussee)/m*COS(M448)-U448/m*SIN(M448))</f>
        <v>-0.773690903511664</v>
      </c>
      <c r="E449" s="398" t="n">
        <f aca="false">IF(AND(L448&lt;L_rampe,Poussee&lt;Poids*SIN(M448)),0,(-W448+Poussee)/m*SIN(M448)+U448/m*COS(M448)-Poids/m)</f>
        <v>-5.25094304261877</v>
      </c>
      <c r="F449" s="397" t="n">
        <f aca="false">SQRT(acc_x^2+acc_z^2)</f>
        <v>5.30763605110629</v>
      </c>
      <c r="G449" s="396" t="n">
        <f aca="false">G448+acc_x*pas</f>
        <v>15.7916160129215</v>
      </c>
      <c r="H449" s="398" t="n">
        <f aca="false">H448+acc_z*pas</f>
        <v>-94.0347977443302</v>
      </c>
      <c r="I449" s="397" t="n">
        <f aca="false">SQRT(vit_x^2+vit_z^2)</f>
        <v>95.3515512360269</v>
      </c>
      <c r="J449" s="396" t="n">
        <f aca="false">J448+0.5*(vit_x+G448)*pas*(K448&gt;=0)</f>
        <v>614.64477309507</v>
      </c>
      <c r="K449" s="398" t="n">
        <f aca="false">K448+0.5*(vit_z+H448)*pas</f>
        <v>584.759859969784</v>
      </c>
      <c r="L449" s="397" t="n">
        <f aca="false">SQRT(pos_x^2+pos_z^2)</f>
        <v>848.370373672355</v>
      </c>
      <c r="M449" s="396" t="n">
        <f aca="false">IF(AND(L448&gt;L_rampe,G449&gt;0),ATAN2(G449,H449),$M$4)</f>
        <v>-1.4044150675267</v>
      </c>
      <c r="N449" s="397" t="n">
        <f aca="false">DEGREES(Beta)</f>
        <v>-80.4670560538603</v>
      </c>
      <c r="P449" s="399" t="n">
        <f aca="false">MATCH(t-pas/2-T_ini,CdP_t)</f>
        <v>23</v>
      </c>
      <c r="Q449" s="397" t="n">
        <f aca="false">(INDEX(CdP,2,i_P+1)-INDEX(CdP,2,i_P+0))/(INDEX(CdP,1,i_P+1)-INDEX(CdP,1,i_P+0))*(t-pas/2-T_ini-INDEX(CdP,1,i_P+0))+INDEX(CdP,2,i_P+0)</f>
        <v>0</v>
      </c>
      <c r="R449" s="396" t="n">
        <f aca="false">Poussee/(g*ISP)</f>
        <v>0</v>
      </c>
      <c r="S449" s="398" t="n">
        <f aca="false">S448-Débit*pas</f>
        <v>8.45</v>
      </c>
      <c r="T449" s="397" t="n">
        <f aca="false">m*g</f>
        <v>82.8945</v>
      </c>
      <c r="U449" s="400" t="n">
        <f aca="false">IF(pos_xz&lt;L_rampe,Poids*COS(Beta),0)</f>
        <v>0</v>
      </c>
      <c r="V449" s="396" t="n">
        <f aca="false">Rho_moyen*(20000-Alt_rampe-pos_z)/(20000+Alt_rampe+pos_z)</f>
        <v>1.1554018280188</v>
      </c>
      <c r="W449" s="397" t="n">
        <f aca="false">1/2*Rho*Sref*Cx*vit_xz^2</f>
        <v>39.5290268509273</v>
      </c>
      <c r="Y449" s="401" t="str">
        <f aca="false">IF(AND(pos_z&lt;=0,K448&gt;0),"Impact balistique","") &amp; IF(AND(H450&lt;0,vit_z&gt;=0),"Apogée","") &amp; IF(AND(Poussee=0,Q448&gt;0),"Fin de propulsion","") &amp; IF(AND(L450&gt;L_rampe,pos_xz&lt;=L_rampe),"Sortie de rampe","")</f>
        <v/>
      </c>
      <c r="Z449" s="402" t="str">
        <f aca="false">IF(ABS(t-T_para)&lt;pas/2,"Para","")</f>
        <v/>
      </c>
      <c r="AA449" s="403" t="str">
        <f aca="false">IF(ABS(t-T_satellite)&lt;pas/2,"Satellite","")</f>
        <v/>
      </c>
      <c r="AC449" s="399" t="e">
        <f aca="false">IF(ABS(t-ROUND(t,0))&lt;0.001,t,NA())</f>
        <v>#N/A</v>
      </c>
      <c r="AD449" s="404" t="e">
        <f aca="false">IF(ABS(t-ROUND(t,0))&lt;0.001,pos_x,NA())</f>
        <v>#N/A</v>
      </c>
      <c r="AE449" s="405" t="e">
        <f aca="false">IF(t&lt;T_para, pos_z, NA())</f>
        <v>#N/A</v>
      </c>
      <c r="AG449" s="396" t="n">
        <f aca="false">IF(AND(L448&lt;L_rampe,Poussee&lt;Poids*SIN(M448)),0,(-W448+Poussee)/m-Poids*SIN(M448)/m)</f>
        <v>5.04747796387877</v>
      </c>
      <c r="AH449" s="397" t="n">
        <f aca="false">IF(AND(L448&lt;L_rampe,Poussee&lt;Poids*SIN(M448)), g*SIN(M448), (-W448+Poussee)/m)</f>
        <v>-4.6242402570393</v>
      </c>
    </row>
    <row r="450" customFormat="false" ht="12.75" hidden="false" customHeight="false" outlineLevel="0" collapsed="false">
      <c r="A450" s="396" t="n">
        <f aca="false">IF(B449+0.01&lt;=T_ini+ROUNDUP(Temps_fin_propu,0), 0.01, IF(K449&gt;0, 0.1, 0.0001))</f>
        <v>0.1</v>
      </c>
      <c r="B450" s="397" t="n">
        <f aca="false">B449+pas</f>
        <v>26.6000000000001</v>
      </c>
      <c r="D450" s="396" t="n">
        <f aca="false">IF(AND(L449&lt;L_rampe,Poussee&lt;Poids*SIN(M449)),0,(-W449+Poussee)/m*COS(M449)-U449/m*SIN(M449))</f>
        <v>-0.774744008331684</v>
      </c>
      <c r="E450" s="398" t="n">
        <f aca="false">IF(AND(L449&lt;L_rampe,Poussee&lt;Poids*SIN(M449)),0,(-W449+Poussee)/m*SIN(M449)+U449/m*COS(M449)-Poids/m)</f>
        <v>-5.19660919392355</v>
      </c>
      <c r="F450" s="397" t="n">
        <f aca="false">SQRT(acc_x^2+acc_z^2)</f>
        <v>5.25404371820569</v>
      </c>
      <c r="G450" s="396" t="n">
        <f aca="false">G449+acc_x*pas</f>
        <v>15.7141416120883</v>
      </c>
      <c r="H450" s="398" t="n">
        <f aca="false">H449+acc_z*pas</f>
        <v>-94.5544586637226</v>
      </c>
      <c r="I450" s="397" t="n">
        <f aca="false">SQRT(vit_x^2+vit_z^2)</f>
        <v>95.8513427125275</v>
      </c>
      <c r="J450" s="396" t="n">
        <f aca="false">J449+0.5*(vit_x+G449)*pas*(K449&gt;=0)</f>
        <v>616.22006097632</v>
      </c>
      <c r="K450" s="398" t="n">
        <f aca="false">K449+0.5*(vit_z+H449)*pas</f>
        <v>575.330397149381</v>
      </c>
      <c r="L450" s="397" t="n">
        <f aca="false">SQRT(pos_x^2+pos_z^2)</f>
        <v>843.049363580642</v>
      </c>
      <c r="M450" s="396" t="n">
        <f aca="false">IF(AND(L449&gt;L_rampe,G450&gt;0),ATAN2(G450,H450),$M$4)</f>
        <v>-1.40611006801151</v>
      </c>
      <c r="N450" s="397" t="n">
        <f aca="false">DEGREES(Beta)</f>
        <v>-80.5641724279129</v>
      </c>
      <c r="P450" s="399" t="n">
        <f aca="false">MATCH(t-pas/2-T_ini,CdP_t)</f>
        <v>23</v>
      </c>
      <c r="Q450" s="397" t="n">
        <f aca="false">(INDEX(CdP,2,i_P+1)-INDEX(CdP,2,i_P+0))/(INDEX(CdP,1,i_P+1)-INDEX(CdP,1,i_P+0))*(t-pas/2-T_ini-INDEX(CdP,1,i_P+0))+INDEX(CdP,2,i_P+0)</f>
        <v>0</v>
      </c>
      <c r="R450" s="396" t="n">
        <f aca="false">Poussee/(g*ISP)</f>
        <v>0</v>
      </c>
      <c r="S450" s="398" t="n">
        <f aca="false">S449-Débit*pas</f>
        <v>8.45</v>
      </c>
      <c r="T450" s="397" t="n">
        <f aca="false">m*g</f>
        <v>82.8945</v>
      </c>
      <c r="U450" s="400" t="n">
        <f aca="false">IF(pos_xz&lt;L_rampe,Poids*COS(Beta),0)</f>
        <v>0</v>
      </c>
      <c r="V450" s="396" t="n">
        <f aca="false">Rho_moyen*(20000-Alt_rampe-pos_z)/(20000+Alt_rampe+pos_z)</f>
        <v>1.15649274175392</v>
      </c>
      <c r="W450" s="397" t="n">
        <f aca="false">1/2*Rho*Sref*Cx*vit_xz^2</f>
        <v>39.9822159226008</v>
      </c>
      <c r="Y450" s="401" t="str">
        <f aca="false">IF(AND(pos_z&lt;=0,K449&gt;0),"Impact balistique","") &amp; IF(AND(H451&lt;0,vit_z&gt;=0),"Apogée","") &amp; IF(AND(Poussee=0,Q449&gt;0),"Fin de propulsion","") &amp; IF(AND(L451&gt;L_rampe,pos_xz&lt;=L_rampe),"Sortie de rampe","")</f>
        <v/>
      </c>
      <c r="Z450" s="402" t="str">
        <f aca="false">IF(ABS(t-T_para)&lt;pas/2,"Para","")</f>
        <v/>
      </c>
      <c r="AA450" s="403" t="str">
        <f aca="false">IF(ABS(t-T_satellite)&lt;pas/2,"Satellite","")</f>
        <v/>
      </c>
      <c r="AC450" s="399" t="e">
        <f aca="false">IF(ABS(t-ROUND(t,0))&lt;0.001,t,NA())</f>
        <v>#N/A</v>
      </c>
      <c r="AD450" s="404" t="e">
        <f aca="false">IF(ABS(t-ROUND(t,0))&lt;0.001,pos_x,NA())</f>
        <v>#N/A</v>
      </c>
      <c r="AE450" s="405" t="e">
        <f aca="false">IF(t&lt;T_para, pos_z, NA())</f>
        <v>#N/A</v>
      </c>
      <c r="AG450" s="396" t="n">
        <f aca="false">IF(AND(L449&lt;L_rampe,Poussee&lt;Poids*SIN(M449)),0,(-W449+Poussee)/m-Poids*SIN(M449)/m)</f>
        <v>4.99653784802856</v>
      </c>
      <c r="AH450" s="397" t="n">
        <f aca="false">IF(AND(L449&lt;L_rampe,Poussee&lt;Poids*SIN(M449)), g*SIN(M449), (-W449+Poussee)/m)</f>
        <v>-4.677991343305</v>
      </c>
    </row>
    <row r="451" customFormat="false" ht="12.75" hidden="false" customHeight="false" outlineLevel="0" collapsed="false">
      <c r="A451" s="396" t="n">
        <f aca="false">IF(B450+0.01&lt;=T_ini+ROUNDUP(Temps_fin_propu,0), 0.01, IF(K450&gt;0, 0.1, 0.0001))</f>
        <v>0.1</v>
      </c>
      <c r="B451" s="397" t="n">
        <f aca="false">B450+pas</f>
        <v>26.7000000000001</v>
      </c>
      <c r="D451" s="396" t="n">
        <f aca="false">IF(AND(L450&lt;L_rampe,Poussee&lt;Poids*SIN(M450)),0,(-W450+Poussee)/m*COS(M450)-U450/m*SIN(M450))</f>
        <v>-0.775715756267669</v>
      </c>
      <c r="E451" s="398" t="n">
        <f aca="false">IF(AND(L450&lt;L_rampe,Poussee&lt;Poids*SIN(M450)),0,(-W450+Poussee)/m*SIN(M450)+U450/m*COS(M450)-Poids/m)</f>
        <v>-5.14239643491656</v>
      </c>
      <c r="F451" s="397" t="n">
        <f aca="false">SQRT(acc_x^2+acc_z^2)</f>
        <v>5.20057458636682</v>
      </c>
      <c r="G451" s="396" t="n">
        <f aca="false">G450+acc_x*pas</f>
        <v>15.6365700364616</v>
      </c>
      <c r="H451" s="398" t="n">
        <f aca="false">H450+acc_z*pas</f>
        <v>-95.0686983072142</v>
      </c>
      <c r="I451" s="397" t="n">
        <f aca="false">SQRT(vit_x^2+vit_z^2)</f>
        <v>96.3460415395116</v>
      </c>
      <c r="J451" s="396" t="n">
        <f aca="false">J450+0.5*(vit_x+G450)*pas*(K450&gt;=0)</f>
        <v>617.787596558748</v>
      </c>
      <c r="K451" s="398" t="n">
        <f aca="false">K450+0.5*(vit_z+H450)*pas</f>
        <v>565.849239300835</v>
      </c>
      <c r="L451" s="397" t="n">
        <f aca="false">SQRT(pos_x^2+pos_z^2)</f>
        <v>837.763019044865</v>
      </c>
      <c r="M451" s="396" t="n">
        <f aca="false">IF(AND(L450&gt;L_rampe,G451&gt;0),ATAN2(G451,H451),$M$4)</f>
        <v>-1.40777934264827</v>
      </c>
      <c r="N451" s="397" t="n">
        <f aca="false">DEGREES(Beta)</f>
        <v>-80.6598148194473</v>
      </c>
      <c r="P451" s="399" t="n">
        <f aca="false">MATCH(t-pas/2-T_ini,CdP_t)</f>
        <v>23</v>
      </c>
      <c r="Q451" s="397" t="n">
        <f aca="false">(INDEX(CdP,2,i_P+1)-INDEX(CdP,2,i_P+0))/(INDEX(CdP,1,i_P+1)-INDEX(CdP,1,i_P+0))*(t-pas/2-T_ini-INDEX(CdP,1,i_P+0))+INDEX(CdP,2,i_P+0)</f>
        <v>0</v>
      </c>
      <c r="R451" s="396" t="n">
        <f aca="false">Poussee/(g*ISP)</f>
        <v>0</v>
      </c>
      <c r="S451" s="398" t="n">
        <f aca="false">S450-Débit*pas</f>
        <v>8.45</v>
      </c>
      <c r="T451" s="397" t="n">
        <f aca="false">m*g</f>
        <v>82.8945</v>
      </c>
      <c r="U451" s="400" t="n">
        <f aca="false">IF(pos_xz&lt;L_rampe,Poids*COS(Beta),0)</f>
        <v>0</v>
      </c>
      <c r="V451" s="396" t="n">
        <f aca="false">Rho_moyen*(20000-Alt_rampe-pos_z)/(20000+Alt_rampe+pos_z)</f>
        <v>1.15759064480363</v>
      </c>
      <c r="W451" s="397" t="n">
        <f aca="false">1/2*Rho*Sref*Cx*vit_xz^2</f>
        <v>40.4343352070085</v>
      </c>
      <c r="Y451" s="401" t="str">
        <f aca="false">IF(AND(pos_z&lt;=0,K450&gt;0),"Impact balistique","") &amp; IF(AND(H452&lt;0,vit_z&gt;=0),"Apogée","") &amp; IF(AND(Poussee=0,Q450&gt;0),"Fin de propulsion","") &amp; IF(AND(L452&gt;L_rampe,pos_xz&lt;=L_rampe),"Sortie de rampe","")</f>
        <v/>
      </c>
      <c r="Z451" s="402" t="str">
        <f aca="false">IF(ABS(t-T_para)&lt;pas/2,"Para","")</f>
        <v/>
      </c>
      <c r="AA451" s="403" t="str">
        <f aca="false">IF(ABS(t-T_satellite)&lt;pas/2,"Satellite","")</f>
        <v/>
      </c>
      <c r="AC451" s="399" t="e">
        <f aca="false">IF(ABS(t-ROUND(t,0))&lt;0.001,t,NA())</f>
        <v>#N/A</v>
      </c>
      <c r="AD451" s="404" t="e">
        <f aca="false">IF(ABS(t-ROUND(t,0))&lt;0.001,pos_x,NA())</f>
        <v>#N/A</v>
      </c>
      <c r="AE451" s="405" t="e">
        <f aca="false">IF(t&lt;T_para, pos_z, NA())</f>
        <v>#N/A</v>
      </c>
      <c r="AG451" s="396" t="n">
        <f aca="false">IF(AND(L450&lt;L_rampe,Poussee&lt;Poids*SIN(M450)),0,(-W450+Poussee)/m-Poids*SIN(M450)/m)</f>
        <v>4.94564593961726</v>
      </c>
      <c r="AH451" s="397" t="n">
        <f aca="false">IF(AND(L450&lt;L_rampe,Poussee&lt;Poids*SIN(M450)), g*SIN(M450), (-W450+Poussee)/m)</f>
        <v>-4.7316231861066</v>
      </c>
    </row>
    <row r="452" customFormat="false" ht="12.75" hidden="false" customHeight="false" outlineLevel="0" collapsed="false">
      <c r="A452" s="396" t="n">
        <f aca="false">IF(B451+0.01&lt;=T_ini+ROUNDUP(Temps_fin_propu,0), 0.01, IF(K451&gt;0, 0.1, 0.0001))</f>
        <v>0.1</v>
      </c>
      <c r="B452" s="397" t="n">
        <f aca="false">B451+pas</f>
        <v>26.8000000000001</v>
      </c>
      <c r="D452" s="396" t="n">
        <f aca="false">IF(AND(L451&lt;L_rampe,Poussee&lt;Poids*SIN(M451)),0,(-W451+Poussee)/m*COS(M451)-U451/m*SIN(M451))</f>
        <v>-0.776606849482772</v>
      </c>
      <c r="E452" s="398" t="n">
        <f aca="false">IF(AND(L451&lt;L_rampe,Poussee&lt;Poids*SIN(M451)),0,(-W451+Poussee)/m*SIN(M451)+U451/m*COS(M451)-Poids/m)</f>
        <v>-5.08831218069988</v>
      </c>
      <c r="F452" s="397" t="n">
        <f aca="false">SQRT(acc_x^2+acc_z^2)</f>
        <v>5.14723605898567</v>
      </c>
      <c r="G452" s="396" t="n">
        <f aca="false">G451+acc_x*pas</f>
        <v>15.5589093515133</v>
      </c>
      <c r="H452" s="398" t="n">
        <f aca="false">H451+acc_z*pas</f>
        <v>-95.5775295252842</v>
      </c>
      <c r="I452" s="397" t="n">
        <f aca="false">SQRT(vit_x^2+vit_z^2)</f>
        <v>96.8356536114937</v>
      </c>
      <c r="J452" s="396" t="n">
        <f aca="false">J451+0.5*(vit_x+G451)*pas*(K451&gt;=0)</f>
        <v>619.347370528147</v>
      </c>
      <c r="K452" s="398" t="n">
        <f aca="false">K451+0.5*(vit_z+H451)*pas</f>
        <v>556.31692790921</v>
      </c>
      <c r="L452" s="397" t="n">
        <f aca="false">SQRT(pos_x^2+pos_z^2)</f>
        <v>832.514077753926</v>
      </c>
      <c r="M452" s="396" t="n">
        <f aca="false">IF(AND(L451&gt;L_rampe,G452&gt;0),ATAN2(G452,H452),$M$4)</f>
        <v>-1.40942349301319</v>
      </c>
      <c r="N452" s="397" t="n">
        <f aca="false">DEGREES(Beta)</f>
        <v>-80.7540176962421</v>
      </c>
      <c r="P452" s="399" t="n">
        <f aca="false">MATCH(t-pas/2-T_ini,CdP_t)</f>
        <v>23</v>
      </c>
      <c r="Q452" s="397" t="n">
        <f aca="false">(INDEX(CdP,2,i_P+1)-INDEX(CdP,2,i_P+0))/(INDEX(CdP,1,i_P+1)-INDEX(CdP,1,i_P+0))*(t-pas/2-T_ini-INDEX(CdP,1,i_P+0))+INDEX(CdP,2,i_P+0)</f>
        <v>0</v>
      </c>
      <c r="R452" s="396" t="n">
        <f aca="false">Poussee/(g*ISP)</f>
        <v>0</v>
      </c>
      <c r="S452" s="398" t="n">
        <f aca="false">S451-Débit*pas</f>
        <v>8.45</v>
      </c>
      <c r="T452" s="397" t="n">
        <f aca="false">m*g</f>
        <v>82.8945</v>
      </c>
      <c r="U452" s="400" t="n">
        <f aca="false">IF(pos_xz&lt;L_rampe,Poids*COS(Beta),0)</f>
        <v>0</v>
      </c>
      <c r="V452" s="396" t="n">
        <f aca="false">Rho_moyen*(20000-Alt_rampe-pos_z)/(20000+Alt_rampe+pos_z)</f>
        <v>1.15869549233175</v>
      </c>
      <c r="W452" s="397" t="n">
        <f aca="false">1/2*Rho*Sref*Cx*vit_xz^2</f>
        <v>40.8853237233784</v>
      </c>
      <c r="Y452" s="401" t="str">
        <f aca="false">IF(AND(pos_z&lt;=0,K451&gt;0),"Impact balistique","") &amp; IF(AND(H453&lt;0,vit_z&gt;=0),"Apogée","") &amp; IF(AND(Poussee=0,Q451&gt;0),"Fin de propulsion","") &amp; IF(AND(L453&gt;L_rampe,pos_xz&lt;=L_rampe),"Sortie de rampe","")</f>
        <v/>
      </c>
      <c r="Z452" s="402" t="str">
        <f aca="false">IF(ABS(t-T_para)&lt;pas/2,"Para","")</f>
        <v/>
      </c>
      <c r="AA452" s="403" t="str">
        <f aca="false">IF(ABS(t-T_satellite)&lt;pas/2,"Satellite","")</f>
        <v/>
      </c>
      <c r="AC452" s="399" t="e">
        <f aca="false">IF(ABS(t-ROUND(t,0))&lt;0.001,t,NA())</f>
        <v>#N/A</v>
      </c>
      <c r="AD452" s="404" t="e">
        <f aca="false">IF(ABS(t-ROUND(t,0))&lt;0.001,pos_x,NA())</f>
        <v>#N/A</v>
      </c>
      <c r="AE452" s="405" t="e">
        <f aca="false">IF(t&lt;T_para, pos_z, NA())</f>
        <v>#N/A</v>
      </c>
      <c r="AG452" s="396" t="n">
        <f aca="false">IF(AND(L451&lt;L_rampe,Poussee&lt;Poids*SIN(M451)),0,(-W451+Poussee)/m-Poids*SIN(M451)/m)</f>
        <v>4.89481187469176</v>
      </c>
      <c r="AH452" s="397" t="n">
        <f aca="false">IF(AND(L451&lt;L_rampe,Poussee&lt;Poids*SIN(M451)), g*SIN(M451), (-W451+Poussee)/m)</f>
        <v>-4.78512842686492</v>
      </c>
    </row>
    <row r="453" customFormat="false" ht="12.75" hidden="false" customHeight="false" outlineLevel="0" collapsed="false">
      <c r="A453" s="396" t="n">
        <f aca="false">IF(B452+0.01&lt;=T_ini+ROUNDUP(Temps_fin_propu,0), 0.01, IF(K452&gt;0, 0.1, 0.0001))</f>
        <v>0.1</v>
      </c>
      <c r="B453" s="397" t="n">
        <f aca="false">B452+pas</f>
        <v>26.9000000000001</v>
      </c>
      <c r="D453" s="396" t="n">
        <f aca="false">IF(AND(L452&lt;L_rampe,Poussee&lt;Poids*SIN(M452)),0,(-W452+Poussee)/m*COS(M452)-U452/m*SIN(M452))</f>
        <v>-0.777418003999816</v>
      </c>
      <c r="E453" s="398" t="n">
        <f aca="false">IF(AND(L452&lt;L_rampe,Poussee&lt;Poids*SIN(M452)),0,(-W452+Poussee)/m*SIN(M452)+U452/m*COS(M452)-Poids/m)</f>
        <v>-5.03436370364526</v>
      </c>
      <c r="F453" s="397" t="n">
        <f aca="false">SQRT(acc_x^2+acc_z^2)</f>
        <v>5.09403539971248</v>
      </c>
      <c r="G453" s="396" t="n">
        <f aca="false">G452+acc_x*pas</f>
        <v>15.4811675511133</v>
      </c>
      <c r="H453" s="398" t="n">
        <f aca="false">H452+acc_z*pas</f>
        <v>-96.0809658956488</v>
      </c>
      <c r="I453" s="397" t="n">
        <f aca="false">SQRT(vit_x^2+vit_z^2)</f>
        <v>97.3201857591038</v>
      </c>
      <c r="J453" s="396" t="n">
        <f aca="false">J452+0.5*(vit_x+G452)*pas*(K452&gt;=0)</f>
        <v>620.899374373278</v>
      </c>
      <c r="K453" s="398" t="n">
        <f aca="false">K452+0.5*(vit_z+H452)*pas</f>
        <v>546.734003138163</v>
      </c>
      <c r="L453" s="397" t="n">
        <f aca="false">SQRT(pos_x^2+pos_z^2)</f>
        <v>827.305326517731</v>
      </c>
      <c r="M453" s="396" t="n">
        <f aca="false">IF(AND(L452&gt;L_rampe,G453&gt;0),ATAN2(G453,H453),$M$4)</f>
        <v>-1.41104310182258</v>
      </c>
      <c r="N453" s="397" t="n">
        <f aca="false">DEGREES(Beta)</f>
        <v>-80.8468144454822</v>
      </c>
      <c r="P453" s="399" t="n">
        <f aca="false">MATCH(t-pas/2-T_ini,CdP_t)</f>
        <v>23</v>
      </c>
      <c r="Q453" s="397" t="n">
        <f aca="false">(INDEX(CdP,2,i_P+1)-INDEX(CdP,2,i_P+0))/(INDEX(CdP,1,i_P+1)-INDEX(CdP,1,i_P+0))*(t-pas/2-T_ini-INDEX(CdP,1,i_P+0))+INDEX(CdP,2,i_P+0)</f>
        <v>0</v>
      </c>
      <c r="R453" s="396" t="n">
        <f aca="false">Poussee/(g*ISP)</f>
        <v>0</v>
      </c>
      <c r="S453" s="398" t="n">
        <f aca="false">S452-Débit*pas</f>
        <v>8.45</v>
      </c>
      <c r="T453" s="397" t="n">
        <f aca="false">m*g</f>
        <v>82.8945</v>
      </c>
      <c r="U453" s="400" t="n">
        <f aca="false">IF(pos_xz&lt;L_rampe,Poids*COS(Beta),0)</f>
        <v>0</v>
      </c>
      <c r="V453" s="396" t="n">
        <f aca="false">Rho_moyen*(20000-Alt_rampe-pos_z)/(20000+Alt_rampe+pos_z)</f>
        <v>1.15980723956012</v>
      </c>
      <c r="W453" s="397" t="n">
        <f aca="false">1/2*Rho*Sref*Cx*vit_xz^2</f>
        <v>41.3351216936682</v>
      </c>
      <c r="Y453" s="401" t="str">
        <f aca="false">IF(AND(pos_z&lt;=0,K452&gt;0),"Impact balistique","") &amp; IF(AND(H454&lt;0,vit_z&gt;=0),"Apogée","") &amp; IF(AND(Poussee=0,Q452&gt;0),"Fin de propulsion","") &amp; IF(AND(L454&gt;L_rampe,pos_xz&lt;=L_rampe),"Sortie de rampe","")</f>
        <v/>
      </c>
      <c r="Z453" s="402" t="str">
        <f aca="false">IF(ABS(t-T_para)&lt;pas/2,"Para","")</f>
        <v/>
      </c>
      <c r="AA453" s="403" t="str">
        <f aca="false">IF(ABS(t-T_satellite)&lt;pas/2,"Satellite","")</f>
        <v/>
      </c>
      <c r="AC453" s="399" t="e">
        <f aca="false">IF(ABS(t-ROUND(t,0))&lt;0.001,t,NA())</f>
        <v>#N/A</v>
      </c>
      <c r="AD453" s="404" t="e">
        <f aca="false">IF(ABS(t-ROUND(t,0))&lt;0.001,pos_x,NA())</f>
        <v>#N/A</v>
      </c>
      <c r="AE453" s="405" t="e">
        <f aca="false">IF(t&lt;T_para, pos_z, NA())</f>
        <v>#N/A</v>
      </c>
      <c r="AG453" s="396" t="n">
        <f aca="false">IF(AND(L452&lt;L_rampe,Poussee&lt;Poids*SIN(M452)),0,(-W452+Poussee)/m-Poids*SIN(M452)/m)</f>
        <v>4.84404505757403</v>
      </c>
      <c r="AH453" s="397" t="n">
        <f aca="false">IF(AND(L452&lt;L_rampe,Poussee&lt;Poids*SIN(M452)), g*SIN(M452), (-W452+Poussee)/m)</f>
        <v>-4.83849984892052</v>
      </c>
    </row>
    <row r="454" customFormat="false" ht="12.75" hidden="false" customHeight="false" outlineLevel="0" collapsed="false">
      <c r="A454" s="396" t="n">
        <f aca="false">IF(B453+0.01&lt;=T_ini+ROUNDUP(Temps_fin_propu,0), 0.01, IF(K453&gt;0, 0.1, 0.0001))</f>
        <v>0.1</v>
      </c>
      <c r="B454" s="397" t="n">
        <f aca="false">B453+pas</f>
        <v>27.0000000000001</v>
      </c>
      <c r="D454" s="396" t="n">
        <f aca="false">IF(AND(L453&lt;L_rampe,Poussee&lt;Poids*SIN(M453)),0,(-W453+Poussee)/m*COS(M453)-U453/m*SIN(M453))</f>
        <v>-0.778149949110773</v>
      </c>
      <c r="E454" s="398" t="n">
        <f aca="false">IF(AND(L453&lt;L_rampe,Poussee&lt;Poids*SIN(M453)),0,(-W453+Poussee)/m*SIN(M453)+U453/m*COS(M453)-Poids/m)</f>
        <v>-4.98055813294673</v>
      </c>
      <c r="F454" s="397" t="n">
        <f aca="false">SQRT(acc_x^2+acc_z^2)</f>
        <v>5.04097973205239</v>
      </c>
      <c r="G454" s="396" t="n">
        <f aca="false">G453+acc_x*pas</f>
        <v>15.4033525562022</v>
      </c>
      <c r="H454" s="398" t="n">
        <f aca="false">H453+acc_z*pas</f>
        <v>-96.5790217089434</v>
      </c>
      <c r="I454" s="397" t="n">
        <f aca="false">SQRT(vit_x^2+vit_z^2)</f>
        <v>97.7996457264914</v>
      </c>
      <c r="J454" s="396" t="n">
        <f aca="false">J453+0.5*(vit_x+G453)*pas*(K453&gt;=0)</f>
        <v>622.443600378644</v>
      </c>
      <c r="K454" s="398" t="n">
        <f aca="false">K453+0.5*(vit_z+H453)*pas</f>
        <v>537.101003757933</v>
      </c>
      <c r="L454" s="397" t="n">
        <f aca="false">SQRT(pos_x^2+pos_z^2)</f>
        <v>822.139601217523</v>
      </c>
      <c r="M454" s="396" t="n">
        <f aca="false">IF(AND(L453&gt;L_rampe,G454&gt;0),ATAN2(G454,H454),$M$4)</f>
        <v>-1.41263873365529</v>
      </c>
      <c r="N454" s="397" t="n">
        <f aca="false">DEGREES(Beta)</f>
        <v>-80.9382374151531</v>
      </c>
      <c r="P454" s="399" t="n">
        <f aca="false">MATCH(t-pas/2-T_ini,CdP_t)</f>
        <v>23</v>
      </c>
      <c r="Q454" s="397" t="n">
        <f aca="false">(INDEX(CdP,2,i_P+1)-INDEX(CdP,2,i_P+0))/(INDEX(CdP,1,i_P+1)-INDEX(CdP,1,i_P+0))*(t-pas/2-T_ini-INDEX(CdP,1,i_P+0))+INDEX(CdP,2,i_P+0)</f>
        <v>0</v>
      </c>
      <c r="R454" s="396" t="n">
        <f aca="false">Poussee/(g*ISP)</f>
        <v>0</v>
      </c>
      <c r="S454" s="398" t="n">
        <f aca="false">S453-Débit*pas</f>
        <v>8.45</v>
      </c>
      <c r="T454" s="397" t="n">
        <f aca="false">m*g</f>
        <v>82.8945</v>
      </c>
      <c r="U454" s="400" t="n">
        <f aca="false">IF(pos_xz&lt;L_rampe,Poids*COS(Beta),0)</f>
        <v>0</v>
      </c>
      <c r="V454" s="396" t="n">
        <f aca="false">Rho_moyen*(20000-Alt_rampe-pos_z)/(20000+Alt_rampe+pos_z)</f>
        <v>1.16092584177455</v>
      </c>
      <c r="W454" s="397" t="n">
        <f aca="false">1/2*Rho*Sref*Cx*vit_xz^2</f>
        <v>41.7836705453615</v>
      </c>
      <c r="Y454" s="401" t="str">
        <f aca="false">IF(AND(pos_z&lt;=0,K453&gt;0),"Impact balistique","") &amp; IF(AND(H455&lt;0,vit_z&gt;=0),"Apogée","") &amp; IF(AND(Poussee=0,Q453&gt;0),"Fin de propulsion","") &amp; IF(AND(L455&gt;L_rampe,pos_xz&lt;=L_rampe),"Sortie de rampe","")</f>
        <v/>
      </c>
      <c r="Z454" s="402" t="str">
        <f aca="false">IF(ABS(t-T_para)&lt;pas/2,"Para","")</f>
        <v/>
      </c>
      <c r="AA454" s="403" t="str">
        <f aca="false">IF(ABS(t-T_satellite)&lt;pas/2,"Satellite","")</f>
        <v/>
      </c>
      <c r="AC454" s="399" t="n">
        <f aca="false">IF(ABS(t-ROUND(t,0))&lt;0.001,t,NA())</f>
        <v>27.0000000000001</v>
      </c>
      <c r="AD454" s="404" t="n">
        <f aca="false">IF(ABS(t-ROUND(t,0))&lt;0.001,pos_x,NA())</f>
        <v>622.443600378644</v>
      </c>
      <c r="AE454" s="405" t="e">
        <f aca="false">IF(t&lt;T_para, pos_z, NA())</f>
        <v>#N/A</v>
      </c>
      <c r="AG454" s="396" t="n">
        <f aca="false">IF(AND(L453&lt;L_rampe,Poussee&lt;Poids*SIN(M453)),0,(-W453+Poussee)/m-Poids*SIN(M453)/m)</f>
        <v>4.79335466462814</v>
      </c>
      <c r="AH454" s="397" t="n">
        <f aca="false">IF(AND(L453&lt;L_rampe,Poussee&lt;Poids*SIN(M453)), g*SIN(M453), (-W453+Poussee)/m)</f>
        <v>-4.8917303779489</v>
      </c>
    </row>
    <row r="455" customFormat="false" ht="12.75" hidden="false" customHeight="false" outlineLevel="0" collapsed="false">
      <c r="A455" s="396" t="n">
        <f aca="false">IF(B454+0.01&lt;=T_ini+ROUNDUP(Temps_fin_propu,0), 0.01, IF(K454&gt;0, 0.1, 0.0001))</f>
        <v>0.1</v>
      </c>
      <c r="B455" s="397" t="n">
        <f aca="false">B454+pas</f>
        <v>27.1000000000001</v>
      </c>
      <c r="D455" s="396" t="n">
        <f aca="false">IF(AND(L454&lt;L_rampe,Poussee&lt;Poids*SIN(M454)),0,(-W454+Poussee)/m*COS(M454)-U454/m*SIN(M454))</f>
        <v>-0.778803426794237</v>
      </c>
      <c r="E455" s="398" t="n">
        <f aca="false">IF(AND(L454&lt;L_rampe,Poussee&lt;Poids*SIN(M454)),0,(-W454+Poussee)/m*SIN(M454)+U454/m*COS(M454)-Poids/m)</f>
        <v>-4.92690245425993</v>
      </c>
      <c r="F455" s="397" t="n">
        <f aca="false">SQRT(acc_x^2+acc_z^2)</f>
        <v>4.98807603905343</v>
      </c>
      <c r="G455" s="396" t="n">
        <f aca="false">G454+acc_x*pas</f>
        <v>15.3254722135228</v>
      </c>
      <c r="H455" s="398" t="n">
        <f aca="false">H454+acc_z*pas</f>
        <v>-97.0717119543694</v>
      </c>
      <c r="I455" s="397" t="n">
        <f aca="false">SQRT(vit_x^2+vit_z^2)</f>
        <v>98.2740421490819</v>
      </c>
      <c r="J455" s="396" t="n">
        <f aca="false">J454+0.5*(vit_x+G454)*pas*(K454&gt;=0)</f>
        <v>623.98004161713</v>
      </c>
      <c r="K455" s="398" t="n">
        <f aca="false">K454+0.5*(vit_z+H454)*pas</f>
        <v>527.418467074768</v>
      </c>
      <c r="L455" s="397" t="n">
        <f aca="false">SQRT(pos_x^2+pos_z^2)</f>
        <v>817.019786631886</v>
      </c>
      <c r="M455" s="396" t="n">
        <f aca="false">IF(AND(L454&gt;L_rampe,G455&gt;0),ATAN2(G455,H455),$M$4)</f>
        <v>-1.41421093564272</v>
      </c>
      <c r="N455" s="397" t="n">
        <f aca="false">DEGREES(Beta)</f>
        <v>-81.0283179535754</v>
      </c>
      <c r="P455" s="399" t="n">
        <f aca="false">MATCH(t-pas/2-T_ini,CdP_t)</f>
        <v>23</v>
      </c>
      <c r="Q455" s="397" t="n">
        <f aca="false">(INDEX(CdP,2,i_P+1)-INDEX(CdP,2,i_P+0))/(INDEX(CdP,1,i_P+1)-INDEX(CdP,1,i_P+0))*(t-pas/2-T_ini-INDEX(CdP,1,i_P+0))+INDEX(CdP,2,i_P+0)</f>
        <v>0</v>
      </c>
      <c r="R455" s="396" t="n">
        <f aca="false">Poussee/(g*ISP)</f>
        <v>0</v>
      </c>
      <c r="S455" s="398" t="n">
        <f aca="false">S454-Débit*pas</f>
        <v>8.45</v>
      </c>
      <c r="T455" s="397" t="n">
        <f aca="false">m*g</f>
        <v>82.8945</v>
      </c>
      <c r="U455" s="400" t="n">
        <f aca="false">IF(pos_xz&lt;L_rampe,Poids*COS(Beta),0)</f>
        <v>0</v>
      </c>
      <c r="V455" s="396" t="n">
        <f aca="false">Rho_moyen*(20000-Alt_rampe-pos_z)/(20000+Alt_rampe+pos_z)</f>
        <v>1.1620512543306</v>
      </c>
      <c r="W455" s="397" t="n">
        <f aca="false">1/2*Rho*Sref*Cx*vit_xz^2</f>
        <v>42.2309129135635</v>
      </c>
      <c r="Y455" s="401" t="str">
        <f aca="false">IF(AND(pos_z&lt;=0,K454&gt;0),"Impact balistique","") &amp; IF(AND(H456&lt;0,vit_z&gt;=0),"Apogée","") &amp; IF(AND(Poussee=0,Q454&gt;0),"Fin de propulsion","") &amp; IF(AND(L456&gt;L_rampe,pos_xz&lt;=L_rampe),"Sortie de rampe","")</f>
        <v/>
      </c>
      <c r="Z455" s="402" t="str">
        <f aca="false">IF(ABS(t-T_para)&lt;pas/2,"Para","")</f>
        <v/>
      </c>
      <c r="AA455" s="403" t="str">
        <f aca="false">IF(ABS(t-T_satellite)&lt;pas/2,"Satellite","")</f>
        <v/>
      </c>
      <c r="AC455" s="399" t="e">
        <f aca="false">IF(ABS(t-ROUND(t,0))&lt;0.001,t,NA())</f>
        <v>#N/A</v>
      </c>
      <c r="AD455" s="404" t="e">
        <f aca="false">IF(ABS(t-ROUND(t,0))&lt;0.001,pos_x,NA())</f>
        <v>#N/A</v>
      </c>
      <c r="AE455" s="405" t="e">
        <f aca="false">IF(t&lt;T_para, pos_z, NA())</f>
        <v>#N/A</v>
      </c>
      <c r="AG455" s="396" t="n">
        <f aca="false">IF(AND(L454&lt;L_rampe,Poussee&lt;Poids*SIN(M454)),0,(-W454+Poussee)/m-Poids*SIN(M454)/m)</f>
        <v>4.74274964788839</v>
      </c>
      <c r="AH455" s="397" t="n">
        <f aca="false">IF(AND(L454&lt;L_rampe,Poussee&lt;Poids*SIN(M454)), g*SIN(M454), (-W454+Poussee)/m)</f>
        <v>-4.9448130822913</v>
      </c>
    </row>
    <row r="456" customFormat="false" ht="12.75" hidden="false" customHeight="false" outlineLevel="0" collapsed="false">
      <c r="A456" s="396" t="n">
        <f aca="false">IF(B455+0.01&lt;=T_ini+ROUNDUP(Temps_fin_propu,0), 0.01, IF(K455&gt;0, 0.1, 0.0001))</f>
        <v>0.1</v>
      </c>
      <c r="B456" s="397" t="n">
        <f aca="false">B455+pas</f>
        <v>27.2000000000001</v>
      </c>
      <c r="D456" s="396" t="n">
        <f aca="false">IF(AND(L455&lt;L_rampe,Poussee&lt;Poids*SIN(M455)),0,(-W455+Poussee)/m*COS(M455)-U455/m*SIN(M455))</f>
        <v>-0.779379191140898</v>
      </c>
      <c r="E456" s="398" t="n">
        <f aca="false">IF(AND(L455&lt;L_rampe,Poussee&lt;Poids*SIN(M455)),0,(-W455+Poussee)/m*SIN(M455)+U455/m*COS(M455)-Poids/m)</f>
        <v>-4.87340350942648</v>
      </c>
      <c r="F456" s="397" t="n">
        <f aca="false">SQRT(acc_x^2+acc_z^2)</f>
        <v>4.93533116308052</v>
      </c>
      <c r="G456" s="396" t="n">
        <f aca="false">G455+acc_x*pas</f>
        <v>15.2475342944087</v>
      </c>
      <c r="H456" s="398" t="n">
        <f aca="false">H455+acc_z*pas</f>
        <v>-97.5590523053121</v>
      </c>
      <c r="I456" s="397" t="n">
        <f aca="false">SQRT(vit_x^2+vit_z^2)</f>
        <v>98.7433845316727</v>
      </c>
      <c r="J456" s="396" t="n">
        <f aca="false">J455+0.5*(vit_x+G455)*pas*(K455&gt;=0)</f>
        <v>625.508691942527</v>
      </c>
      <c r="K456" s="398" t="n">
        <f aca="false">K455+0.5*(vit_z+H455)*pas</f>
        <v>517.686928861784</v>
      </c>
      <c r="L456" s="397" t="n">
        <f aca="false">SQRT(pos_x^2+pos_z^2)</f>
        <v>811.948816126975</v>
      </c>
      <c r="M456" s="396" t="n">
        <f aca="false">IF(AND(L455&gt;L_rampe,G456&gt;0),ATAN2(G456,H456),$M$4)</f>
        <v>-1.41576023812804</v>
      </c>
      <c r="N456" s="397" t="n">
        <f aca="false">DEGREES(Beta)</f>
        <v>-81.1170864471733</v>
      </c>
      <c r="P456" s="399" t="n">
        <f aca="false">MATCH(t-pas/2-T_ini,CdP_t)</f>
        <v>23</v>
      </c>
      <c r="Q456" s="397" t="n">
        <f aca="false">(INDEX(CdP,2,i_P+1)-INDEX(CdP,2,i_P+0))/(INDEX(CdP,1,i_P+1)-INDEX(CdP,1,i_P+0))*(t-pas/2-T_ini-INDEX(CdP,1,i_P+0))+INDEX(CdP,2,i_P+0)</f>
        <v>0</v>
      </c>
      <c r="R456" s="396" t="n">
        <f aca="false">Poussee/(g*ISP)</f>
        <v>0</v>
      </c>
      <c r="S456" s="398" t="n">
        <f aca="false">S455-Débit*pas</f>
        <v>8.45</v>
      </c>
      <c r="T456" s="397" t="n">
        <f aca="false">m*g</f>
        <v>82.8945</v>
      </c>
      <c r="U456" s="400" t="n">
        <f aca="false">IF(pos_xz&lt;L_rampe,Poids*COS(Beta),0)</f>
        <v>0</v>
      </c>
      <c r="V456" s="396" t="n">
        <f aca="false">Rho_moyen*(20000-Alt_rampe-pos_z)/(20000+Alt_rampe+pos_z)</f>
        <v>1.1631834326594</v>
      </c>
      <c r="W456" s="397" t="n">
        <f aca="false">1/2*Rho*Sref*Cx*vit_xz^2</f>
        <v>42.6767926424118</v>
      </c>
      <c r="Y456" s="401" t="str">
        <f aca="false">IF(AND(pos_z&lt;=0,K455&gt;0),"Impact balistique","") &amp; IF(AND(H457&lt;0,vit_z&gt;=0),"Apogée","") &amp; IF(AND(Poussee=0,Q455&gt;0),"Fin de propulsion","") &amp; IF(AND(L457&gt;L_rampe,pos_xz&lt;=L_rampe),"Sortie de rampe","")</f>
        <v/>
      </c>
      <c r="Z456" s="402" t="str">
        <f aca="false">IF(ABS(t-T_para)&lt;pas/2,"Para","")</f>
        <v/>
      </c>
      <c r="AA456" s="403" t="str">
        <f aca="false">IF(ABS(t-T_satellite)&lt;pas/2,"Satellite","")</f>
        <v/>
      </c>
      <c r="AC456" s="399" t="e">
        <f aca="false">IF(ABS(t-ROUND(t,0))&lt;0.001,t,NA())</f>
        <v>#N/A</v>
      </c>
      <c r="AD456" s="404" t="e">
        <f aca="false">IF(ABS(t-ROUND(t,0))&lt;0.001,pos_x,NA())</f>
        <v>#N/A</v>
      </c>
      <c r="AE456" s="405" t="e">
        <f aca="false">IF(t&lt;T_para, pos_z, NA())</f>
        <v>#N/A</v>
      </c>
      <c r="AG456" s="396" t="n">
        <f aca="false">IF(AND(L455&lt;L_rampe,Poussee&lt;Poids*SIN(M455)),0,(-W455+Poussee)/m-Poids*SIN(M455)/m)</f>
        <v>4.69223873856033</v>
      </c>
      <c r="AH456" s="397" t="n">
        <f aca="false">IF(AND(L455&lt;L_rampe,Poussee&lt;Poids*SIN(M455)), g*SIN(M455), (-W455+Poussee)/m)</f>
        <v>-4.99774117320278</v>
      </c>
    </row>
    <row r="457" customFormat="false" ht="12.75" hidden="false" customHeight="false" outlineLevel="0" collapsed="false">
      <c r="A457" s="396" t="n">
        <f aca="false">IF(B456+0.01&lt;=T_ini+ROUNDUP(Temps_fin_propu,0), 0.01, IF(K456&gt;0, 0.1, 0.0001))</f>
        <v>0.1</v>
      </c>
      <c r="B457" s="397" t="n">
        <f aca="false">B456+pas</f>
        <v>27.3000000000001</v>
      </c>
      <c r="D457" s="396" t="n">
        <f aca="false">IF(AND(L456&lt;L_rampe,Poussee&lt;Poids*SIN(M456)),0,(-W456+Poussee)/m*COS(M456)-U456/m*SIN(M456))</f>
        <v>-0.779878007787086</v>
      </c>
      <c r="E457" s="398" t="n">
        <f aca="false">IF(AND(L456&lt;L_rampe,Poussee&lt;Poids*SIN(M456)),0,(-W456+Poussee)/m*SIN(M456)+U456/m*COS(M456)-Poids/m)</f>
        <v>-4.82006799628166</v>
      </c>
      <c r="F457" s="397" t="n">
        <f aca="false">SQRT(acc_x^2+acc_z^2)</f>
        <v>4.88275180567358</v>
      </c>
      <c r="G457" s="396" t="n">
        <f aca="false">G456+acc_x*pas</f>
        <v>15.16954649363</v>
      </c>
      <c r="H457" s="398" t="n">
        <f aca="false">H456+acc_z*pas</f>
        <v>-98.0410591049402</v>
      </c>
      <c r="I457" s="397" t="n">
        <f aca="false">SQRT(vit_x^2+vit_z^2)</f>
        <v>99.2076832268589</v>
      </c>
      <c r="J457" s="396" t="n">
        <f aca="false">J456+0.5*(vit_x+G456)*pas*(K456&gt;=0)</f>
        <v>627.029545981928</v>
      </c>
      <c r="K457" s="398" t="n">
        <f aca="false">K456+0.5*(vit_z+H456)*pas</f>
        <v>507.906923291271</v>
      </c>
      <c r="L457" s="397" t="n">
        <f aca="false">SQRT(pos_x^2+pos_z^2)</f>
        <v>806.929671199113</v>
      </c>
      <c r="M457" s="396" t="n">
        <f aca="false">IF(AND(L456&gt;L_rampe,G457&gt;0),ATAN2(G457,H457),$M$4)</f>
        <v>-1.41728715529611</v>
      </c>
      <c r="N457" s="397" t="n">
        <f aca="false">DEGREES(Beta)</f>
        <v>-81.2045723565697</v>
      </c>
      <c r="P457" s="399" t="n">
        <f aca="false">MATCH(t-pas/2-T_ini,CdP_t)</f>
        <v>23</v>
      </c>
      <c r="Q457" s="397" t="n">
        <f aca="false">(INDEX(CdP,2,i_P+1)-INDEX(CdP,2,i_P+0))/(INDEX(CdP,1,i_P+1)-INDEX(CdP,1,i_P+0))*(t-pas/2-T_ini-INDEX(CdP,1,i_P+0))+INDEX(CdP,2,i_P+0)</f>
        <v>0</v>
      </c>
      <c r="R457" s="396" t="n">
        <f aca="false">Poussee/(g*ISP)</f>
        <v>0</v>
      </c>
      <c r="S457" s="398" t="n">
        <f aca="false">S456-Débit*pas</f>
        <v>8.45</v>
      </c>
      <c r="T457" s="397" t="n">
        <f aca="false">m*g</f>
        <v>82.8945</v>
      </c>
      <c r="U457" s="400" t="n">
        <f aca="false">IF(pos_xz&lt;L_rampe,Poids*COS(Beta),0)</f>
        <v>0</v>
      </c>
      <c r="V457" s="396" t="n">
        <f aca="false">Rho_moyen*(20000-Alt_rampe-pos_z)/(20000+Alt_rampe+pos_z)</f>
        <v>1.1643223322732</v>
      </c>
      <c r="W457" s="397" t="n">
        <f aca="false">1/2*Rho*Sref*Cx*vit_xz^2</f>
        <v>43.1212547858159</v>
      </c>
      <c r="Y457" s="401" t="str">
        <f aca="false">IF(AND(pos_z&lt;=0,K456&gt;0),"Impact balistique","") &amp; IF(AND(H458&lt;0,vit_z&gt;=0),"Apogée","") &amp; IF(AND(Poussee=0,Q456&gt;0),"Fin de propulsion","") &amp; IF(AND(L458&gt;L_rampe,pos_xz&lt;=L_rampe),"Sortie de rampe","")</f>
        <v/>
      </c>
      <c r="Z457" s="402" t="str">
        <f aca="false">IF(ABS(t-T_para)&lt;pas/2,"Para","")</f>
        <v/>
      </c>
      <c r="AA457" s="403" t="str">
        <f aca="false">IF(ABS(t-T_satellite)&lt;pas/2,"Satellite","")</f>
        <v/>
      </c>
      <c r="AC457" s="399" t="e">
        <f aca="false">IF(ABS(t-ROUND(t,0))&lt;0.001,t,NA())</f>
        <v>#N/A</v>
      </c>
      <c r="AD457" s="404" t="e">
        <f aca="false">IF(ABS(t-ROUND(t,0))&lt;0.001,pos_x,NA())</f>
        <v>#N/A</v>
      </c>
      <c r="AE457" s="405" t="e">
        <f aca="false">IF(t&lt;T_para, pos_z, NA())</f>
        <v>#N/A</v>
      </c>
      <c r="AG457" s="396" t="n">
        <f aca="false">IF(AND(L456&lt;L_rampe,Poussee&lt;Poids*SIN(M456)),0,(-W456+Poussee)/m-Poids*SIN(M456)/m)</f>
        <v>4.64183045040546</v>
      </c>
      <c r="AH457" s="397" t="n">
        <f aca="false">IF(AND(L456&lt;L_rampe,Poussee&lt;Poids*SIN(M456)), g*SIN(M456), (-W456+Poussee)/m)</f>
        <v>-5.05050800501915</v>
      </c>
    </row>
    <row r="458" customFormat="false" ht="12.75" hidden="false" customHeight="false" outlineLevel="0" collapsed="false">
      <c r="A458" s="396" t="n">
        <f aca="false">IF(B457+0.01&lt;=T_ini+ROUNDUP(Temps_fin_propu,0), 0.01, IF(K457&gt;0, 0.1, 0.0001))</f>
        <v>0.1</v>
      </c>
      <c r="B458" s="397" t="n">
        <f aca="false">B457+pas</f>
        <v>27.4000000000001</v>
      </c>
      <c r="D458" s="396" t="n">
        <f aca="false">IF(AND(L457&lt;L_rampe,Poussee&lt;Poids*SIN(M457)),0,(-W457+Poussee)/m*COS(M457)-U457/m*SIN(M457))</f>
        <v>-0.780300653356407</v>
      </c>
      <c r="E458" s="398" t="n">
        <f aca="false">IF(AND(L457&lt;L_rampe,Poussee&lt;Poids*SIN(M457)),0,(-W457+Poussee)/m*SIN(M457)+U457/m*COS(M457)-Poids/m)</f>
        <v>-4.76690246854357</v>
      </c>
      <c r="F458" s="397" t="n">
        <f aca="false">SQRT(acc_x^2+acc_z^2)</f>
        <v>4.8303445274882</v>
      </c>
      <c r="G458" s="396" t="n">
        <f aca="false">G457+acc_x*pas</f>
        <v>15.0915164282944</v>
      </c>
      <c r="H458" s="398" t="n">
        <f aca="false">H457+acc_z*pas</f>
        <v>-98.5177493517946</v>
      </c>
      <c r="I458" s="397" t="n">
        <f aca="false">SQRT(vit_x^2+vit_z^2)</f>
        <v>99.6669494137776</v>
      </c>
      <c r="J458" s="396" t="n">
        <f aca="false">J457+0.5*(vit_x+G457)*pas*(K457&gt;=0)</f>
        <v>628.542599128025</v>
      </c>
      <c r="K458" s="398" t="n">
        <f aca="false">K457+0.5*(vit_z+H457)*pas</f>
        <v>498.078982868434</v>
      </c>
      <c r="L458" s="397" t="n">
        <f aca="false">SQRT(pos_x^2+pos_z^2)</f>
        <v>801.96538085747</v>
      </c>
      <c r="M458" s="396" t="n">
        <f aca="false">IF(AND(L457&gt;L_rampe,G458&gt;0),ATAN2(G458,H458),$M$4)</f>
        <v>-1.41879218577572</v>
      </c>
      <c r="N458" s="397" t="n">
        <f aca="false">DEGREES(Beta)</f>
        <v>-81.2908042510899</v>
      </c>
      <c r="P458" s="399" t="n">
        <f aca="false">MATCH(t-pas/2-T_ini,CdP_t)</f>
        <v>23</v>
      </c>
      <c r="Q458" s="397" t="n">
        <f aca="false">(INDEX(CdP,2,i_P+1)-INDEX(CdP,2,i_P+0))/(INDEX(CdP,1,i_P+1)-INDEX(CdP,1,i_P+0))*(t-pas/2-T_ini-INDEX(CdP,1,i_P+0))+INDEX(CdP,2,i_P+0)</f>
        <v>0</v>
      </c>
      <c r="R458" s="396" t="n">
        <f aca="false">Poussee/(g*ISP)</f>
        <v>0</v>
      </c>
      <c r="S458" s="398" t="n">
        <f aca="false">S457-Débit*pas</f>
        <v>8.45</v>
      </c>
      <c r="T458" s="397" t="n">
        <f aca="false">m*g</f>
        <v>82.8945</v>
      </c>
      <c r="U458" s="400" t="n">
        <f aca="false">IF(pos_xz&lt;L_rampe,Poids*COS(Beta),0)</f>
        <v>0</v>
      </c>
      <c r="V458" s="396" t="n">
        <f aca="false">Rho_moyen*(20000-Alt_rampe-pos_z)/(20000+Alt_rampe+pos_z)</f>
        <v>1.16546790877099</v>
      </c>
      <c r="W458" s="397" t="n">
        <f aca="false">1/2*Rho*Sref*Cx*vit_xz^2</f>
        <v>43.5642456075397</v>
      </c>
      <c r="Y458" s="401" t="str">
        <f aca="false">IF(AND(pos_z&lt;=0,K457&gt;0),"Impact balistique","") &amp; IF(AND(H459&lt;0,vit_z&gt;=0),"Apogée","") &amp; IF(AND(Poussee=0,Q457&gt;0),"Fin de propulsion","") &amp; IF(AND(L459&gt;L_rampe,pos_xz&lt;=L_rampe),"Sortie de rampe","")</f>
        <v/>
      </c>
      <c r="Z458" s="402" t="str">
        <f aca="false">IF(ABS(t-T_para)&lt;pas/2,"Para","")</f>
        <v/>
      </c>
      <c r="AA458" s="403" t="str">
        <f aca="false">IF(ABS(t-T_satellite)&lt;pas/2,"Satellite","")</f>
        <v/>
      </c>
      <c r="AC458" s="399" t="e">
        <f aca="false">IF(ABS(t-ROUND(t,0))&lt;0.001,t,NA())</f>
        <v>#N/A</v>
      </c>
      <c r="AD458" s="404" t="e">
        <f aca="false">IF(ABS(t-ROUND(t,0))&lt;0.001,pos_x,NA())</f>
        <v>#N/A</v>
      </c>
      <c r="AE458" s="405" t="e">
        <f aca="false">IF(t&lt;T_para, pos_z, NA())</f>
        <v>#N/A</v>
      </c>
      <c r="AG458" s="396" t="n">
        <f aca="false">IF(AND(L457&lt;L_rampe,Poussee&lt;Poids*SIN(M457)),0,(-W457+Poussee)/m-Poids*SIN(M457)/m)</f>
        <v>4.59153308301975</v>
      </c>
      <c r="AH458" s="397" t="n">
        <f aca="false">IF(AND(L457&lt;L_rampe,Poussee&lt;Poids*SIN(M457)), g*SIN(M457), (-W457+Poussee)/m)</f>
        <v>-5.10310707524449</v>
      </c>
    </row>
    <row r="459" customFormat="false" ht="12.75" hidden="false" customHeight="false" outlineLevel="0" collapsed="false">
      <c r="A459" s="396" t="n">
        <f aca="false">IF(B458+0.01&lt;=T_ini+ROUNDUP(Temps_fin_propu,0), 0.01, IF(K458&gt;0, 0.1, 0.0001))</f>
        <v>0.1</v>
      </c>
      <c r="B459" s="397" t="n">
        <f aca="false">B458+pas</f>
        <v>27.5000000000001</v>
      </c>
      <c r="D459" s="396" t="n">
        <f aca="false">IF(AND(L458&lt;L_rampe,Poussee&lt;Poids*SIN(M458)),0,(-W458+Poussee)/m*COS(M458)-U458/m*SIN(M458))</f>
        <v>-0.780647914909526</v>
      </c>
      <c r="E459" s="398" t="n">
        <f aca="false">IF(AND(L458&lt;L_rampe,Poussee&lt;Poids*SIN(M458)),0,(-W458+Poussee)/m*SIN(M458)+U458/m*COS(M458)-Poids/m)</f>
        <v>-4.713913335782</v>
      </c>
      <c r="F459" s="397" t="n">
        <f aca="false">SQRT(acc_x^2+acc_z^2)</f>
        <v>4.77811574831711</v>
      </c>
      <c r="G459" s="396" t="n">
        <f aca="false">G458+acc_x*pas</f>
        <v>15.0134516368034</v>
      </c>
      <c r="H459" s="398" t="n">
        <f aca="false">H458+acc_z*pas</f>
        <v>-98.9891406853728</v>
      </c>
      <c r="I459" s="397" t="n">
        <f aca="false">SQRT(vit_x^2+vit_z^2)</f>
        <v>100.121195077162</v>
      </c>
      <c r="J459" s="396" t="n">
        <f aca="false">J458+0.5*(vit_x+G458)*pas*(K458&gt;=0)</f>
        <v>630.04784753128</v>
      </c>
      <c r="K459" s="398" t="n">
        <f aca="false">K458+0.5*(vit_z+H458)*pas</f>
        <v>488.203638366576</v>
      </c>
      <c r="L459" s="397" t="n">
        <f aca="false">SQRT(pos_x^2+pos_z^2)</f>
        <v>797.059020834192</v>
      </c>
      <c r="M459" s="396" t="n">
        <f aca="false">IF(AND(L458&gt;L_rampe,G459&gt;0),ATAN2(G459,H459),$M$4)</f>
        <v>-1.42027581321546</v>
      </c>
      <c r="N459" s="397" t="n">
        <f aca="false">DEGREES(Beta)</f>
        <v>-81.3758098417565</v>
      </c>
      <c r="P459" s="399" t="n">
        <f aca="false">MATCH(t-pas/2-T_ini,CdP_t)</f>
        <v>23</v>
      </c>
      <c r="Q459" s="397" t="n">
        <f aca="false">(INDEX(CdP,2,i_P+1)-INDEX(CdP,2,i_P+0))/(INDEX(CdP,1,i_P+1)-INDEX(CdP,1,i_P+0))*(t-pas/2-T_ini-INDEX(CdP,1,i_P+0))+INDEX(CdP,2,i_P+0)</f>
        <v>0</v>
      </c>
      <c r="R459" s="396" t="n">
        <f aca="false">Poussee/(g*ISP)</f>
        <v>0</v>
      </c>
      <c r="S459" s="398" t="n">
        <f aca="false">S458-Débit*pas</f>
        <v>8.45</v>
      </c>
      <c r="T459" s="397" t="n">
        <f aca="false">m*g</f>
        <v>82.8945</v>
      </c>
      <c r="U459" s="400" t="n">
        <f aca="false">IF(pos_xz&lt;L_rampe,Poids*COS(Beta),0)</f>
        <v>0</v>
      </c>
      <c r="V459" s="396" t="n">
        <f aca="false">Rho_moyen*(20000-Alt_rampe-pos_z)/(20000+Alt_rampe+pos_z)</f>
        <v>1.1666201178439</v>
      </c>
      <c r="W459" s="397" t="n">
        <f aca="false">1/2*Rho*Sref*Cx*vit_xz^2</f>
        <v>44.0057125806422</v>
      </c>
      <c r="Y459" s="401" t="str">
        <f aca="false">IF(AND(pos_z&lt;=0,K458&gt;0),"Impact balistique","") &amp; IF(AND(H460&lt;0,vit_z&gt;=0),"Apogée","") &amp; IF(AND(Poussee=0,Q458&gt;0),"Fin de propulsion","") &amp; IF(AND(L460&gt;L_rampe,pos_xz&lt;=L_rampe),"Sortie de rampe","")</f>
        <v/>
      </c>
      <c r="Z459" s="402" t="str">
        <f aca="false">IF(ABS(t-T_para)&lt;pas/2,"Para","")</f>
        <v/>
      </c>
      <c r="AA459" s="403" t="str">
        <f aca="false">IF(ABS(t-T_satellite)&lt;pas/2,"Satellite","")</f>
        <v/>
      </c>
      <c r="AC459" s="399" t="e">
        <f aca="false">IF(ABS(t-ROUND(t,0))&lt;0.001,t,NA())</f>
        <v>#N/A</v>
      </c>
      <c r="AD459" s="404" t="e">
        <f aca="false">IF(ABS(t-ROUND(t,0))&lt;0.001,pos_x,NA())</f>
        <v>#N/A</v>
      </c>
      <c r="AE459" s="405" t="e">
        <f aca="false">IF(t&lt;T_para, pos_z, NA())</f>
        <v>#N/A</v>
      </c>
      <c r="AG459" s="396" t="n">
        <f aca="false">IF(AND(L458&lt;L_rampe,Poussee&lt;Poids*SIN(M458)),0,(-W458+Poussee)/m-Poids*SIN(M458)/m)</f>
        <v>4.54135472501492</v>
      </c>
      <c r="AH459" s="397" t="n">
        <f aca="false">IF(AND(L458&lt;L_rampe,Poussee&lt;Poids*SIN(M458)), g*SIN(M458), (-W458+Poussee)/m)</f>
        <v>-5.15553202456091</v>
      </c>
    </row>
    <row r="460" customFormat="false" ht="12.75" hidden="false" customHeight="false" outlineLevel="0" collapsed="false">
      <c r="A460" s="396" t="n">
        <f aca="false">IF(B459+0.01&lt;=T_ini+ROUNDUP(Temps_fin_propu,0), 0.01, IF(K459&gt;0, 0.1, 0.0001))</f>
        <v>0.1</v>
      </c>
      <c r="B460" s="397" t="n">
        <f aca="false">B459+pas</f>
        <v>27.6000000000001</v>
      </c>
      <c r="D460" s="396" t="n">
        <f aca="false">IF(AND(L459&lt;L_rampe,Poussee&lt;Poids*SIN(M459)),0,(-W459+Poussee)/m*COS(M459)-U459/m*SIN(M459))</f>
        <v>-0.780920589402167</v>
      </c>
      <c r="E460" s="398" t="n">
        <f aca="false">IF(AND(L459&lt;L_rampe,Poussee&lt;Poids*SIN(M459)),0,(-W459+Poussee)/m*SIN(M459)+U459/m*COS(M459)-Poids/m)</f>
        <v>-4.66110686346512</v>
      </c>
      <c r="F460" s="397" t="n">
        <f aca="false">SQRT(acc_x^2+acc_z^2)</f>
        <v>4.72607174719067</v>
      </c>
      <c r="G460" s="396" t="n">
        <f aca="false">G459+acc_x*pas</f>
        <v>14.9353595778632</v>
      </c>
      <c r="H460" s="398" t="n">
        <f aca="false">H459+acc_z*pas</f>
        <v>-99.4552513717193</v>
      </c>
      <c r="I460" s="397" t="n">
        <f aca="false">SQRT(vit_x^2+vit_z^2)</f>
        <v>100.570432986698</v>
      </c>
      <c r="J460" s="396" t="n">
        <f aca="false">J459+0.5*(vit_x+G459)*pas*(K459&gt;=0)</f>
        <v>631.545288092013</v>
      </c>
      <c r="K460" s="398" t="n">
        <f aca="false">K459+0.5*(vit_z+H459)*pas</f>
        <v>478.281418763721</v>
      </c>
      <c r="L460" s="397" t="n">
        <f aca="false">SQRT(pos_x^2+pos_z^2)</f>
        <v>792.21371260908</v>
      </c>
      <c r="M460" s="396" t="n">
        <f aca="false">IF(AND(L459&gt;L_rampe,G460&gt;0),ATAN2(G460,H460),$M$4)</f>
        <v>-1.42173850683451</v>
      </c>
      <c r="N460" s="397" t="n">
        <f aca="false">DEGREES(Beta)</f>
        <v>-81.4596160128488</v>
      </c>
      <c r="P460" s="399" t="n">
        <f aca="false">MATCH(t-pas/2-T_ini,CdP_t)</f>
        <v>23</v>
      </c>
      <c r="Q460" s="397" t="n">
        <f aca="false">(INDEX(CdP,2,i_P+1)-INDEX(CdP,2,i_P+0))/(INDEX(CdP,1,i_P+1)-INDEX(CdP,1,i_P+0))*(t-pas/2-T_ini-INDEX(CdP,1,i_P+0))+INDEX(CdP,2,i_P+0)</f>
        <v>0</v>
      </c>
      <c r="R460" s="396" t="n">
        <f aca="false">Poussee/(g*ISP)</f>
        <v>0</v>
      </c>
      <c r="S460" s="398" t="n">
        <f aca="false">S459-Débit*pas</f>
        <v>8.45</v>
      </c>
      <c r="T460" s="397" t="n">
        <f aca="false">m*g</f>
        <v>82.8945</v>
      </c>
      <c r="U460" s="400" t="n">
        <f aca="false">IF(pos_xz&lt;L_rampe,Poids*COS(Beta),0)</f>
        <v>0</v>
      </c>
      <c r="V460" s="396" t="n">
        <f aca="false">Rho_moyen*(20000-Alt_rampe-pos_z)/(20000+Alt_rampe+pos_z)</f>
        <v>1.16777891528058</v>
      </c>
      <c r="W460" s="397" t="n">
        <f aca="false">1/2*Rho*Sref*Cx*vit_xz^2</f>
        <v>44.4456043862903</v>
      </c>
      <c r="Y460" s="401" t="str">
        <f aca="false">IF(AND(pos_z&lt;=0,K459&gt;0),"Impact balistique","") &amp; IF(AND(H461&lt;0,vit_z&gt;=0),"Apogée","") &amp; IF(AND(Poussee=0,Q459&gt;0),"Fin de propulsion","") &amp; IF(AND(L461&gt;L_rampe,pos_xz&lt;=L_rampe),"Sortie de rampe","")</f>
        <v/>
      </c>
      <c r="Z460" s="402" t="str">
        <f aca="false">IF(ABS(t-T_para)&lt;pas/2,"Para","")</f>
        <v/>
      </c>
      <c r="AA460" s="403" t="str">
        <f aca="false">IF(ABS(t-T_satellite)&lt;pas/2,"Satellite","")</f>
        <v/>
      </c>
      <c r="AC460" s="399" t="e">
        <f aca="false">IF(ABS(t-ROUND(t,0))&lt;0.001,t,NA())</f>
        <v>#N/A</v>
      </c>
      <c r="AD460" s="404" t="e">
        <f aca="false">IF(ABS(t-ROUND(t,0))&lt;0.001,pos_x,NA())</f>
        <v>#N/A</v>
      </c>
      <c r="AE460" s="405" t="e">
        <f aca="false">IF(t&lt;T_para, pos_z, NA())</f>
        <v>#N/A</v>
      </c>
      <c r="AG460" s="396" t="n">
        <f aca="false">IF(AND(L459&lt;L_rampe,Poussee&lt;Poids*SIN(M459)),0,(-W459+Poussee)/m-Poids*SIN(M459)/m)</f>
        <v>4.49130325711128</v>
      </c>
      <c r="AH460" s="397" t="n">
        <f aca="false">IF(AND(L459&lt;L_rampe,Poussee&lt;Poids*SIN(M459)), g*SIN(M459), (-W459+Poussee)/m)</f>
        <v>-5.20777663676239</v>
      </c>
    </row>
    <row r="461" customFormat="false" ht="12.75" hidden="false" customHeight="false" outlineLevel="0" collapsed="false">
      <c r="A461" s="396" t="n">
        <f aca="false">IF(B460+0.01&lt;=T_ini+ROUNDUP(Temps_fin_propu,0), 0.01, IF(K460&gt;0, 0.1, 0.0001))</f>
        <v>0.1</v>
      </c>
      <c r="B461" s="397" t="n">
        <f aca="false">B460+pas</f>
        <v>27.7000000000001</v>
      </c>
      <c r="D461" s="396" t="n">
        <f aca="false">IF(AND(L460&lt;L_rampe,Poussee&lt;Poids*SIN(M460)),0,(-W460+Poussee)/m*COS(M460)-U460/m*SIN(M460))</f>
        <v>-0.781119483151334</v>
      </c>
      <c r="E461" s="398" t="n">
        <f aca="false">IF(AND(L460&lt;L_rampe,Poussee&lt;Poids*SIN(M460)),0,(-W460+Poussee)/m*SIN(M460)+U460/m*COS(M460)-Poids/m)</f>
        <v>-4.60848917308236</v>
      </c>
      <c r="F461" s="397" t="n">
        <f aca="false">SQRT(acc_x^2+acc_z^2)</f>
        <v>4.67421866255484</v>
      </c>
      <c r="G461" s="396" t="n">
        <f aca="false">G460+acc_x*pas</f>
        <v>14.857247629548</v>
      </c>
      <c r="H461" s="398" t="n">
        <f aca="false">H460+acc_z*pas</f>
        <v>-99.9161002890275</v>
      </c>
      <c r="I461" s="397" t="n">
        <f aca="false">SQRT(vit_x^2+vit_z^2)</f>
        <v>101.014676676673</v>
      </c>
      <c r="J461" s="396" t="n">
        <f aca="false">J460+0.5*(vit_x+G460)*pas*(K460&gt;=0)</f>
        <v>633.034918452384</v>
      </c>
      <c r="K461" s="398" t="n">
        <f aca="false">K460+0.5*(vit_z+H460)*pas</f>
        <v>468.312851180684</v>
      </c>
      <c r="L461" s="397" t="n">
        <f aca="false">SQRT(pos_x^2+pos_z^2)</f>
        <v>787.432622235704</v>
      </c>
      <c r="M461" s="396" t="n">
        <f aca="false">IF(AND(L460&gt;L_rampe,G461&gt;0),ATAN2(G461,H461),$M$4)</f>
        <v>-1.42318072194972</v>
      </c>
      <c r="N461" s="397" t="n">
        <f aca="false">DEGREES(Beta)</f>
        <v>-81.5422488521003</v>
      </c>
      <c r="P461" s="399" t="n">
        <f aca="false">MATCH(t-pas/2-T_ini,CdP_t)</f>
        <v>23</v>
      </c>
      <c r="Q461" s="397" t="n">
        <f aca="false">(INDEX(CdP,2,i_P+1)-INDEX(CdP,2,i_P+0))/(INDEX(CdP,1,i_P+1)-INDEX(CdP,1,i_P+0))*(t-pas/2-T_ini-INDEX(CdP,1,i_P+0))+INDEX(CdP,2,i_P+0)</f>
        <v>0</v>
      </c>
      <c r="R461" s="396" t="n">
        <f aca="false">Poussee/(g*ISP)</f>
        <v>0</v>
      </c>
      <c r="S461" s="398" t="n">
        <f aca="false">S460-Débit*pas</f>
        <v>8.45</v>
      </c>
      <c r="T461" s="397" t="n">
        <f aca="false">m*g</f>
        <v>82.8945</v>
      </c>
      <c r="U461" s="400" t="n">
        <f aca="false">IF(pos_xz&lt;L_rampe,Poids*COS(Beta),0)</f>
        <v>0</v>
      </c>
      <c r="V461" s="396" t="n">
        <f aca="false">Rho_moyen*(20000-Alt_rampe-pos_z)/(20000+Alt_rampe+pos_z)</f>
        <v>1.16894425697248</v>
      </c>
      <c r="W461" s="397" t="n">
        <f aca="false">1/2*Rho*Sref*Cx*vit_xz^2</f>
        <v>44.8838709119598</v>
      </c>
      <c r="Y461" s="401" t="str">
        <f aca="false">IF(AND(pos_z&lt;=0,K460&gt;0),"Impact balistique","") &amp; IF(AND(H462&lt;0,vit_z&gt;=0),"Apogée","") &amp; IF(AND(Poussee=0,Q460&gt;0),"Fin de propulsion","") &amp; IF(AND(L462&gt;L_rampe,pos_xz&lt;=L_rampe),"Sortie de rampe","")</f>
        <v/>
      </c>
      <c r="Z461" s="402" t="str">
        <f aca="false">IF(ABS(t-T_para)&lt;pas/2,"Para","")</f>
        <v/>
      </c>
      <c r="AA461" s="403" t="str">
        <f aca="false">IF(ABS(t-T_satellite)&lt;pas/2,"Satellite","")</f>
        <v/>
      </c>
      <c r="AC461" s="399" t="e">
        <f aca="false">IF(ABS(t-ROUND(t,0))&lt;0.001,t,NA())</f>
        <v>#N/A</v>
      </c>
      <c r="AD461" s="404" t="e">
        <f aca="false">IF(ABS(t-ROUND(t,0))&lt;0.001,pos_x,NA())</f>
        <v>#N/A</v>
      </c>
      <c r="AE461" s="405" t="e">
        <f aca="false">IF(t&lt;T_para, pos_z, NA())</f>
        <v>#N/A</v>
      </c>
      <c r="AG461" s="396" t="n">
        <f aca="false">IF(AND(L460&lt;L_rampe,Poussee&lt;Poids*SIN(M460)),0,(-W460+Poussee)/m-Poids*SIN(M460)/m)</f>
        <v>4.44138635514965</v>
      </c>
      <c r="AH461" s="397" t="n">
        <f aca="false">IF(AND(L460&lt;L_rampe,Poussee&lt;Poids*SIN(M460)), g*SIN(M460), (-W460+Poussee)/m)</f>
        <v>-5.25983483861423</v>
      </c>
    </row>
    <row r="462" customFormat="false" ht="12.75" hidden="false" customHeight="false" outlineLevel="0" collapsed="false">
      <c r="A462" s="396" t="n">
        <f aca="false">IF(B461+0.01&lt;=T_ini+ROUNDUP(Temps_fin_propu,0), 0.01, IF(K461&gt;0, 0.1, 0.0001))</f>
        <v>0.1</v>
      </c>
      <c r="B462" s="397" t="n">
        <f aca="false">B461+pas</f>
        <v>27.8000000000001</v>
      </c>
      <c r="D462" s="396" t="n">
        <f aca="false">IF(AND(L461&lt;L_rampe,Poussee&lt;Poids*SIN(M461)),0,(-W461+Poussee)/m*COS(M461)-U461/m*SIN(M461))</f>
        <v>-0.781245411309846</v>
      </c>
      <c r="E462" s="398" t="n">
        <f aca="false">IF(AND(L461&lt;L_rampe,Poussee&lt;Poids*SIN(M461)),0,(-W461+Poussee)/m*SIN(M461)+U461/m*COS(M461)-Poids/m)</f>
        <v>-4.55606624234131</v>
      </c>
      <c r="F462" s="397" t="n">
        <f aca="false">SQRT(acc_x^2+acc_z^2)</f>
        <v>4.62256249252455</v>
      </c>
      <c r="G462" s="396" t="n">
        <f aca="false">G461+acc_x*pas</f>
        <v>14.7791230884171</v>
      </c>
      <c r="H462" s="398" t="n">
        <f aca="false">H461+acc_z*pas</f>
        <v>-100.371706913262</v>
      </c>
      <c r="I462" s="397" t="n">
        <f aca="false">SQRT(vit_x^2+vit_z^2)</f>
        <v>101.453940425911</v>
      </c>
      <c r="J462" s="396" t="n">
        <f aca="false">J461+0.5*(vit_x+G461)*pas*(K461&gt;=0)</f>
        <v>634.516736988282</v>
      </c>
      <c r="K462" s="398" t="n">
        <f aca="false">K461+0.5*(vit_z+H461)*pas</f>
        <v>458.298460820569</v>
      </c>
      <c r="L462" s="397" t="n">
        <f aca="false">SQRT(pos_x^2+pos_z^2)</f>
        <v>782.718958955741</v>
      </c>
      <c r="M462" s="396" t="n">
        <f aca="false">IF(AND(L461&gt;L_rampe,G462&gt;0),ATAN2(G462,H462),$M$4)</f>
        <v>-1.42460290047999</v>
      </c>
      <c r="N462" s="397" t="n">
        <f aca="false">DEGREES(Beta)</f>
        <v>-81.6237336795993</v>
      </c>
      <c r="P462" s="399" t="n">
        <f aca="false">MATCH(t-pas/2-T_ini,CdP_t)</f>
        <v>23</v>
      </c>
      <c r="Q462" s="397" t="n">
        <f aca="false">(INDEX(CdP,2,i_P+1)-INDEX(CdP,2,i_P+0))/(INDEX(CdP,1,i_P+1)-INDEX(CdP,1,i_P+0))*(t-pas/2-T_ini-INDEX(CdP,1,i_P+0))+INDEX(CdP,2,i_P+0)</f>
        <v>0</v>
      </c>
      <c r="R462" s="396" t="n">
        <f aca="false">Poussee/(g*ISP)</f>
        <v>0</v>
      </c>
      <c r="S462" s="398" t="n">
        <f aca="false">S461-Débit*pas</f>
        <v>8.45</v>
      </c>
      <c r="T462" s="397" t="n">
        <f aca="false">m*g</f>
        <v>82.8945</v>
      </c>
      <c r="U462" s="400" t="n">
        <f aca="false">IF(pos_xz&lt;L_rampe,Poids*COS(Beta),0)</f>
        <v>0</v>
      </c>
      <c r="V462" s="396" t="n">
        <f aca="false">Rho_moyen*(20000-Alt_rampe-pos_z)/(20000+Alt_rampe+pos_z)</f>
        <v>1.17011609891894</v>
      </c>
      <c r="W462" s="397" t="n">
        <f aca="false">1/2*Rho*Sref*Cx*vit_xz^2</f>
        <v>45.3204632490389</v>
      </c>
      <c r="Y462" s="401" t="str">
        <f aca="false">IF(AND(pos_z&lt;=0,K461&gt;0),"Impact balistique","") &amp; IF(AND(H463&lt;0,vit_z&gt;=0),"Apogée","") &amp; IF(AND(Poussee=0,Q461&gt;0),"Fin de propulsion","") &amp; IF(AND(L463&gt;L_rampe,pos_xz&lt;=L_rampe),"Sortie de rampe","")</f>
        <v/>
      </c>
      <c r="Z462" s="402" t="str">
        <f aca="false">IF(ABS(t-T_para)&lt;pas/2,"Para","")</f>
        <v/>
      </c>
      <c r="AA462" s="403" t="str">
        <f aca="false">IF(ABS(t-T_satellite)&lt;pas/2,"Satellite","")</f>
        <v/>
      </c>
      <c r="AC462" s="399" t="e">
        <f aca="false">IF(ABS(t-ROUND(t,0))&lt;0.001,t,NA())</f>
        <v>#N/A</v>
      </c>
      <c r="AD462" s="404" t="e">
        <f aca="false">IF(ABS(t-ROUND(t,0))&lt;0.001,pos_x,NA())</f>
        <v>#N/A</v>
      </c>
      <c r="AE462" s="405" t="e">
        <f aca="false">IF(t&lt;T_para, pos_z, NA())</f>
        <v>#N/A</v>
      </c>
      <c r="AG462" s="396" t="n">
        <f aca="false">IF(AND(L461&lt;L_rampe,Poussee&lt;Poids*SIN(M461)),0,(-W461+Poussee)/m-Poids*SIN(M461)/m)</f>
        <v>4.39161149302964</v>
      </c>
      <c r="AH462" s="397" t="n">
        <f aca="false">IF(AND(L461&lt;L_rampe,Poussee&lt;Poids*SIN(M461)), g*SIN(M461), (-W461+Poussee)/m)</f>
        <v>-5.31170069964021</v>
      </c>
    </row>
    <row r="463" customFormat="false" ht="12.75" hidden="false" customHeight="false" outlineLevel="0" collapsed="false">
      <c r="A463" s="396" t="n">
        <f aca="false">IF(B462+0.01&lt;=T_ini+ROUNDUP(Temps_fin_propu,0), 0.01, IF(K462&gt;0, 0.1, 0.0001))</f>
        <v>0.1</v>
      </c>
      <c r="B463" s="397" t="n">
        <f aca="false">B462+pas</f>
        <v>27.9000000000001</v>
      </c>
      <c r="D463" s="396" t="n">
        <f aca="false">IF(AND(L462&lt;L_rampe,Poussee&lt;Poids*SIN(M462)),0,(-W462+Poussee)/m*COS(M462)-U462/m*SIN(M462))</f>
        <v>-0.781299197349201</v>
      </c>
      <c r="E463" s="398" t="n">
        <f aca="false">IF(AND(L462&lt;L_rampe,Poussee&lt;Poids*SIN(M462)),0,(-W462+Poussee)/m*SIN(M462)+U462/m*COS(M462)-Poids/m)</f>
        <v>-4.50384390543703</v>
      </c>
      <c r="F463" s="397" t="n">
        <f aca="false">SQRT(acc_x^2+acc_z^2)</f>
        <v>4.571109095211</v>
      </c>
      <c r="G463" s="396" t="n">
        <f aca="false">G462+acc_x*pas</f>
        <v>14.7009931686821</v>
      </c>
      <c r="H463" s="398" t="n">
        <f aca="false">H462+acc_z*pas</f>
        <v>-100.822091303805</v>
      </c>
      <c r="I463" s="397" t="n">
        <f aca="false">SQRT(vit_x^2+vit_z^2)</f>
        <v>101.888239237993</v>
      </c>
      <c r="J463" s="396" t="n">
        <f aca="false">J462+0.5*(vit_x+G462)*pas*(K462&gt;=0)</f>
        <v>635.990742801137</v>
      </c>
      <c r="K463" s="398" t="n">
        <f aca="false">K462+0.5*(vit_z+H462)*pas</f>
        <v>448.238770909716</v>
      </c>
      <c r="L463" s="397" t="n">
        <f aca="false">SQRT(pos_x^2+pos_z^2)</f>
        <v>778.075973588309</v>
      </c>
      <c r="M463" s="396" t="n">
        <f aca="false">IF(AND(L462&gt;L_rampe,G463&gt;0),ATAN2(G463,H463),$M$4)</f>
        <v>-1.42600547142923</v>
      </c>
      <c r="N463" s="397" t="n">
        <f aca="false">DEGREES(Beta)</f>
        <v>-81.704095075458</v>
      </c>
      <c r="P463" s="399" t="n">
        <f aca="false">MATCH(t-pas/2-T_ini,CdP_t)</f>
        <v>23</v>
      </c>
      <c r="Q463" s="397" t="n">
        <f aca="false">(INDEX(CdP,2,i_P+1)-INDEX(CdP,2,i_P+0))/(INDEX(CdP,1,i_P+1)-INDEX(CdP,1,i_P+0))*(t-pas/2-T_ini-INDEX(CdP,1,i_P+0))+INDEX(CdP,2,i_P+0)</f>
        <v>0</v>
      </c>
      <c r="R463" s="396" t="n">
        <f aca="false">Poussee/(g*ISP)</f>
        <v>0</v>
      </c>
      <c r="S463" s="398" t="n">
        <f aca="false">S462-Débit*pas</f>
        <v>8.45</v>
      </c>
      <c r="T463" s="397" t="n">
        <f aca="false">m*g</f>
        <v>82.8945</v>
      </c>
      <c r="U463" s="400" t="n">
        <f aca="false">IF(pos_xz&lt;L_rampe,Poids*COS(Beta),0)</f>
        <v>0</v>
      </c>
      <c r="V463" s="396" t="n">
        <f aca="false">Rho_moyen*(20000-Alt_rampe-pos_z)/(20000+Alt_rampe+pos_z)</f>
        <v>1.17129439723234</v>
      </c>
      <c r="W463" s="397" t="n">
        <f aca="false">1/2*Rho*Sref*Cx*vit_xz^2</f>
        <v>45.7553336898503</v>
      </c>
      <c r="Y463" s="401" t="str">
        <f aca="false">IF(AND(pos_z&lt;=0,K462&gt;0),"Impact balistique","") &amp; IF(AND(H464&lt;0,vit_z&gt;=0),"Apogée","") &amp; IF(AND(Poussee=0,Q462&gt;0),"Fin de propulsion","") &amp; IF(AND(L464&gt;L_rampe,pos_xz&lt;=L_rampe),"Sortie de rampe","")</f>
        <v/>
      </c>
      <c r="Z463" s="402" t="str">
        <f aca="false">IF(ABS(t-T_para)&lt;pas/2,"Para","")</f>
        <v/>
      </c>
      <c r="AA463" s="403" t="str">
        <f aca="false">IF(ABS(t-T_satellite)&lt;pas/2,"Satellite","")</f>
        <v/>
      </c>
      <c r="AC463" s="399" t="e">
        <f aca="false">IF(ABS(t-ROUND(t,0))&lt;0.001,t,NA())</f>
        <v>#N/A</v>
      </c>
      <c r="AD463" s="404" t="e">
        <f aca="false">IF(ABS(t-ROUND(t,0))&lt;0.001,pos_x,NA())</f>
        <v>#N/A</v>
      </c>
      <c r="AE463" s="405" t="e">
        <f aca="false">IF(t&lt;T_para, pos_z, NA())</f>
        <v>#N/A</v>
      </c>
      <c r="AG463" s="396" t="n">
        <f aca="false">IF(AND(L462&lt;L_rampe,Poussee&lt;Poids*SIN(M462)),0,(-W462+Poussee)/m-Poids*SIN(M462)/m)</f>
        <v>4.34198594558083</v>
      </c>
      <c r="AH463" s="397" t="n">
        <f aca="false">IF(AND(L462&lt;L_rampe,Poussee&lt;Poids*SIN(M462)), g*SIN(M462), (-W462+Poussee)/m)</f>
        <v>-5.36336843183892</v>
      </c>
    </row>
    <row r="464" customFormat="false" ht="12.75" hidden="false" customHeight="false" outlineLevel="0" collapsed="false">
      <c r="A464" s="396" t="n">
        <f aca="false">IF(B463+0.01&lt;=T_ini+ROUNDUP(Temps_fin_propu,0), 0.01, IF(K463&gt;0, 0.1, 0.0001))</f>
        <v>0.1</v>
      </c>
      <c r="B464" s="397" t="n">
        <f aca="false">B463+pas</f>
        <v>28.0000000000001</v>
      </c>
      <c r="D464" s="396" t="n">
        <f aca="false">IF(AND(L463&lt;L_rampe,Poussee&lt;Poids*SIN(M463)),0,(-W463+Poussee)/m*COS(M463)-U463/m*SIN(M463))</f>
        <v>-0.781281672550843</v>
      </c>
      <c r="E464" s="398" t="n">
        <f aca="false">IF(AND(L463&lt;L_rampe,Poussee&lt;Poids*SIN(M463)),0,(-W463+Poussee)/m*SIN(M463)+U463/m*COS(M463)-Poids/m)</f>
        <v>-4.45182785339175</v>
      </c>
      <c r="F464" s="397" t="n">
        <f aca="false">SQRT(acc_x^2+acc_z^2)</f>
        <v>4.519864189121</v>
      </c>
      <c r="G464" s="396" t="n">
        <f aca="false">G463+acc_x*pas</f>
        <v>14.6228650014271</v>
      </c>
      <c r="H464" s="398" t="n">
        <f aca="false">H463+acc_z*pas</f>
        <v>-101.267274089145</v>
      </c>
      <c r="I464" s="397" t="n">
        <f aca="false">SQRT(vit_x^2+vit_z^2)</f>
        <v>102.317588821746</v>
      </c>
      <c r="J464" s="396" t="n">
        <f aca="false">J463+0.5*(vit_x+G463)*pas*(K463&gt;=0)</f>
        <v>637.456935709642</v>
      </c>
      <c r="K464" s="398" t="n">
        <f aca="false">K463+0.5*(vit_z+H463)*pas</f>
        <v>438.134302640069</v>
      </c>
      <c r="L464" s="397" t="n">
        <f aca="false">SQRT(pos_x^2+pos_z^2)</f>
        <v>773.506956681209</v>
      </c>
      <c r="M464" s="396" t="n">
        <f aca="false">IF(AND(L463&gt;L_rampe,G464&gt;0),ATAN2(G464,H464),$M$4)</f>
        <v>-1.42738885134875</v>
      </c>
      <c r="N464" s="397" t="n">
        <f aca="false">DEGREES(Beta)</f>
        <v>-81.7833569063099</v>
      </c>
      <c r="P464" s="399" t="n">
        <f aca="false">MATCH(t-pas/2-T_ini,CdP_t)</f>
        <v>23</v>
      </c>
      <c r="Q464" s="397" t="n">
        <f aca="false">(INDEX(CdP,2,i_P+1)-INDEX(CdP,2,i_P+0))/(INDEX(CdP,1,i_P+1)-INDEX(CdP,1,i_P+0))*(t-pas/2-T_ini-INDEX(CdP,1,i_P+0))+INDEX(CdP,2,i_P+0)</f>
        <v>0</v>
      </c>
      <c r="R464" s="396" t="n">
        <f aca="false">Poussee/(g*ISP)</f>
        <v>0</v>
      </c>
      <c r="S464" s="398" t="n">
        <f aca="false">S463-Débit*pas</f>
        <v>8.45</v>
      </c>
      <c r="T464" s="397" t="n">
        <f aca="false">m*g</f>
        <v>82.8945</v>
      </c>
      <c r="U464" s="400" t="n">
        <f aca="false">IF(pos_xz&lt;L_rampe,Poids*COS(Beta),0)</f>
        <v>0</v>
      </c>
      <c r="V464" s="396" t="n">
        <f aca="false">Rho_moyen*(20000-Alt_rampe-pos_z)/(20000+Alt_rampe+pos_z)</f>
        <v>1.17247910814298</v>
      </c>
      <c r="W464" s="397" t="n">
        <f aca="false">1/2*Rho*Sref*Cx*vit_xz^2</f>
        <v>46.1884357241059</v>
      </c>
      <c r="Y464" s="401" t="str">
        <f aca="false">IF(AND(pos_z&lt;=0,K463&gt;0),"Impact balistique","") &amp; IF(AND(H465&lt;0,vit_z&gt;=0),"Apogée","") &amp; IF(AND(Poussee=0,Q463&gt;0),"Fin de propulsion","") &amp; IF(AND(L465&gt;L_rampe,pos_xz&lt;=L_rampe),"Sortie de rampe","")</f>
        <v/>
      </c>
      <c r="Z464" s="402" t="str">
        <f aca="false">IF(ABS(t-T_para)&lt;pas/2,"Para","")</f>
        <v/>
      </c>
      <c r="AA464" s="403" t="str">
        <f aca="false">IF(ABS(t-T_satellite)&lt;pas/2,"Satellite","")</f>
        <v/>
      </c>
      <c r="AC464" s="399" t="n">
        <f aca="false">IF(ABS(t-ROUND(t,0))&lt;0.001,t,NA())</f>
        <v>28.0000000000001</v>
      </c>
      <c r="AD464" s="404" t="n">
        <f aca="false">IF(ABS(t-ROUND(t,0))&lt;0.001,pos_x,NA())</f>
        <v>637.456935709642</v>
      </c>
      <c r="AE464" s="405" t="e">
        <f aca="false">IF(t&lt;T_para, pos_z, NA())</f>
        <v>#N/A</v>
      </c>
      <c r="AG464" s="396" t="n">
        <f aca="false">IF(AND(L463&lt;L_rampe,Poussee&lt;Poids*SIN(M463)),0,(-W463+Poussee)/m-Poids*SIN(M463)/m)</f>
        <v>4.29251679137286</v>
      </c>
      <c r="AH464" s="397" t="n">
        <f aca="false">IF(AND(L463&lt;L_rampe,Poussee&lt;Poids*SIN(M463)), g*SIN(M463), (-W463+Poussee)/m)</f>
        <v>-5.41483238933139</v>
      </c>
    </row>
    <row r="465" customFormat="false" ht="12.75" hidden="false" customHeight="false" outlineLevel="0" collapsed="false">
      <c r="A465" s="396" t="n">
        <f aca="false">IF(B464+0.01&lt;=T_ini+ROUNDUP(Temps_fin_propu,0), 0.01, IF(K464&gt;0, 0.1, 0.0001))</f>
        <v>0.1</v>
      </c>
      <c r="B465" s="397" t="n">
        <f aca="false">B464+pas</f>
        <v>28.1000000000001</v>
      </c>
      <c r="D465" s="396" t="n">
        <f aca="false">IF(AND(L464&lt;L_rampe,Poussee&lt;Poids*SIN(M464)),0,(-W464+Poussee)/m*COS(M464)-U464/m*SIN(M464))</f>
        <v>-0.781193675505842</v>
      </c>
      <c r="E465" s="398" t="n">
        <f aca="false">IF(AND(L464&lt;L_rampe,Poussee&lt;Poids*SIN(M464)),0,(-W464+Poussee)/m*SIN(M464)+U464/m*COS(M464)-Poids/m)</f>
        <v>-4.40002363446315</v>
      </c>
      <c r="F465" s="397" t="n">
        <f aca="false">SQRT(acc_x^2+acc_z^2)</f>
        <v>4.4688333536265</v>
      </c>
      <c r="G465" s="396" t="n">
        <f aca="false">G464+acc_x*pas</f>
        <v>14.5447456338765</v>
      </c>
      <c r="H465" s="398" t="n">
        <f aca="false">H464+acc_z*pas</f>
        <v>-101.707276452591</v>
      </c>
      <c r="I465" s="397" t="n">
        <f aca="false">SQRT(vit_x^2+vit_z^2)</f>
        <v>102.742005572005</v>
      </c>
      <c r="J465" s="396" t="n">
        <f aca="false">J464+0.5*(vit_x+G464)*pas*(K464&gt;=0)</f>
        <v>638.915316241408</v>
      </c>
      <c r="K465" s="398" t="n">
        <f aca="false">K464+0.5*(vit_z+H464)*pas</f>
        <v>427.985575112982</v>
      </c>
      <c r="L465" s="397" t="n">
        <f aca="false">SQRT(pos_x^2+pos_z^2)</f>
        <v>769.015236411248</v>
      </c>
      <c r="M465" s="396" t="n">
        <f aca="false">IF(AND(L464&gt;L_rampe,G465&gt;0),ATAN2(G465,H465),$M$4)</f>
        <v>-1.42875344478034</v>
      </c>
      <c r="N465" s="397" t="n">
        <f aca="false">DEGREES(Beta)</f>
        <v>-81.8615423506912</v>
      </c>
      <c r="P465" s="399" t="n">
        <f aca="false">MATCH(t-pas/2-T_ini,CdP_t)</f>
        <v>23</v>
      </c>
      <c r="Q465" s="397" t="n">
        <f aca="false">(INDEX(CdP,2,i_P+1)-INDEX(CdP,2,i_P+0))/(INDEX(CdP,1,i_P+1)-INDEX(CdP,1,i_P+0))*(t-pas/2-T_ini-INDEX(CdP,1,i_P+0))+INDEX(CdP,2,i_P+0)</f>
        <v>0</v>
      </c>
      <c r="R465" s="396" t="n">
        <f aca="false">Poussee/(g*ISP)</f>
        <v>0</v>
      </c>
      <c r="S465" s="398" t="n">
        <f aca="false">S464-Débit*pas</f>
        <v>8.45</v>
      </c>
      <c r="T465" s="397" t="n">
        <f aca="false">m*g</f>
        <v>82.8945</v>
      </c>
      <c r="U465" s="400" t="n">
        <f aca="false">IF(pos_xz&lt;L_rampe,Poids*COS(Beta),0)</f>
        <v>0</v>
      </c>
      <c r="V465" s="396" t="n">
        <f aca="false">Rho_moyen*(20000-Alt_rampe-pos_z)/(20000+Alt_rampe+pos_z)</f>
        <v>1.17367018800404</v>
      </c>
      <c r="W465" s="397" t="n">
        <f aca="false">1/2*Rho*Sref*Cx*vit_xz^2</f>
        <v>46.6197240348121</v>
      </c>
      <c r="Y465" s="401" t="str">
        <f aca="false">IF(AND(pos_z&lt;=0,K464&gt;0),"Impact balistique","") &amp; IF(AND(H466&lt;0,vit_z&gt;=0),"Apogée","") &amp; IF(AND(Poussee=0,Q464&gt;0),"Fin de propulsion","") &amp; IF(AND(L466&gt;L_rampe,pos_xz&lt;=L_rampe),"Sortie de rampe","")</f>
        <v/>
      </c>
      <c r="Z465" s="402" t="str">
        <f aca="false">IF(ABS(t-T_para)&lt;pas/2,"Para","")</f>
        <v/>
      </c>
      <c r="AA465" s="403" t="str">
        <f aca="false">IF(ABS(t-T_satellite)&lt;pas/2,"Satellite","")</f>
        <v/>
      </c>
      <c r="AC465" s="399" t="e">
        <f aca="false">IF(ABS(t-ROUND(t,0))&lt;0.001,t,NA())</f>
        <v>#N/A</v>
      </c>
      <c r="AD465" s="404" t="e">
        <f aca="false">IF(ABS(t-ROUND(t,0))&lt;0.001,pos_x,NA())</f>
        <v>#N/A</v>
      </c>
      <c r="AE465" s="405" t="e">
        <f aca="false">IF(t&lt;T_para, pos_z, NA())</f>
        <v>#N/A</v>
      </c>
      <c r="AG465" s="396" t="n">
        <f aca="false">IF(AND(L464&lt;L_rampe,Poussee&lt;Poids*SIN(M464)),0,(-W464+Poussee)/m-Poids*SIN(M464)/m)</f>
        <v>4.24321091547</v>
      </c>
      <c r="AH465" s="397" t="n">
        <f aca="false">IF(AND(L464&lt;L_rampe,Poussee&lt;Poids*SIN(M464)), g*SIN(M464), (-W464+Poussee)/m)</f>
        <v>-5.46608706794153</v>
      </c>
    </row>
    <row r="466" customFormat="false" ht="12.75" hidden="false" customHeight="false" outlineLevel="0" collapsed="false">
      <c r="A466" s="396" t="n">
        <f aca="false">IF(B465+0.01&lt;=T_ini+ROUNDUP(Temps_fin_propu,0), 0.01, IF(K465&gt;0, 0.1, 0.0001))</f>
        <v>0.1</v>
      </c>
      <c r="B466" s="397" t="n">
        <f aca="false">B465+pas</f>
        <v>28.2000000000001</v>
      </c>
      <c r="D466" s="396" t="n">
        <f aca="false">IF(AND(L465&lt;L_rampe,Poussee&lt;Poids*SIN(M465)),0,(-W465+Poussee)/m*COS(M465)-U465/m*SIN(M465))</f>
        <v>-0.781036051623067</v>
      </c>
      <c r="E466" s="398" t="n">
        <f aca="false">IF(AND(L465&lt;L_rampe,Poussee&lt;Poids*SIN(M465)),0,(-W465+Poussee)/m*SIN(M465)+U465/m*COS(M465)-Poids/m)</f>
        <v>-4.34843665461919</v>
      </c>
      <c r="F466" s="397" t="n">
        <f aca="false">SQRT(acc_x^2+acc_z^2)</f>
        <v>4.41802202950264</v>
      </c>
      <c r="G466" s="396" t="n">
        <f aca="false">G465+acc_x*pas</f>
        <v>14.4666420287142</v>
      </c>
      <c r="H466" s="398" t="n">
        <f aca="false">H465+acc_z*pas</f>
        <v>-102.142120118053</v>
      </c>
      <c r="I466" s="397" t="n">
        <f aca="false">SQRT(vit_x^2+vit_z^2)</f>
        <v>103.16150655064</v>
      </c>
      <c r="J466" s="396" t="n">
        <f aca="false">J465+0.5*(vit_x+G465)*pas*(K465&gt;=0)</f>
        <v>640.365885624537</v>
      </c>
      <c r="K466" s="398" t="n">
        <f aca="false">K465+0.5*(vit_z+H465)*pas</f>
        <v>417.79310528445</v>
      </c>
      <c r="L466" s="397" t="n">
        <f aca="false">SQRT(pos_x^2+pos_z^2)</f>
        <v>764.604176221214</v>
      </c>
      <c r="M466" s="396" t="n">
        <f aca="false">IF(AND(L465&gt;L_rampe,G466&gt;0),ATAN2(G466,H466),$M$4)</f>
        <v>-1.43009964468068</v>
      </c>
      <c r="N466" s="397" t="n">
        <f aca="false">DEGREES(Beta)</f>
        <v>-81.9386739233614</v>
      </c>
      <c r="P466" s="399" t="n">
        <f aca="false">MATCH(t-pas/2-T_ini,CdP_t)</f>
        <v>23</v>
      </c>
      <c r="Q466" s="397" t="n">
        <f aca="false">(INDEX(CdP,2,i_P+1)-INDEX(CdP,2,i_P+0))/(INDEX(CdP,1,i_P+1)-INDEX(CdP,1,i_P+0))*(t-pas/2-T_ini-INDEX(CdP,1,i_P+0))+INDEX(CdP,2,i_P+0)</f>
        <v>0</v>
      </c>
      <c r="R466" s="396" t="n">
        <f aca="false">Poussee/(g*ISP)</f>
        <v>0</v>
      </c>
      <c r="S466" s="398" t="n">
        <f aca="false">S465-Débit*pas</f>
        <v>8.45</v>
      </c>
      <c r="T466" s="397" t="n">
        <f aca="false">m*g</f>
        <v>82.8945</v>
      </c>
      <c r="U466" s="400" t="n">
        <f aca="false">IF(pos_xz&lt;L_rampe,Poids*COS(Beta),0)</f>
        <v>0</v>
      </c>
      <c r="V466" s="396" t="n">
        <f aca="false">Rho_moyen*(20000-Alt_rampe-pos_z)/(20000+Alt_rampe+pos_z)</f>
        <v>1.17486759329626</v>
      </c>
      <c r="W466" s="397" t="n">
        <f aca="false">1/2*Rho*Sref*Cx*vit_xz^2</f>
        <v>47.0491544936384</v>
      </c>
      <c r="Y466" s="401" t="str">
        <f aca="false">IF(AND(pos_z&lt;=0,K465&gt;0),"Impact balistique","") &amp; IF(AND(H467&lt;0,vit_z&gt;=0),"Apogée","") &amp; IF(AND(Poussee=0,Q465&gt;0),"Fin de propulsion","") &amp; IF(AND(L467&gt;L_rampe,pos_xz&lt;=L_rampe),"Sortie de rampe","")</f>
        <v/>
      </c>
      <c r="Z466" s="402" t="str">
        <f aca="false">IF(ABS(t-T_para)&lt;pas/2,"Para","")</f>
        <v/>
      </c>
      <c r="AA466" s="403" t="str">
        <f aca="false">IF(ABS(t-T_satellite)&lt;pas/2,"Satellite","")</f>
        <v/>
      </c>
      <c r="AC466" s="399" t="e">
        <f aca="false">IF(ABS(t-ROUND(t,0))&lt;0.001,t,NA())</f>
        <v>#N/A</v>
      </c>
      <c r="AD466" s="404" t="e">
        <f aca="false">IF(ABS(t-ROUND(t,0))&lt;0.001,pos_x,NA())</f>
        <v>#N/A</v>
      </c>
      <c r="AE466" s="405" t="e">
        <f aca="false">IF(t&lt;T_para, pos_z, NA())</f>
        <v>#N/A</v>
      </c>
      <c r="AG466" s="396" t="n">
        <f aca="false">IF(AND(L465&lt;L_rampe,Poussee&lt;Poids*SIN(M465)),0,(-W465+Poussee)/m-Poids*SIN(M465)/m)</f>
        <v>4.19407501213507</v>
      </c>
      <c r="AH466" s="397" t="n">
        <f aca="false">IF(AND(L465&lt;L_rampe,Poussee&lt;Poids*SIN(M465)), g*SIN(M465), (-W465+Poussee)/m)</f>
        <v>-5.51712710471149</v>
      </c>
    </row>
    <row r="467" customFormat="false" ht="12.75" hidden="false" customHeight="false" outlineLevel="0" collapsed="false">
      <c r="A467" s="396" t="n">
        <f aca="false">IF(B466+0.01&lt;=T_ini+ROUNDUP(Temps_fin_propu,0), 0.01, IF(K466&gt;0, 0.1, 0.0001))</f>
        <v>0.1</v>
      </c>
      <c r="B467" s="397" t="n">
        <f aca="false">B466+pas</f>
        <v>28.3000000000001</v>
      </c>
      <c r="D467" s="396" t="n">
        <f aca="false">IF(AND(L466&lt;L_rampe,Poussee&lt;Poids*SIN(M466)),0,(-W466+Poussee)/m*COS(M466)-U466/m*SIN(M466))</f>
        <v>-0.780809652645864</v>
      </c>
      <c r="E467" s="398" t="n">
        <f aca="false">IF(AND(L466&lt;L_rampe,Poussee&lt;Poids*SIN(M466)),0,(-W466+Poussee)/m*SIN(M466)+U466/m*COS(M466)-Poids/m)</f>
        <v>-4.29707217807769</v>
      </c>
      <c r="F467" s="397" t="n">
        <f aca="false">SQRT(acc_x^2+acc_z^2)</f>
        <v>4.36743551953252</v>
      </c>
      <c r="G467" s="396" t="n">
        <f aca="false">G466+acc_x*pas</f>
        <v>14.3885610634496</v>
      </c>
      <c r="H467" s="398" t="n">
        <f aca="false">H466+acc_z*pas</f>
        <v>-102.571827335861</v>
      </c>
      <c r="I467" s="397" t="n">
        <f aca="false">SQRT(vit_x^2+vit_z^2)</f>
        <v>103.576109467841</v>
      </c>
      <c r="J467" s="396" t="n">
        <f aca="false">J466+0.5*(vit_x+G466)*pas*(K466&gt;=0)</f>
        <v>641.808645779145</v>
      </c>
      <c r="K467" s="398" t="n">
        <f aca="false">K466+0.5*(vit_z+H466)*pas</f>
        <v>407.557407911754</v>
      </c>
      <c r="L467" s="397" t="n">
        <f aca="false">SQRT(pos_x^2+pos_z^2)</f>
        <v>760.277172181704</v>
      </c>
      <c r="M467" s="396" t="n">
        <f aca="false">IF(AND(L466&gt;L_rampe,G467&gt;0),ATAN2(G467,H467),$M$4)</f>
        <v>-1.43142783282819</v>
      </c>
      <c r="N467" s="397" t="n">
        <f aca="false">DEGREES(Beta)</f>
        <v>-82.0147734986134</v>
      </c>
      <c r="P467" s="399" t="n">
        <f aca="false">MATCH(t-pas/2-T_ini,CdP_t)</f>
        <v>23</v>
      </c>
      <c r="Q467" s="397" t="n">
        <f aca="false">(INDEX(CdP,2,i_P+1)-INDEX(CdP,2,i_P+0))/(INDEX(CdP,1,i_P+1)-INDEX(CdP,1,i_P+0))*(t-pas/2-T_ini-INDEX(CdP,1,i_P+0))+INDEX(CdP,2,i_P+0)</f>
        <v>0</v>
      </c>
      <c r="R467" s="396" t="n">
        <f aca="false">Poussee/(g*ISP)</f>
        <v>0</v>
      </c>
      <c r="S467" s="398" t="n">
        <f aca="false">S466-Débit*pas</f>
        <v>8.45</v>
      </c>
      <c r="T467" s="397" t="n">
        <f aca="false">m*g</f>
        <v>82.8945</v>
      </c>
      <c r="U467" s="400" t="n">
        <f aca="false">IF(pos_xz&lt;L_rampe,Poids*COS(Beta),0)</f>
        <v>0</v>
      </c>
      <c r="V467" s="396" t="n">
        <f aca="false">Rho_moyen*(20000-Alt_rampe-pos_z)/(20000+Alt_rampe+pos_z)</f>
        <v>1.1760712806327</v>
      </c>
      <c r="W467" s="397" t="n">
        <f aca="false">1/2*Rho*Sref*Cx*vit_xz^2</f>
        <v>47.4766841557673</v>
      </c>
      <c r="Y467" s="401" t="str">
        <f aca="false">IF(AND(pos_z&lt;=0,K466&gt;0),"Impact balistique","") &amp; IF(AND(H468&lt;0,vit_z&gt;=0),"Apogée","") &amp; IF(AND(Poussee=0,Q466&gt;0),"Fin de propulsion","") &amp; IF(AND(L468&gt;L_rampe,pos_xz&lt;=L_rampe),"Sortie de rampe","")</f>
        <v/>
      </c>
      <c r="Z467" s="402" t="str">
        <f aca="false">IF(ABS(t-T_para)&lt;pas/2,"Para","")</f>
        <v/>
      </c>
      <c r="AA467" s="403" t="str">
        <f aca="false">IF(ABS(t-T_satellite)&lt;pas/2,"Satellite","")</f>
        <v/>
      </c>
      <c r="AC467" s="399" t="e">
        <f aca="false">IF(ABS(t-ROUND(t,0))&lt;0.001,t,NA())</f>
        <v>#N/A</v>
      </c>
      <c r="AD467" s="404" t="e">
        <f aca="false">IF(ABS(t-ROUND(t,0))&lt;0.001,pos_x,NA())</f>
        <v>#N/A</v>
      </c>
      <c r="AE467" s="405" t="e">
        <f aca="false">IF(t&lt;T_para, pos_z, NA())</f>
        <v>#N/A</v>
      </c>
      <c r="AG467" s="396" t="n">
        <f aca="false">IF(AND(L466&lt;L_rampe,Poussee&lt;Poids*SIN(M466)),0,(-W466+Poussee)/m-Poids*SIN(M466)/m)</f>
        <v>4.14511558748761</v>
      </c>
      <c r="AH467" s="397" t="n">
        <f aca="false">IF(AND(L466&lt;L_rampe,Poussee&lt;Poids*SIN(M466)), g*SIN(M466), (-W466+Poussee)/m)</f>
        <v>-5.56794727735366</v>
      </c>
    </row>
    <row r="468" customFormat="false" ht="12.75" hidden="false" customHeight="false" outlineLevel="0" collapsed="false">
      <c r="A468" s="396" t="n">
        <f aca="false">IF(B467+0.01&lt;=T_ini+ROUNDUP(Temps_fin_propu,0), 0.01, IF(K467&gt;0, 0.1, 0.0001))</f>
        <v>0.1</v>
      </c>
      <c r="B468" s="397" t="n">
        <f aca="false">B467+pas</f>
        <v>28.4000000000001</v>
      </c>
      <c r="D468" s="396" t="n">
        <f aca="false">IF(AND(L467&lt;L_rampe,Poussee&lt;Poids*SIN(M467)),0,(-W467+Poussee)/m*COS(M467)-U467/m*SIN(M467))</f>
        <v>-0.780515336177281</v>
      </c>
      <c r="E468" s="398" t="n">
        <f aca="false">IF(AND(L467&lt;L_rampe,Poussee&lt;Poids*SIN(M467)),0,(-W467+Poussee)/m*SIN(M467)+U467/m*COS(M467)-Poids/m)</f>
        <v>-4.24593532790877</v>
      </c>
      <c r="F468" s="397" t="n">
        <f aca="false">SQRT(acc_x^2+acc_z^2)</f>
        <v>4.31707898917679</v>
      </c>
      <c r="G468" s="396" t="n">
        <f aca="false">G467+acc_x*pas</f>
        <v>14.3105095298319</v>
      </c>
      <c r="H468" s="398" t="n">
        <f aca="false">H467+acc_z*pas</f>
        <v>-102.996420868651</v>
      </c>
      <c r="I468" s="397" t="n">
        <f aca="false">SQRT(vit_x^2+vit_z^2)</f>
        <v>103.985832663665</v>
      </c>
      <c r="J468" s="396" t="n">
        <f aca="false">J467+0.5*(vit_x+G467)*pas*(K467&gt;=0)</f>
        <v>643.243599308809</v>
      </c>
      <c r="K468" s="398" t="n">
        <f aca="false">K467+0.5*(vit_z+H467)*pas</f>
        <v>397.278995501528</v>
      </c>
      <c r="L468" s="397" t="n">
        <f aca="false">SQRT(pos_x^2+pos_z^2)</f>
        <v>756.037650066751</v>
      </c>
      <c r="M468" s="396" t="n">
        <f aca="false">IF(AND(L467&gt;L_rampe,G468&gt;0),ATAN2(G468,H468),$M$4)</f>
        <v>-1.4327383802131</v>
      </c>
      <c r="N468" s="397" t="n">
        <f aca="false">DEGREES(Beta)</f>
        <v>-82.0898623326208</v>
      </c>
      <c r="P468" s="399" t="n">
        <f aca="false">MATCH(t-pas/2-T_ini,CdP_t)</f>
        <v>23</v>
      </c>
      <c r="Q468" s="397" t="n">
        <f aca="false">(INDEX(CdP,2,i_P+1)-INDEX(CdP,2,i_P+0))/(INDEX(CdP,1,i_P+1)-INDEX(CdP,1,i_P+0))*(t-pas/2-T_ini-INDEX(CdP,1,i_P+0))+INDEX(CdP,2,i_P+0)</f>
        <v>0</v>
      </c>
      <c r="R468" s="396" t="n">
        <f aca="false">Poussee/(g*ISP)</f>
        <v>0</v>
      </c>
      <c r="S468" s="398" t="n">
        <f aca="false">S467-Débit*pas</f>
        <v>8.45</v>
      </c>
      <c r="T468" s="397" t="n">
        <f aca="false">m*g</f>
        <v>82.8945</v>
      </c>
      <c r="U468" s="400" t="n">
        <f aca="false">IF(pos_xz&lt;L_rampe,Poids*COS(Beta),0)</f>
        <v>0</v>
      </c>
      <c r="V468" s="396" t="n">
        <f aca="false">Rho_moyen*(20000-Alt_rampe-pos_z)/(20000+Alt_rampe+pos_z)</f>
        <v>1.17728120676325</v>
      </c>
      <c r="W468" s="397" t="n">
        <f aca="false">1/2*Rho*Sref*Cx*vit_xz^2</f>
        <v>47.9022712542399</v>
      </c>
      <c r="Y468" s="401" t="str">
        <f aca="false">IF(AND(pos_z&lt;=0,K467&gt;0),"Impact balistique","") &amp; IF(AND(H469&lt;0,vit_z&gt;=0),"Apogée","") &amp; IF(AND(Poussee=0,Q467&gt;0),"Fin de propulsion","") &amp; IF(AND(L469&gt;L_rampe,pos_xz&lt;=L_rampe),"Sortie de rampe","")</f>
        <v/>
      </c>
      <c r="Z468" s="402" t="str">
        <f aca="false">IF(ABS(t-T_para)&lt;pas/2,"Para","")</f>
        <v/>
      </c>
      <c r="AA468" s="403" t="str">
        <f aca="false">IF(ABS(t-T_satellite)&lt;pas/2,"Satellite","")</f>
        <v/>
      </c>
      <c r="AC468" s="399" t="e">
        <f aca="false">IF(ABS(t-ROUND(t,0))&lt;0.001,t,NA())</f>
        <v>#N/A</v>
      </c>
      <c r="AD468" s="404" t="e">
        <f aca="false">IF(ABS(t-ROUND(t,0))&lt;0.001,pos_x,NA())</f>
        <v>#N/A</v>
      </c>
      <c r="AE468" s="405" t="e">
        <f aca="false">IF(t&lt;T_para, pos_z, NA())</f>
        <v>#N/A</v>
      </c>
      <c r="AG468" s="396" t="n">
        <f aca="false">IF(AND(L467&lt;L_rampe,Poussee&lt;Poids*SIN(M467)),0,(-W467+Poussee)/m-Poids*SIN(M467)/m)</f>
        <v>4.09633896212019</v>
      </c>
      <c r="AH468" s="397" t="n">
        <f aca="false">IF(AND(L467&lt;L_rampe,Poussee&lt;Poids*SIN(M467)), g*SIN(M467), (-W467+Poussee)/m)</f>
        <v>-5.6185425036411</v>
      </c>
    </row>
    <row r="469" customFormat="false" ht="12.75" hidden="false" customHeight="false" outlineLevel="0" collapsed="false">
      <c r="A469" s="396" t="n">
        <f aca="false">IF(B468+0.01&lt;=T_ini+ROUNDUP(Temps_fin_propu,0), 0.01, IF(K468&gt;0, 0.1, 0.0001))</f>
        <v>0.1</v>
      </c>
      <c r="B469" s="397" t="n">
        <f aca="false">B468+pas</f>
        <v>28.5000000000001</v>
      </c>
      <c r="D469" s="396" t="n">
        <f aca="false">IF(AND(L468&lt;L_rampe,Poussee&lt;Poids*SIN(M468)),0,(-W468+Poussee)/m*COS(M468)-U468/m*SIN(M468))</f>
        <v>-0.780153965213886</v>
      </c>
      <c r="E469" s="398" t="n">
        <f aca="false">IF(AND(L468&lt;L_rampe,Poussee&lt;Poids*SIN(M468)),0,(-W468+Poussee)/m*SIN(M468)+U468/m*COS(M468)-Poids/m)</f>
        <v>-4.19503108669808</v>
      </c>
      <c r="F469" s="397" t="n">
        <f aca="false">SQRT(acc_x^2+acc_z^2)</f>
        <v>4.26695746730645</v>
      </c>
      <c r="G469" s="396" t="n">
        <f aca="false">G468+acc_x*pas</f>
        <v>14.2324941333105</v>
      </c>
      <c r="H469" s="398" t="n">
        <f aca="false">H468+acc_z*pas</f>
        <v>-103.415923977321</v>
      </c>
      <c r="I469" s="397" t="n">
        <f aca="false">SQRT(vit_x^2+vit_z^2)</f>
        <v>104.39069508983</v>
      </c>
      <c r="J469" s="396" t="n">
        <f aca="false">J468+0.5*(vit_x+G468)*pas*(K468&gt;=0)</f>
        <v>644.670749491966</v>
      </c>
      <c r="K469" s="398" t="n">
        <f aca="false">K468+0.5*(vit_z+H468)*pas</f>
        <v>386.95837825923</v>
      </c>
      <c r="L469" s="397" t="n">
        <f aca="false">SQRT(pos_x^2+pos_z^2)</f>
        <v>751.889062133202</v>
      </c>
      <c r="M469" s="396" t="n">
        <f aca="false">IF(AND(L468&gt;L_rampe,G469&gt;0),ATAN2(G469,H469),$M$4)</f>
        <v>-1.43403164741144</v>
      </c>
      <c r="N469" s="397" t="n">
        <f aca="false">DEGREES(Beta)</f>
        <v>-82.1639610848683</v>
      </c>
      <c r="P469" s="399" t="n">
        <f aca="false">MATCH(t-pas/2-T_ini,CdP_t)</f>
        <v>23</v>
      </c>
      <c r="Q469" s="397" t="n">
        <f aca="false">(INDEX(CdP,2,i_P+1)-INDEX(CdP,2,i_P+0))/(INDEX(CdP,1,i_P+1)-INDEX(CdP,1,i_P+0))*(t-pas/2-T_ini-INDEX(CdP,1,i_P+0))+INDEX(CdP,2,i_P+0)</f>
        <v>0</v>
      </c>
      <c r="R469" s="396" t="n">
        <f aca="false">Poussee/(g*ISP)</f>
        <v>0</v>
      </c>
      <c r="S469" s="398" t="n">
        <f aca="false">S468-Débit*pas</f>
        <v>8.45</v>
      </c>
      <c r="T469" s="397" t="n">
        <f aca="false">m*g</f>
        <v>82.8945</v>
      </c>
      <c r="U469" s="400" t="n">
        <f aca="false">IF(pos_xz&lt;L_rampe,Poids*COS(Beta),0)</f>
        <v>0</v>
      </c>
      <c r="V469" s="396" t="n">
        <f aca="false">Rho_moyen*(20000-Alt_rampe-pos_z)/(20000+Alt_rampe+pos_z)</f>
        <v>1.17849732857913</v>
      </c>
      <c r="W469" s="397" t="n">
        <f aca="false">1/2*Rho*Sref*Cx*vit_xz^2</f>
        <v>48.3258751938134</v>
      </c>
      <c r="Y469" s="401" t="str">
        <f aca="false">IF(AND(pos_z&lt;=0,K468&gt;0),"Impact balistique","") &amp; IF(AND(H470&lt;0,vit_z&gt;=0),"Apogée","") &amp; IF(AND(Poussee=0,Q468&gt;0),"Fin de propulsion","") &amp; IF(AND(L470&gt;L_rampe,pos_xz&lt;=L_rampe),"Sortie de rampe","")</f>
        <v/>
      </c>
      <c r="Z469" s="402" t="str">
        <f aca="false">IF(ABS(t-T_para)&lt;pas/2,"Para","")</f>
        <v/>
      </c>
      <c r="AA469" s="403" t="str">
        <f aca="false">IF(ABS(t-T_satellite)&lt;pas/2,"Satellite","")</f>
        <v/>
      </c>
      <c r="AC469" s="399" t="e">
        <f aca="false">IF(ABS(t-ROUND(t,0))&lt;0.001,t,NA())</f>
        <v>#N/A</v>
      </c>
      <c r="AD469" s="404" t="e">
        <f aca="false">IF(ABS(t-ROUND(t,0))&lt;0.001,pos_x,NA())</f>
        <v>#N/A</v>
      </c>
      <c r="AE469" s="405" t="e">
        <f aca="false">IF(t&lt;T_para, pos_z, NA())</f>
        <v>#N/A</v>
      </c>
      <c r="AG469" s="396" t="n">
        <f aca="false">IF(AND(L468&lt;L_rampe,Poussee&lt;Poids*SIN(M468)),0,(-W468+Poussee)/m-Poids*SIN(M468)/m)</f>
        <v>4.04775127367689</v>
      </c>
      <c r="AH469" s="397" t="n">
        <f aca="false">IF(AND(L468&lt;L_rampe,Poussee&lt;Poids*SIN(M468)), g*SIN(M468), (-W468+Poussee)/m)</f>
        <v>-5.66890784073845</v>
      </c>
    </row>
    <row r="470" customFormat="false" ht="12.75" hidden="false" customHeight="false" outlineLevel="0" collapsed="false">
      <c r="A470" s="396" t="n">
        <f aca="false">IF(B469+0.01&lt;=T_ini+ROUNDUP(Temps_fin_propu,0), 0.01, IF(K469&gt;0, 0.1, 0.0001))</f>
        <v>0.1</v>
      </c>
      <c r="B470" s="397" t="n">
        <f aca="false">B469+pas</f>
        <v>28.6000000000001</v>
      </c>
      <c r="D470" s="396" t="n">
        <f aca="false">IF(AND(L469&lt;L_rampe,Poussee&lt;Poids*SIN(M469)),0,(-W469+Poussee)/m*COS(M469)-U469/m*SIN(M469))</f>
        <v>-0.779726407688196</v>
      </c>
      <c r="E470" s="398" t="n">
        <f aca="false">IF(AND(L469&lt;L_rampe,Poussee&lt;Poids*SIN(M469)),0,(-W469+Poussee)/m*SIN(M469)+U469/m*COS(M469)-Poids/m)</f>
        <v>-4.14436429726908</v>
      </c>
      <c r="F470" s="397" t="n">
        <f aca="false">SQRT(acc_x^2+acc_z^2)</f>
        <v>4.21707584699694</v>
      </c>
      <c r="G470" s="396" t="n">
        <f aca="false">G469+acc_x*pas</f>
        <v>14.1545214925416</v>
      </c>
      <c r="H470" s="398" t="n">
        <f aca="false">H469+acc_z*pas</f>
        <v>-103.830360407048</v>
      </c>
      <c r="I470" s="397" t="n">
        <f aca="false">SQRT(vit_x^2+vit_z^2)</f>
        <v>104.790716291761</v>
      </c>
      <c r="J470" s="396" t="n">
        <f aca="false">J469+0.5*(vit_x+G469)*pas*(K469&gt;=0)</f>
        <v>646.090100273259</v>
      </c>
      <c r="K470" s="398" t="n">
        <f aca="false">K469+0.5*(vit_z+H469)*pas</f>
        <v>376.596064040011</v>
      </c>
      <c r="L470" s="397" t="n">
        <f aca="false">SQRT(pos_x^2+pos_z^2)</f>
        <v>747.834883594994</v>
      </c>
      <c r="M470" s="396" t="n">
        <f aca="false">IF(AND(L469&gt;L_rampe,G470&gt;0),ATAN2(G470,H470),$M$4)</f>
        <v>-1.43530798494384</v>
      </c>
      <c r="N470" s="397" t="n">
        <f aca="false">DEGREES(Beta)</f>
        <v>-82.2370898387089</v>
      </c>
      <c r="P470" s="399" t="n">
        <f aca="false">MATCH(t-pas/2-T_ini,CdP_t)</f>
        <v>23</v>
      </c>
      <c r="Q470" s="397" t="n">
        <f aca="false">(INDEX(CdP,2,i_P+1)-INDEX(CdP,2,i_P+0))/(INDEX(CdP,1,i_P+1)-INDEX(CdP,1,i_P+0))*(t-pas/2-T_ini-INDEX(CdP,1,i_P+0))+INDEX(CdP,2,i_P+0)</f>
        <v>0</v>
      </c>
      <c r="R470" s="396" t="n">
        <f aca="false">Poussee/(g*ISP)</f>
        <v>0</v>
      </c>
      <c r="S470" s="398" t="n">
        <f aca="false">S469-Débit*pas</f>
        <v>8.45</v>
      </c>
      <c r="T470" s="397" t="n">
        <f aca="false">m*g</f>
        <v>82.8945</v>
      </c>
      <c r="U470" s="400" t="n">
        <f aca="false">IF(pos_xz&lt;L_rampe,Poids*COS(Beta),0)</f>
        <v>0</v>
      </c>
      <c r="V470" s="396" t="n">
        <f aca="false">Rho_moyen*(20000-Alt_rampe-pos_z)/(20000+Alt_rampe+pos_z)</f>
        <v>1.17971960311731</v>
      </c>
      <c r="W470" s="397" t="n">
        <f aca="false">1/2*Rho*Sref*Cx*vit_xz^2</f>
        <v>48.7474565443463</v>
      </c>
      <c r="Y470" s="401" t="str">
        <f aca="false">IF(AND(pos_z&lt;=0,K469&gt;0),"Impact balistique","") &amp; IF(AND(H471&lt;0,vit_z&gt;=0),"Apogée","") &amp; IF(AND(Poussee=0,Q469&gt;0),"Fin de propulsion","") &amp; IF(AND(L471&gt;L_rampe,pos_xz&lt;=L_rampe),"Sortie de rampe","")</f>
        <v/>
      </c>
      <c r="Z470" s="402" t="str">
        <f aca="false">IF(ABS(t-T_para)&lt;pas/2,"Para","")</f>
        <v/>
      </c>
      <c r="AA470" s="403" t="str">
        <f aca="false">IF(ABS(t-T_satellite)&lt;pas/2,"Satellite","")</f>
        <v/>
      </c>
      <c r="AC470" s="399" t="e">
        <f aca="false">IF(ABS(t-ROUND(t,0))&lt;0.001,t,NA())</f>
        <v>#N/A</v>
      </c>
      <c r="AD470" s="404" t="e">
        <f aca="false">IF(ABS(t-ROUND(t,0))&lt;0.001,pos_x,NA())</f>
        <v>#N/A</v>
      </c>
      <c r="AE470" s="405" t="e">
        <f aca="false">IF(t&lt;T_para, pos_z, NA())</f>
        <v>#N/A</v>
      </c>
      <c r="AG470" s="396" t="n">
        <f aca="false">IF(AND(L469&lt;L_rampe,Poussee&lt;Poids*SIN(M469)),0,(-W469+Poussee)/m-Poids*SIN(M469)/m)</f>
        <v>3.99935847939735</v>
      </c>
      <c r="AH470" s="397" t="n">
        <f aca="false">IF(AND(L469&lt;L_rampe,Poussee&lt;Poids*SIN(M469)), g*SIN(M469), (-W469+Poussee)/m)</f>
        <v>-5.71903848447496</v>
      </c>
    </row>
    <row r="471" customFormat="false" ht="12.75" hidden="false" customHeight="false" outlineLevel="0" collapsed="false">
      <c r="A471" s="396" t="n">
        <f aca="false">IF(B470+0.01&lt;=T_ini+ROUNDUP(Temps_fin_propu,0), 0.01, IF(K470&gt;0, 0.1, 0.0001))</f>
        <v>0.1</v>
      </c>
      <c r="B471" s="397" t="n">
        <f aca="false">B470+pas</f>
        <v>28.7000000000001</v>
      </c>
      <c r="D471" s="396" t="n">
        <f aca="false">IF(AND(L470&lt;L_rampe,Poussee&lt;Poids*SIN(M470)),0,(-W470+Poussee)/m*COS(M470)-U470/m*SIN(M470))</f>
        <v>-0.779233536019735</v>
      </c>
      <c r="E471" s="398" t="n">
        <f aca="false">IF(AND(L470&lt;L_rampe,Poussee&lt;Poids*SIN(M470)),0,(-W470+Poussee)/m*SIN(M470)+U470/m*COS(M470)-Poids/m)</f>
        <v>-4.09393966346231</v>
      </c>
      <c r="F471" s="397" t="n">
        <f aca="false">SQRT(acc_x^2+acc_z^2)</f>
        <v>4.16743888638186</v>
      </c>
      <c r="G471" s="396" t="n">
        <f aca="false">G470+acc_x*pas</f>
        <v>14.0765981389397</v>
      </c>
      <c r="H471" s="398" t="n">
        <f aca="false">H470+acc_z*pas</f>
        <v>-104.239754373394</v>
      </c>
      <c r="I471" s="397" t="n">
        <f aca="false">SQRT(vit_x^2+vit_z^2)</f>
        <v>105.185916390888</v>
      </c>
      <c r="J471" s="396" t="n">
        <f aca="false">J470+0.5*(vit_x+G470)*pas*(K470&gt;=0)</f>
        <v>647.501656254833</v>
      </c>
      <c r="K471" s="398" t="n">
        <f aca="false">K470+0.5*(vit_z+H470)*pas</f>
        <v>366.192558300989</v>
      </c>
      <c r="L471" s="397" t="n">
        <f aca="false">SQRT(pos_x^2+pos_z^2)</f>
        <v>743.878608784911</v>
      </c>
      <c r="M471" s="396" t="n">
        <f aca="false">IF(AND(L470&gt;L_rampe,G471&gt;0),ATAN2(G471,H471),$M$4)</f>
        <v>-1.43656773361978</v>
      </c>
      <c r="N471" s="397" t="n">
        <f aca="false">DEGREES(Beta)</f>
        <v>-82.3092681210872</v>
      </c>
      <c r="P471" s="399" t="n">
        <f aca="false">MATCH(t-pas/2-T_ini,CdP_t)</f>
        <v>23</v>
      </c>
      <c r="Q471" s="397" t="n">
        <f aca="false">(INDEX(CdP,2,i_P+1)-INDEX(CdP,2,i_P+0))/(INDEX(CdP,1,i_P+1)-INDEX(CdP,1,i_P+0))*(t-pas/2-T_ini-INDEX(CdP,1,i_P+0))+INDEX(CdP,2,i_P+0)</f>
        <v>0</v>
      </c>
      <c r="R471" s="396" t="n">
        <f aca="false">Poussee/(g*ISP)</f>
        <v>0</v>
      </c>
      <c r="S471" s="398" t="n">
        <f aca="false">S470-Débit*pas</f>
        <v>8.45</v>
      </c>
      <c r="T471" s="397" t="n">
        <f aca="false">m*g</f>
        <v>82.8945</v>
      </c>
      <c r="U471" s="400" t="n">
        <f aca="false">IF(pos_xz&lt;L_rampe,Poids*COS(Beta),0)</f>
        <v>0</v>
      </c>
      <c r="V471" s="396" t="n">
        <f aca="false">Rho_moyen*(20000-Alt_rampe-pos_z)/(20000+Alt_rampe+pos_z)</f>
        <v>1.18094798756473</v>
      </c>
      <c r="W471" s="397" t="n">
        <f aca="false">1/2*Rho*Sref*Cx*vit_xz^2</f>
        <v>49.1669770337265</v>
      </c>
      <c r="Y471" s="401" t="str">
        <f aca="false">IF(AND(pos_z&lt;=0,K470&gt;0),"Impact balistique","") &amp; IF(AND(H472&lt;0,vit_z&gt;=0),"Apogée","") &amp; IF(AND(Poussee=0,Q470&gt;0),"Fin de propulsion","") &amp; IF(AND(L472&gt;L_rampe,pos_xz&lt;=L_rampe),"Sortie de rampe","")</f>
        <v/>
      </c>
      <c r="Z471" s="402" t="str">
        <f aca="false">IF(ABS(t-T_para)&lt;pas/2,"Para","")</f>
        <v/>
      </c>
      <c r="AA471" s="403" t="str">
        <f aca="false">IF(ABS(t-T_satellite)&lt;pas/2,"Satellite","")</f>
        <v/>
      </c>
      <c r="AC471" s="399" t="e">
        <f aca="false">IF(ABS(t-ROUND(t,0))&lt;0.001,t,NA())</f>
        <v>#N/A</v>
      </c>
      <c r="AD471" s="404" t="e">
        <f aca="false">IF(ABS(t-ROUND(t,0))&lt;0.001,pos_x,NA())</f>
        <v>#N/A</v>
      </c>
      <c r="AE471" s="405" t="e">
        <f aca="false">IF(t&lt;T_para, pos_z, NA())</f>
        <v>#N/A</v>
      </c>
      <c r="AG471" s="396" t="n">
        <f aca="false">IF(AND(L470&lt;L_rampe,Poussee&lt;Poids*SIN(M470)),0,(-W470+Poussee)/m-Poids*SIN(M470)/m)</f>
        <v>3.95116635862956</v>
      </c>
      <c r="AH471" s="397" t="n">
        <f aca="false">IF(AND(L470&lt;L_rampe,Poussee&lt;Poids*SIN(M470)), g*SIN(M470), (-W470+Poussee)/m)</f>
        <v>-5.76892976856169</v>
      </c>
    </row>
    <row r="472" customFormat="false" ht="12.75" hidden="false" customHeight="false" outlineLevel="0" collapsed="false">
      <c r="A472" s="396" t="n">
        <f aca="false">IF(B471+0.01&lt;=T_ini+ROUNDUP(Temps_fin_propu,0), 0.01, IF(K471&gt;0, 0.1, 0.0001))</f>
        <v>0.1</v>
      </c>
      <c r="B472" s="397" t="n">
        <f aca="false">B471+pas</f>
        <v>28.8000000000001</v>
      </c>
      <c r="D472" s="396" t="n">
        <f aca="false">IF(AND(L471&lt;L_rampe,Poussee&lt;Poids*SIN(M471)),0,(-W471+Poussee)/m*COS(M471)-U471/m*SIN(M471))</f>
        <v>-0.778676226674779</v>
      </c>
      <c r="E472" s="398" t="n">
        <f aca="false">IF(AND(L471&lt;L_rampe,Poussee&lt;Poids*SIN(M471)),0,(-W471+Poussee)/m*SIN(M471)+U471/m*COS(M471)-Poids/m)</f>
        <v>-4.04376175096986</v>
      </c>
      <c r="F472" s="397" t="n">
        <f aca="false">SQRT(acc_x^2+acc_z^2)</f>
        <v>4.11805120956446</v>
      </c>
      <c r="G472" s="396" t="n">
        <f aca="false">G471+acc_x*pas</f>
        <v>13.9987305162722</v>
      </c>
      <c r="H472" s="398" t="n">
        <f aca="false">H471+acc_z*pas</f>
        <v>-104.644130548491</v>
      </c>
      <c r="I472" s="397" t="n">
        <f aca="false">SQRT(vit_x^2+vit_z^2)</f>
        <v>105.576316067179</v>
      </c>
      <c r="J472" s="396" t="n">
        <f aca="false">J471+0.5*(vit_x+G471)*pas*(K471&gt;=0)</f>
        <v>648.905422687594</v>
      </c>
      <c r="K472" s="398" t="n">
        <f aca="false">K471+0.5*(vit_z+H471)*pas</f>
        <v>355.748364054895</v>
      </c>
      <c r="L472" s="397" t="n">
        <f aca="false">SQRT(pos_x^2+pos_z^2)</f>
        <v>740.023746998094</v>
      </c>
      <c r="M472" s="396" t="n">
        <f aca="false">IF(AND(L471&gt;L_rampe,G472&gt;0),ATAN2(G472,H472),$M$4)</f>
        <v>-1.43781122486796</v>
      </c>
      <c r="N472" s="397" t="n">
        <f aca="false">DEGREES(Beta)</f>
        <v>-82.3805149214694</v>
      </c>
      <c r="P472" s="399" t="n">
        <f aca="false">MATCH(t-pas/2-T_ini,CdP_t)</f>
        <v>23</v>
      </c>
      <c r="Q472" s="397" t="n">
        <f aca="false">(INDEX(CdP,2,i_P+1)-INDEX(CdP,2,i_P+0))/(INDEX(CdP,1,i_P+1)-INDEX(CdP,1,i_P+0))*(t-pas/2-T_ini-INDEX(CdP,1,i_P+0))+INDEX(CdP,2,i_P+0)</f>
        <v>0</v>
      </c>
      <c r="R472" s="396" t="n">
        <f aca="false">Poussee/(g*ISP)</f>
        <v>0</v>
      </c>
      <c r="S472" s="398" t="n">
        <f aca="false">S471-Débit*pas</f>
        <v>8.45</v>
      </c>
      <c r="T472" s="397" t="n">
        <f aca="false">m*g</f>
        <v>82.8945</v>
      </c>
      <c r="U472" s="400" t="n">
        <f aca="false">IF(pos_xz&lt;L_rampe,Poids*COS(Beta),0)</f>
        <v>0</v>
      </c>
      <c r="V472" s="396" t="n">
        <f aca="false">Rho_moyen*(20000-Alt_rampe-pos_z)/(20000+Alt_rampe+pos_z)</f>
        <v>1.18218243926253</v>
      </c>
      <c r="W472" s="397" t="n">
        <f aca="false">1/2*Rho*Sref*Cx*vit_xz^2</f>
        <v>49.5843995403588</v>
      </c>
      <c r="Y472" s="401" t="str">
        <f aca="false">IF(AND(pos_z&lt;=0,K471&gt;0),"Impact balistique","") &amp; IF(AND(H473&lt;0,vit_z&gt;=0),"Apogée","") &amp; IF(AND(Poussee=0,Q471&gt;0),"Fin de propulsion","") &amp; IF(AND(L473&gt;L_rampe,pos_xz&lt;=L_rampe),"Sortie de rampe","")</f>
        <v/>
      </c>
      <c r="Z472" s="402" t="str">
        <f aca="false">IF(ABS(t-T_para)&lt;pas/2,"Para","")</f>
        <v/>
      </c>
      <c r="AA472" s="403" t="str">
        <f aca="false">IF(ABS(t-T_satellite)&lt;pas/2,"Satellite","")</f>
        <v/>
      </c>
      <c r="AC472" s="399" t="e">
        <f aca="false">IF(ABS(t-ROUND(t,0))&lt;0.001,t,NA())</f>
        <v>#N/A</v>
      </c>
      <c r="AD472" s="404" t="e">
        <f aca="false">IF(ABS(t-ROUND(t,0))&lt;0.001,pos_x,NA())</f>
        <v>#N/A</v>
      </c>
      <c r="AE472" s="405" t="e">
        <f aca="false">IF(t&lt;T_para, pos_z, NA())</f>
        <v>#N/A</v>
      </c>
      <c r="AG472" s="396" t="n">
        <f aca="false">IF(AND(L471&lt;L_rampe,Poussee&lt;Poids*SIN(M471)),0,(-W471+Poussee)/m-Poids*SIN(M471)/m)</f>
        <v>3.90318051531418</v>
      </c>
      <c r="AH472" s="397" t="n">
        <f aca="false">IF(AND(L471&lt;L_rampe,Poussee&lt;Poids*SIN(M471)), g*SIN(M471), (-W471+Poussee)/m)</f>
        <v>-5.81857716375461</v>
      </c>
    </row>
    <row r="473" customFormat="false" ht="12.75" hidden="false" customHeight="false" outlineLevel="0" collapsed="false">
      <c r="A473" s="396" t="n">
        <f aca="false">IF(B472+0.01&lt;=T_ini+ROUNDUP(Temps_fin_propu,0), 0.01, IF(K472&gt;0, 0.1, 0.0001))</f>
        <v>0.1</v>
      </c>
      <c r="B473" s="397" t="n">
        <f aca="false">B472+pas</f>
        <v>28.9000000000001</v>
      </c>
      <c r="D473" s="396" t="n">
        <f aca="false">IF(AND(L472&lt;L_rampe,Poussee&lt;Poids*SIN(M472)),0,(-W472+Poussee)/m*COS(M472)-U472/m*SIN(M472))</f>
        <v>-0.77805535973475</v>
      </c>
      <c r="E473" s="398" t="n">
        <f aca="false">IF(AND(L472&lt;L_rampe,Poussee&lt;Poids*SIN(M472)),0,(-W472+Poussee)/m*SIN(M472)+U472/m*COS(M472)-Poids/m)</f>
        <v>-3.99383498822305</v>
      </c>
      <c r="F473" s="397" t="n">
        <f aca="false">SQRT(acc_x^2+acc_z^2)</f>
        <v>4.06891730758522</v>
      </c>
      <c r="G473" s="396" t="n">
        <f aca="false">G472+acc_x*pas</f>
        <v>13.9209249802987</v>
      </c>
      <c r="H473" s="398" t="n">
        <f aca="false">H472+acc_z*pas</f>
        <v>-105.043514047314</v>
      </c>
      <c r="I473" s="397" t="n">
        <f aca="false">SQRT(vit_x^2+vit_z^2)</f>
        <v>105.961936541927</v>
      </c>
      <c r="J473" s="396" t="n">
        <f aca="false">J472+0.5*(vit_x+G472)*pas*(K472&gt;=0)</f>
        <v>650.301405462422</v>
      </c>
      <c r="K473" s="398" t="n">
        <f aca="false">K472+0.5*(vit_z+H472)*pas</f>
        <v>345.263981825105</v>
      </c>
      <c r="L473" s="397" t="n">
        <f aca="false">SQRT(pos_x^2+pos_z^2)</f>
        <v>736.273818013467</v>
      </c>
      <c r="M473" s="396" t="n">
        <f aca="false">IF(AND(L472&gt;L_rampe,G473&gt;0),ATAN2(G473,H473),$M$4)</f>
        <v>-1.43903878105348</v>
      </c>
      <c r="N473" s="397" t="n">
        <f aca="false">DEGREES(Beta)</f>
        <v>-82.4508487100152</v>
      </c>
      <c r="P473" s="399" t="n">
        <f aca="false">MATCH(t-pas/2-T_ini,CdP_t)</f>
        <v>23</v>
      </c>
      <c r="Q473" s="397" t="n">
        <f aca="false">(INDEX(CdP,2,i_P+1)-INDEX(CdP,2,i_P+0))/(INDEX(CdP,1,i_P+1)-INDEX(CdP,1,i_P+0))*(t-pas/2-T_ini-INDEX(CdP,1,i_P+0))+INDEX(CdP,2,i_P+0)</f>
        <v>0</v>
      </c>
      <c r="R473" s="396" t="n">
        <f aca="false">Poussee/(g*ISP)</f>
        <v>0</v>
      </c>
      <c r="S473" s="398" t="n">
        <f aca="false">S472-Débit*pas</f>
        <v>8.45</v>
      </c>
      <c r="T473" s="397" t="n">
        <f aca="false">m*g</f>
        <v>82.8945</v>
      </c>
      <c r="U473" s="400" t="n">
        <f aca="false">IF(pos_xz&lt;L_rampe,Poids*COS(Beta),0)</f>
        <v>0</v>
      </c>
      <c r="V473" s="396" t="n">
        <f aca="false">Rho_moyen*(20000-Alt_rampe-pos_z)/(20000+Alt_rampe+pos_z)</f>
        <v>1.18342291571015</v>
      </c>
      <c r="W473" s="397" t="n">
        <f aca="false">1/2*Rho*Sref*Cx*vit_xz^2</f>
        <v>49.9996880852268</v>
      </c>
      <c r="Y473" s="401" t="str">
        <f aca="false">IF(AND(pos_z&lt;=0,K472&gt;0),"Impact balistique","") &amp; IF(AND(H474&lt;0,vit_z&gt;=0),"Apogée","") &amp; IF(AND(Poussee=0,Q472&gt;0),"Fin de propulsion","") &amp; IF(AND(L474&gt;L_rampe,pos_xz&lt;=L_rampe),"Sortie de rampe","")</f>
        <v/>
      </c>
      <c r="Z473" s="402" t="str">
        <f aca="false">IF(ABS(t-T_para)&lt;pas/2,"Para","")</f>
        <v/>
      </c>
      <c r="AA473" s="403" t="str">
        <f aca="false">IF(ABS(t-T_satellite)&lt;pas/2,"Satellite","")</f>
        <v/>
      </c>
      <c r="AC473" s="399" t="e">
        <f aca="false">IF(ABS(t-ROUND(t,0))&lt;0.001,t,NA())</f>
        <v>#N/A</v>
      </c>
      <c r="AD473" s="404" t="e">
        <f aca="false">IF(ABS(t-ROUND(t,0))&lt;0.001,pos_x,NA())</f>
        <v>#N/A</v>
      </c>
      <c r="AE473" s="405" t="e">
        <f aca="false">IF(t&lt;T_para, pos_z, NA())</f>
        <v>#N/A</v>
      </c>
      <c r="AG473" s="396" t="n">
        <f aca="false">IF(AND(L472&lt;L_rampe,Poussee&lt;Poids*SIN(M472)),0,(-W472+Poussee)/m-Poids*SIN(M472)/m)</f>
        <v>3.85540638044308</v>
      </c>
      <c r="AH473" s="397" t="n">
        <f aca="false">IF(AND(L472&lt;L_rampe,Poussee&lt;Poids*SIN(M472)), g*SIN(M472), (-W472+Poussee)/m)</f>
        <v>-5.86797627696554</v>
      </c>
    </row>
    <row r="474" customFormat="false" ht="12.75" hidden="false" customHeight="false" outlineLevel="0" collapsed="false">
      <c r="A474" s="396" t="n">
        <f aca="false">IF(B473+0.01&lt;=T_ini+ROUNDUP(Temps_fin_propu,0), 0.01, IF(K473&gt;0, 0.1, 0.0001))</f>
        <v>0.1</v>
      </c>
      <c r="B474" s="397" t="n">
        <f aca="false">B473+pas</f>
        <v>29.0000000000001</v>
      </c>
      <c r="D474" s="396" t="n">
        <f aca="false">IF(AND(L473&lt;L_rampe,Poussee&lt;Poids*SIN(M473)),0,(-W473+Poussee)/m*COS(M473)-U473/m*SIN(M473))</f>
        <v>-0.777371818473334</v>
      </c>
      <c r="E474" s="398" t="n">
        <f aca="false">IF(AND(L473&lt;L_rampe,Poussee&lt;Poids*SIN(M473)),0,(-W473+Poussee)/m*SIN(M473)+U473/m*COS(M473)-Poids/m)</f>
        <v>-3.94416366733145</v>
      </c>
      <c r="F474" s="397" t="n">
        <f aca="false">SQRT(acc_x^2+acc_z^2)</f>
        <v>4.02004153944384</v>
      </c>
      <c r="G474" s="396" t="n">
        <f aca="false">G473+acc_x*pas</f>
        <v>13.8431877984514</v>
      </c>
      <c r="H474" s="398" t="n">
        <f aca="false">H473+acc_z*pas</f>
        <v>-105.437930414047</v>
      </c>
      <c r="I474" s="397" t="n">
        <f aca="false">SQRT(vit_x^2+vit_z^2)</f>
        <v>106.342799560763</v>
      </c>
      <c r="J474" s="396" t="n">
        <f aca="false">J473+0.5*(vit_x+G473)*pas*(K473&gt;=0)</f>
        <v>651.68961110136</v>
      </c>
      <c r="K474" s="398" t="n">
        <f aca="false">K473+0.5*(vit_z+H473)*pas</f>
        <v>334.739909602037</v>
      </c>
      <c r="L474" s="397" t="n">
        <f aca="false">SQRT(pos_x^2+pos_z^2)</f>
        <v>732.632347291478</v>
      </c>
      <c r="M474" s="396" t="n">
        <f aca="false">IF(AND(L473&gt;L_rampe,G474&gt;0),ATAN2(G474,H474),$M$4)</f>
        <v>-1.44025071578239</v>
      </c>
      <c r="N474" s="397" t="n">
        <f aca="false">DEGREES(Beta)</f>
        <v>-82.5202874550271</v>
      </c>
      <c r="P474" s="399" t="n">
        <f aca="false">MATCH(t-pas/2-T_ini,CdP_t)</f>
        <v>23</v>
      </c>
      <c r="Q474" s="397" t="n">
        <f aca="false">(INDEX(CdP,2,i_P+1)-INDEX(CdP,2,i_P+0))/(INDEX(CdP,1,i_P+1)-INDEX(CdP,1,i_P+0))*(t-pas/2-T_ini-INDEX(CdP,1,i_P+0))+INDEX(CdP,2,i_P+0)</f>
        <v>0</v>
      </c>
      <c r="R474" s="396" t="n">
        <f aca="false">Poussee/(g*ISP)</f>
        <v>0</v>
      </c>
      <c r="S474" s="398" t="n">
        <f aca="false">S473-Débit*pas</f>
        <v>8.45</v>
      </c>
      <c r="T474" s="397" t="n">
        <f aca="false">m*g</f>
        <v>82.8945</v>
      </c>
      <c r="U474" s="400" t="n">
        <f aca="false">IF(pos_xz&lt;L_rampe,Poids*COS(Beta),0)</f>
        <v>0</v>
      </c>
      <c r="V474" s="396" t="n">
        <f aca="false">Rho_moyen*(20000-Alt_rampe-pos_z)/(20000+Alt_rampe+pos_z)</f>
        <v>1.18466937456929</v>
      </c>
      <c r="W474" s="397" t="n">
        <f aca="false">1/2*Rho*Sref*Cx*vit_xz^2</f>
        <v>50.4128078235447</v>
      </c>
      <c r="Y474" s="401" t="str">
        <f aca="false">IF(AND(pos_z&lt;=0,K473&gt;0),"Impact balistique","") &amp; IF(AND(H475&lt;0,vit_z&gt;=0),"Apogée","") &amp; IF(AND(Poussee=0,Q473&gt;0),"Fin de propulsion","") &amp; IF(AND(L475&gt;L_rampe,pos_xz&lt;=L_rampe),"Sortie de rampe","")</f>
        <v/>
      </c>
      <c r="Z474" s="402" t="str">
        <f aca="false">IF(ABS(t-T_para)&lt;pas/2,"Para","")</f>
        <v/>
      </c>
      <c r="AA474" s="403" t="str">
        <f aca="false">IF(ABS(t-T_satellite)&lt;pas/2,"Satellite","")</f>
        <v/>
      </c>
      <c r="AC474" s="399" t="n">
        <f aca="false">IF(ABS(t-ROUND(t,0))&lt;0.001,t,NA())</f>
        <v>29.0000000000001</v>
      </c>
      <c r="AD474" s="404" t="n">
        <f aca="false">IF(ABS(t-ROUND(t,0))&lt;0.001,pos_x,NA())</f>
        <v>651.68961110136</v>
      </c>
      <c r="AE474" s="405" t="e">
        <f aca="false">IF(t&lt;T_para, pos_z, NA())</f>
        <v>#N/A</v>
      </c>
      <c r="AG474" s="396" t="n">
        <f aca="false">IF(AND(L473&lt;L_rampe,Poussee&lt;Poids*SIN(M473)),0,(-W473+Poussee)/m-Poids*SIN(M473)/m)</f>
        <v>3.80784921449429</v>
      </c>
      <c r="AH474" s="397" t="n">
        <f aca="false">IF(AND(L473&lt;L_rampe,Poussee&lt;Poids*SIN(M473)), g*SIN(M473), (-W473+Poussee)/m)</f>
        <v>-5.91712285032269</v>
      </c>
    </row>
    <row r="475" customFormat="false" ht="12.75" hidden="false" customHeight="false" outlineLevel="0" collapsed="false">
      <c r="A475" s="396" t="n">
        <f aca="false">IF(B474+0.01&lt;=T_ini+ROUNDUP(Temps_fin_propu,0), 0.01, IF(K474&gt;0, 0.1, 0.0001))</f>
        <v>0.1</v>
      </c>
      <c r="B475" s="397" t="n">
        <f aca="false">B474+pas</f>
        <v>29.1000000000001</v>
      </c>
      <c r="D475" s="396" t="n">
        <f aca="false">IF(AND(L474&lt;L_rampe,Poussee&lt;Poids*SIN(M474)),0,(-W474+Poussee)/m*COS(M474)-U474/m*SIN(M474))</f>
        <v>-0.77662648894228</v>
      </c>
      <c r="E475" s="398" t="n">
        <f aca="false">IF(AND(L474&lt;L_rampe,Poussee&lt;Poids*SIN(M474)),0,(-W474+Poussee)/m*SIN(M474)+U474/m*COS(M474)-Poids/m)</f>
        <v>-3.89475194507135</v>
      </c>
      <c r="F475" s="397" t="n">
        <f aca="false">SQRT(acc_x^2+acc_z^2)</f>
        <v>3.97142813317374</v>
      </c>
      <c r="G475" s="396" t="n">
        <f aca="false">G474+acc_x*pas</f>
        <v>13.7655251495572</v>
      </c>
      <c r="H475" s="398" t="n">
        <f aca="false">H474+acc_z*pas</f>
        <v>-105.827405608554</v>
      </c>
      <c r="I475" s="397" t="n">
        <f aca="false">SQRT(vit_x^2+vit_z^2)</f>
        <v>106.718927376921</v>
      </c>
      <c r="J475" s="396" t="n">
        <f aca="false">J474+0.5*(vit_x+G474)*pas*(K474&gt;=0)</f>
        <v>653.07004674876</v>
      </c>
      <c r="K475" s="398" t="n">
        <f aca="false">K474+0.5*(vit_z+H474)*pas</f>
        <v>324.176642800906</v>
      </c>
      <c r="L475" s="397" t="n">
        <f aca="false">SQRT(pos_x^2+pos_z^2)</f>
        <v>729.10286084893</v>
      </c>
      <c r="M475" s="396" t="n">
        <f aca="false">IF(AND(L474&gt;L_rampe,G475&gt;0),ATAN2(G475,H475),$M$4)</f>
        <v>-1.44144733419418</v>
      </c>
      <c r="N475" s="397" t="n">
        <f aca="false">DEGREES(Beta)</f>
        <v>-82.5888486397098</v>
      </c>
      <c r="P475" s="399" t="n">
        <f aca="false">MATCH(t-pas/2-T_ini,CdP_t)</f>
        <v>23</v>
      </c>
      <c r="Q475" s="397" t="n">
        <f aca="false">(INDEX(CdP,2,i_P+1)-INDEX(CdP,2,i_P+0))/(INDEX(CdP,1,i_P+1)-INDEX(CdP,1,i_P+0))*(t-pas/2-T_ini-INDEX(CdP,1,i_P+0))+INDEX(CdP,2,i_P+0)</f>
        <v>0</v>
      </c>
      <c r="R475" s="396" t="n">
        <f aca="false">Poussee/(g*ISP)</f>
        <v>0</v>
      </c>
      <c r="S475" s="398" t="n">
        <f aca="false">S474-Débit*pas</f>
        <v>8.45</v>
      </c>
      <c r="T475" s="397" t="n">
        <f aca="false">m*g</f>
        <v>82.8945</v>
      </c>
      <c r="U475" s="400" t="n">
        <f aca="false">IF(pos_xz&lt;L_rampe,Poids*COS(Beta),0)</f>
        <v>0</v>
      </c>
      <c r="V475" s="396" t="n">
        <f aca="false">Rho_moyen*(20000-Alt_rampe-pos_z)/(20000+Alt_rampe+pos_z)</f>
        <v>1.18592177366784</v>
      </c>
      <c r="W475" s="397" t="n">
        <f aca="false">1/2*Rho*Sref*Cx*vit_xz^2</f>
        <v>50.8237250360156</v>
      </c>
      <c r="Y475" s="401" t="str">
        <f aca="false">IF(AND(pos_z&lt;=0,K474&gt;0),"Impact balistique","") &amp; IF(AND(H476&lt;0,vit_z&gt;=0),"Apogée","") &amp; IF(AND(Poussee=0,Q474&gt;0),"Fin de propulsion","") &amp; IF(AND(L476&gt;L_rampe,pos_xz&lt;=L_rampe),"Sortie de rampe","")</f>
        <v/>
      </c>
      <c r="Z475" s="402" t="str">
        <f aca="false">IF(ABS(t-T_para)&lt;pas/2,"Para","")</f>
        <v/>
      </c>
      <c r="AA475" s="403" t="str">
        <f aca="false">IF(ABS(t-T_satellite)&lt;pas/2,"Satellite","")</f>
        <v/>
      </c>
      <c r="AC475" s="399" t="e">
        <f aca="false">IF(ABS(t-ROUND(t,0))&lt;0.001,t,NA())</f>
        <v>#N/A</v>
      </c>
      <c r="AD475" s="404" t="e">
        <f aca="false">IF(ABS(t-ROUND(t,0))&lt;0.001,pos_x,NA())</f>
        <v>#N/A</v>
      </c>
      <c r="AE475" s="405" t="e">
        <f aca="false">IF(t&lt;T_para, pos_z, NA())</f>
        <v>#N/A</v>
      </c>
      <c r="AG475" s="396" t="n">
        <f aca="false">IF(AND(L474&lt;L_rampe,Poussee&lt;Poids*SIN(M474)),0,(-W474+Poussee)/m-Poids*SIN(M474)/m)</f>
        <v>3.76051410984556</v>
      </c>
      <c r="AH475" s="397" t="n">
        <f aca="false">IF(AND(L474&lt;L_rampe,Poussee&lt;Poids*SIN(M474)), g*SIN(M474), (-W474+Poussee)/m)</f>
        <v>-5.9660127601828</v>
      </c>
    </row>
    <row r="476" customFormat="false" ht="12.75" hidden="false" customHeight="false" outlineLevel="0" collapsed="false">
      <c r="A476" s="396" t="n">
        <f aca="false">IF(B475+0.01&lt;=T_ini+ROUNDUP(Temps_fin_propu,0), 0.01, IF(K475&gt;0, 0.1, 0.0001))</f>
        <v>0.1</v>
      </c>
      <c r="B476" s="397" t="n">
        <f aca="false">B475+pas</f>
        <v>29.2000000000002</v>
      </c>
      <c r="D476" s="396" t="n">
        <f aca="false">IF(AND(L475&lt;L_rampe,Poussee&lt;Poids*SIN(M475)),0,(-W475+Poussee)/m*COS(M475)-U475/m*SIN(M475))</f>
        <v>-0.775820259565926</v>
      </c>
      <c r="E476" s="398" t="n">
        <f aca="false">IF(AND(L475&lt;L_rampe,Poussee&lt;Poids*SIN(M475)),0,(-W475+Poussee)/m*SIN(M475)+U475/m*COS(M475)-Poids/m)</f>
        <v>-3.84560384392178</v>
      </c>
      <c r="F476" s="397" t="n">
        <f aca="false">SQRT(acc_x^2+acc_z^2)</f>
        <v>3.92308118696758</v>
      </c>
      <c r="G476" s="396" t="n">
        <f aca="false">G475+acc_x*pas</f>
        <v>13.6879431236006</v>
      </c>
      <c r="H476" s="398" t="n">
        <f aca="false">H475+acc_z*pas</f>
        <v>-106.211965992946</v>
      </c>
      <c r="I476" s="397" t="n">
        <f aca="false">SQRT(vit_x^2+vit_z^2)</f>
        <v>107.090342734729</v>
      </c>
      <c r="J476" s="396" t="n">
        <f aca="false">J475+0.5*(vit_x+G475)*pas*(K475&gt;=0)</f>
        <v>654.442720162418</v>
      </c>
      <c r="K476" s="398" t="n">
        <f aca="false">K475+0.5*(vit_z+H475)*pas</f>
        <v>313.574674220831</v>
      </c>
      <c r="L476" s="397" t="n">
        <f aca="false">SQRT(pos_x^2+pos_z^2)</f>
        <v>725.688879814405</v>
      </c>
      <c r="M476" s="396" t="n">
        <f aca="false">IF(AND(L475&gt;L_rampe,G476&gt;0),ATAN2(G476,H476),$M$4)</f>
        <v>-1.44262893324278</v>
      </c>
      <c r="N476" s="397" t="n">
        <f aca="false">DEGREES(Beta)</f>
        <v>-82.6565492782715</v>
      </c>
      <c r="P476" s="399" t="n">
        <f aca="false">MATCH(t-pas/2-T_ini,CdP_t)</f>
        <v>23</v>
      </c>
      <c r="Q476" s="397" t="n">
        <f aca="false">(INDEX(CdP,2,i_P+1)-INDEX(CdP,2,i_P+0))/(INDEX(CdP,1,i_P+1)-INDEX(CdP,1,i_P+0))*(t-pas/2-T_ini-INDEX(CdP,1,i_P+0))+INDEX(CdP,2,i_P+0)</f>
        <v>0</v>
      </c>
      <c r="R476" s="396" t="n">
        <f aca="false">Poussee/(g*ISP)</f>
        <v>0</v>
      </c>
      <c r="S476" s="398" t="n">
        <f aca="false">S475-Débit*pas</f>
        <v>8.45</v>
      </c>
      <c r="T476" s="397" t="n">
        <f aca="false">m*g</f>
        <v>82.8945</v>
      </c>
      <c r="U476" s="400" t="n">
        <f aca="false">IF(pos_xz&lt;L_rampe,Poids*COS(Beta),0)</f>
        <v>0</v>
      </c>
      <c r="V476" s="396" t="n">
        <f aca="false">Rho_moyen*(20000-Alt_rampe-pos_z)/(20000+Alt_rampe+pos_z)</f>
        <v>1.18718007100365</v>
      </c>
      <c r="W476" s="397" t="n">
        <f aca="false">1/2*Rho*Sref*Cx*vit_xz^2</f>
        <v>51.2324071197099</v>
      </c>
      <c r="Y476" s="401" t="str">
        <f aca="false">IF(AND(pos_z&lt;=0,K475&gt;0),"Impact balistique","") &amp; IF(AND(H477&lt;0,vit_z&gt;=0),"Apogée","") &amp; IF(AND(Poussee=0,Q475&gt;0),"Fin de propulsion","") &amp; IF(AND(L477&gt;L_rampe,pos_xz&lt;=L_rampe),"Sortie de rampe","")</f>
        <v/>
      </c>
      <c r="Z476" s="402" t="str">
        <f aca="false">IF(ABS(t-T_para)&lt;pas/2,"Para","")</f>
        <v/>
      </c>
      <c r="AA476" s="403" t="str">
        <f aca="false">IF(ABS(t-T_satellite)&lt;pas/2,"Satellite","")</f>
        <v/>
      </c>
      <c r="AC476" s="399" t="e">
        <f aca="false">IF(ABS(t-ROUND(t,0))&lt;0.001,t,NA())</f>
        <v>#N/A</v>
      </c>
      <c r="AD476" s="404" t="e">
        <f aca="false">IF(ABS(t-ROUND(t,0))&lt;0.001,pos_x,NA())</f>
        <v>#N/A</v>
      </c>
      <c r="AE476" s="405" t="e">
        <f aca="false">IF(t&lt;T_para, pos_z, NA())</f>
        <v>#N/A</v>
      </c>
      <c r="AG476" s="396" t="n">
        <f aca="false">IF(AND(L475&lt;L_rampe,Poussee&lt;Poids*SIN(M475)),0,(-W475+Poussee)/m-Poids*SIN(M475)/m)</f>
        <v>3.71340599316815</v>
      </c>
      <c r="AH476" s="397" t="n">
        <f aca="false">IF(AND(L475&lt;L_rampe,Poussee&lt;Poids*SIN(M475)), g*SIN(M475), (-W475+Poussee)/m)</f>
        <v>-6.01464201609652</v>
      </c>
    </row>
    <row r="477" customFormat="false" ht="12.75" hidden="false" customHeight="false" outlineLevel="0" collapsed="false">
      <c r="A477" s="396" t="n">
        <f aca="false">IF(B476+0.01&lt;=T_ini+ROUNDUP(Temps_fin_propu,0), 0.01, IF(K476&gt;0, 0.1, 0.0001))</f>
        <v>0.1</v>
      </c>
      <c r="B477" s="397" t="n">
        <f aca="false">B476+pas</f>
        <v>29.3000000000002</v>
      </c>
      <c r="D477" s="396" t="n">
        <f aca="false">IF(AND(L476&lt;L_rampe,Poussee&lt;Poids*SIN(M476)),0,(-W476+Poussee)/m*COS(M476)-U476/m*SIN(M476))</f>
        <v>-0.774954020744421</v>
      </c>
      <c r="E477" s="398" t="n">
        <f aca="false">IF(AND(L476&lt;L_rampe,Poussee&lt;Poids*SIN(M476)),0,(-W476+Poussee)/m*SIN(M476)+U476/m*COS(M476)-Poids/m)</f>
        <v>-3.7967232531463</v>
      </c>
      <c r="F477" s="397" t="n">
        <f aca="false">SQRT(acc_x^2+acc_z^2)</f>
        <v>3.87500467035199</v>
      </c>
      <c r="G477" s="396" t="n">
        <f aca="false">G476+acc_x*pas</f>
        <v>13.6104477215261</v>
      </c>
      <c r="H477" s="398" t="n">
        <f aca="false">H476+acc_z*pas</f>
        <v>-106.591638318261</v>
      </c>
      <c r="I477" s="397" t="n">
        <f aca="false">SQRT(vit_x^2+vit_z^2)</f>
        <v>107.457068853339</v>
      </c>
      <c r="J477" s="396" t="n">
        <f aca="false">J476+0.5*(vit_x+G476)*pas*(K476&gt;=0)</f>
        <v>655.807639704674</v>
      </c>
      <c r="K477" s="398" t="n">
        <f aca="false">K476+0.5*(vit_z+H476)*pas</f>
        <v>302.934494005271</v>
      </c>
      <c r="L477" s="397" t="n">
        <f aca="false">SQRT(pos_x^2+pos_z^2)</f>
        <v>722.393914670691</v>
      </c>
      <c r="M477" s="396" t="n">
        <f aca="false">IF(AND(L476&gt;L_rampe,G477&gt;0),ATAN2(G477,H477),$M$4)</f>
        <v>-1.44379580196667</v>
      </c>
      <c r="N477" s="397" t="n">
        <f aca="false">DEGREES(Beta)</f>
        <v>-82.7234059313959</v>
      </c>
      <c r="P477" s="399" t="n">
        <f aca="false">MATCH(t-pas/2-T_ini,CdP_t)</f>
        <v>23</v>
      </c>
      <c r="Q477" s="397" t="n">
        <f aca="false">(INDEX(CdP,2,i_P+1)-INDEX(CdP,2,i_P+0))/(INDEX(CdP,1,i_P+1)-INDEX(CdP,1,i_P+0))*(t-pas/2-T_ini-INDEX(CdP,1,i_P+0))+INDEX(CdP,2,i_P+0)</f>
        <v>0</v>
      </c>
      <c r="R477" s="396" t="n">
        <f aca="false">Poussee/(g*ISP)</f>
        <v>0</v>
      </c>
      <c r="S477" s="398" t="n">
        <f aca="false">S476-Débit*pas</f>
        <v>8.45</v>
      </c>
      <c r="T477" s="397" t="n">
        <f aca="false">m*g</f>
        <v>82.8945</v>
      </c>
      <c r="U477" s="400" t="n">
        <f aca="false">IF(pos_xz&lt;L_rampe,Poids*COS(Beta),0)</f>
        <v>0</v>
      </c>
      <c r="V477" s="396" t="n">
        <f aca="false">Rho_moyen*(20000-Alt_rampe-pos_z)/(20000+Alt_rampe+pos_z)</f>
        <v>1.1884442247483</v>
      </c>
      <c r="W477" s="397" t="n">
        <f aca="false">1/2*Rho*Sref*Cx*vit_xz^2</f>
        <v>51.6388225785814</v>
      </c>
      <c r="Y477" s="401" t="str">
        <f aca="false">IF(AND(pos_z&lt;=0,K476&gt;0),"Impact balistique","") &amp; IF(AND(H478&lt;0,vit_z&gt;=0),"Apogée","") &amp; IF(AND(Poussee=0,Q476&gt;0),"Fin de propulsion","") &amp; IF(AND(L478&gt;L_rampe,pos_xz&lt;=L_rampe),"Sortie de rampe","")</f>
        <v/>
      </c>
      <c r="Z477" s="402" t="str">
        <f aca="false">IF(ABS(t-T_para)&lt;pas/2,"Para","")</f>
        <v/>
      </c>
      <c r="AA477" s="403" t="str">
        <f aca="false">IF(ABS(t-T_satellite)&lt;pas/2,"Satellite","")</f>
        <v/>
      </c>
      <c r="AC477" s="399" t="e">
        <f aca="false">IF(ABS(t-ROUND(t,0))&lt;0.001,t,NA())</f>
        <v>#N/A</v>
      </c>
      <c r="AD477" s="404" t="e">
        <f aca="false">IF(ABS(t-ROUND(t,0))&lt;0.001,pos_x,NA())</f>
        <v>#N/A</v>
      </c>
      <c r="AE477" s="405" t="e">
        <f aca="false">IF(t&lt;T_para, pos_z, NA())</f>
        <v>#N/A</v>
      </c>
      <c r="AG477" s="396" t="n">
        <f aca="false">IF(AND(L476&lt;L_rampe,Poussee&lt;Poids*SIN(M476)),0,(-W476+Poussee)/m-Poids*SIN(M476)/m)</f>
        <v>3.66652962780287</v>
      </c>
      <c r="AH477" s="397" t="n">
        <f aca="false">IF(AND(L476&lt;L_rampe,Poussee&lt;Poids*SIN(M476)), g*SIN(M476), (-W476+Poussee)/m)</f>
        <v>-6.06300675972899</v>
      </c>
    </row>
    <row r="478" customFormat="false" ht="12.75" hidden="false" customHeight="false" outlineLevel="0" collapsed="false">
      <c r="A478" s="396" t="n">
        <f aca="false">IF(B477+0.01&lt;=T_ini+ROUNDUP(Temps_fin_propu,0), 0.01, IF(K477&gt;0, 0.1, 0.0001))</f>
        <v>0.1</v>
      </c>
      <c r="B478" s="397" t="n">
        <f aca="false">B477+pas</f>
        <v>29.4000000000002</v>
      </c>
      <c r="D478" s="396" t="n">
        <f aca="false">IF(AND(L477&lt;L_rampe,Poussee&lt;Poids*SIN(M477)),0,(-W477+Poussee)/m*COS(M477)-U477/m*SIN(M477))</f>
        <v>-0.774028664465674</v>
      </c>
      <c r="E478" s="398" t="n">
        <f aca="false">IF(AND(L477&lt;L_rampe,Poussee&lt;Poids*SIN(M477)),0,(-W477+Poussee)/m*SIN(M477)+U477/m*COS(M477)-Poids/m)</f>
        <v>-3.74811392991852</v>
      </c>
      <c r="F478" s="397" t="n">
        <f aca="false">SQRT(acc_x^2+acc_z^2)</f>
        <v>3.82720242540995</v>
      </c>
      <c r="G478" s="396" t="n">
        <f aca="false">G477+acc_x*pas</f>
        <v>13.5330448550796</v>
      </c>
      <c r="H478" s="398" t="n">
        <f aca="false">H477+acc_z*pas</f>
        <v>-106.966449711253</v>
      </c>
      <c r="I478" s="397" t="n">
        <f aca="false">SQRT(vit_x^2+vit_z^2)</f>
        <v>107.819129410692</v>
      </c>
      <c r="J478" s="396" t="n">
        <f aca="false">J477+0.5*(vit_x+G477)*pas*(K477&gt;=0)</f>
        <v>657.164814333505</v>
      </c>
      <c r="K478" s="398" t="n">
        <f aca="false">K477+0.5*(vit_z+H477)*pas</f>
        <v>292.256589603796</v>
      </c>
      <c r="L478" s="397" t="n">
        <f aca="false">SQRT(pos_x^2+pos_z^2)</f>
        <v>719.221459193781</v>
      </c>
      <c r="M478" s="396" t="n">
        <f aca="false">IF(AND(L477&gt;L_rampe,G478&gt;0),ATAN2(G478,H478),$M$4)</f>
        <v>-1.44494822174835</v>
      </c>
      <c r="N478" s="397" t="n">
        <f aca="false">DEGREES(Beta)</f>
        <v>-82.789434721114</v>
      </c>
      <c r="P478" s="399" t="n">
        <f aca="false">MATCH(t-pas/2-T_ini,CdP_t)</f>
        <v>23</v>
      </c>
      <c r="Q478" s="397" t="n">
        <f aca="false">(INDEX(CdP,2,i_P+1)-INDEX(CdP,2,i_P+0))/(INDEX(CdP,1,i_P+1)-INDEX(CdP,1,i_P+0))*(t-pas/2-T_ini-INDEX(CdP,1,i_P+0))+INDEX(CdP,2,i_P+0)</f>
        <v>0</v>
      </c>
      <c r="R478" s="396" t="n">
        <f aca="false">Poussee/(g*ISP)</f>
        <v>0</v>
      </c>
      <c r="S478" s="398" t="n">
        <f aca="false">S477-Débit*pas</f>
        <v>8.45</v>
      </c>
      <c r="T478" s="397" t="n">
        <f aca="false">m*g</f>
        <v>82.8945</v>
      </c>
      <c r="U478" s="400" t="n">
        <f aca="false">IF(pos_xz&lt;L_rampe,Poids*COS(Beta),0)</f>
        <v>0</v>
      </c>
      <c r="V478" s="396" t="n">
        <f aca="false">Rho_moyen*(20000-Alt_rampe-pos_z)/(20000+Alt_rampe+pos_z)</f>
        <v>1.18971419325063</v>
      </c>
      <c r="W478" s="397" t="n">
        <f aca="false">1/2*Rho*Sref*Cx*vit_xz^2</f>
        <v>52.0429410136336</v>
      </c>
      <c r="Y478" s="401" t="str">
        <f aca="false">IF(AND(pos_z&lt;=0,K477&gt;0),"Impact balistique","") &amp; IF(AND(H479&lt;0,vit_z&gt;=0),"Apogée","") &amp; IF(AND(Poussee=0,Q477&gt;0),"Fin de propulsion","") &amp; IF(AND(L479&gt;L_rampe,pos_xz&lt;=L_rampe),"Sortie de rampe","")</f>
        <v/>
      </c>
      <c r="Z478" s="402" t="str">
        <f aca="false">IF(ABS(t-T_para)&lt;pas/2,"Para","")</f>
        <v/>
      </c>
      <c r="AA478" s="403" t="str">
        <f aca="false">IF(ABS(t-T_satellite)&lt;pas/2,"Satellite","")</f>
        <v/>
      </c>
      <c r="AC478" s="399" t="e">
        <f aca="false">IF(ABS(t-ROUND(t,0))&lt;0.001,t,NA())</f>
        <v>#N/A</v>
      </c>
      <c r="AD478" s="404" t="e">
        <f aca="false">IF(ABS(t-ROUND(t,0))&lt;0.001,pos_x,NA())</f>
        <v>#N/A</v>
      </c>
      <c r="AE478" s="405" t="e">
        <f aca="false">IF(t&lt;T_para, pos_z, NA())</f>
        <v>#N/A</v>
      </c>
      <c r="AG478" s="396" t="n">
        <f aca="false">IF(AND(L477&lt;L_rampe,Poussee&lt;Poids*SIN(M477)),0,(-W477+Poussee)/m-Poids*SIN(M477)/m)</f>
        <v>3.61988961611946</v>
      </c>
      <c r="AH478" s="397" t="n">
        <f aca="false">IF(AND(L477&lt;L_rampe,Poussee&lt;Poids*SIN(M477)), g*SIN(M477), (-W477+Poussee)/m)</f>
        <v>-6.11110326373744</v>
      </c>
    </row>
    <row r="479" customFormat="false" ht="12.75" hidden="false" customHeight="false" outlineLevel="0" collapsed="false">
      <c r="A479" s="396" t="n">
        <f aca="false">IF(B478+0.01&lt;=T_ini+ROUNDUP(Temps_fin_propu,0), 0.01, IF(K478&gt;0, 0.1, 0.0001))</f>
        <v>0.1</v>
      </c>
      <c r="B479" s="397" t="n">
        <f aca="false">B478+pas</f>
        <v>29.5000000000002</v>
      </c>
      <c r="D479" s="396" t="n">
        <f aca="false">IF(AND(L478&lt;L_rampe,Poussee&lt;Poids*SIN(M478)),0,(-W478+Poussee)/m*COS(M478)-U478/m*SIN(M478))</f>
        <v>-0.773045083925976</v>
      </c>
      <c r="E479" s="398" t="n">
        <f aca="false">IF(AND(L478&lt;L_rampe,Poussee&lt;Poids*SIN(M478)),0,(-W478+Poussee)/m*SIN(M478)+U478/m*COS(M478)-Poids/m)</f>
        <v>-3.69977950048974</v>
      </c>
      <c r="F479" s="397" t="n">
        <f aca="false">SQRT(acc_x^2+acc_z^2)</f>
        <v>3.779678168049</v>
      </c>
      <c r="G479" s="396" t="n">
        <f aca="false">G478+acc_x*pas</f>
        <v>13.455740346687</v>
      </c>
      <c r="H479" s="398" t="n">
        <f aca="false">H478+acc_z*pas</f>
        <v>-107.336427661302</v>
      </c>
      <c r="I479" s="397" t="n">
        <f aca="false">SQRT(vit_x^2+vit_z^2)</f>
        <v>108.176548527707</v>
      </c>
      <c r="J479" s="396" t="n">
        <f aca="false">J478+0.5*(vit_x+G478)*pas*(K478&gt;=0)</f>
        <v>658.514253593593</v>
      </c>
      <c r="K479" s="398" t="n">
        <f aca="false">K478+0.5*(vit_z+H478)*pas</f>
        <v>281.541445735168</v>
      </c>
      <c r="L479" s="397" t="n">
        <f aca="false">SQRT(pos_x^2+pos_z^2)</f>
        <v>716.174984101354</v>
      </c>
      <c r="M479" s="396" t="n">
        <f aca="false">IF(AND(L478&gt;L_rampe,G479&gt;0),ATAN2(G479,H479),$M$4)</f>
        <v>-1.44608646656398</v>
      </c>
      <c r="N479" s="397" t="n">
        <f aca="false">DEGREES(Beta)</f>
        <v>-82.8546513451018</v>
      </c>
      <c r="P479" s="399" t="n">
        <f aca="false">MATCH(t-pas/2-T_ini,CdP_t)</f>
        <v>23</v>
      </c>
      <c r="Q479" s="397" t="n">
        <f aca="false">(INDEX(CdP,2,i_P+1)-INDEX(CdP,2,i_P+0))/(INDEX(CdP,1,i_P+1)-INDEX(CdP,1,i_P+0))*(t-pas/2-T_ini-INDEX(CdP,1,i_P+0))+INDEX(CdP,2,i_P+0)</f>
        <v>0</v>
      </c>
      <c r="R479" s="396" t="n">
        <f aca="false">Poussee/(g*ISP)</f>
        <v>0</v>
      </c>
      <c r="S479" s="398" t="n">
        <f aca="false">S478-Débit*pas</f>
        <v>8.45</v>
      </c>
      <c r="T479" s="397" t="n">
        <f aca="false">m*g</f>
        <v>82.8945</v>
      </c>
      <c r="U479" s="400" t="n">
        <f aca="false">IF(pos_xz&lt;L_rampe,Poids*COS(Beta),0)</f>
        <v>0</v>
      </c>
      <c r="V479" s="396" t="n">
        <f aca="false">Rho_moyen*(20000-Alt_rampe-pos_z)/(20000+Alt_rampe+pos_z)</f>
        <v>1.19098993504036</v>
      </c>
      <c r="W479" s="397" t="n">
        <f aca="false">1/2*Rho*Sref*Cx*vit_xz^2</f>
        <v>52.4447331127541</v>
      </c>
      <c r="Y479" s="401" t="str">
        <f aca="false">IF(AND(pos_z&lt;=0,K478&gt;0),"Impact balistique","") &amp; IF(AND(H480&lt;0,vit_z&gt;=0),"Apogée","") &amp; IF(AND(Poussee=0,Q478&gt;0),"Fin de propulsion","") &amp; IF(AND(L480&gt;L_rampe,pos_xz&lt;=L_rampe),"Sortie de rampe","")</f>
        <v/>
      </c>
      <c r="Z479" s="402" t="str">
        <f aca="false">IF(ABS(t-T_para)&lt;pas/2,"Para","")</f>
        <v/>
      </c>
      <c r="AA479" s="403" t="str">
        <f aca="false">IF(ABS(t-T_satellite)&lt;pas/2,"Satellite","")</f>
        <v/>
      </c>
      <c r="AC479" s="399" t="e">
        <f aca="false">IF(ABS(t-ROUND(t,0))&lt;0.001,t,NA())</f>
        <v>#N/A</v>
      </c>
      <c r="AD479" s="404" t="e">
        <f aca="false">IF(ABS(t-ROUND(t,0))&lt;0.001,pos_x,NA())</f>
        <v>#N/A</v>
      </c>
      <c r="AE479" s="405" t="e">
        <f aca="false">IF(t&lt;T_para, pos_z, NA())</f>
        <v>#N/A</v>
      </c>
      <c r="AG479" s="396" t="n">
        <f aca="false">IF(AND(L478&lt;L_rampe,Poussee&lt;Poids*SIN(M478)),0,(-W478+Poussee)/m-Poids*SIN(M478)/m)</f>
        <v>3.57349040186076</v>
      </c>
      <c r="AH479" s="397" t="n">
        <f aca="false">IF(AND(L478&lt;L_rampe,Poussee&lt;Poids*SIN(M478)), g*SIN(M478), (-W478+Poussee)/m)</f>
        <v>-6.15892793060753</v>
      </c>
    </row>
    <row r="480" customFormat="false" ht="12.75" hidden="false" customHeight="false" outlineLevel="0" collapsed="false">
      <c r="A480" s="396" t="n">
        <f aca="false">IF(B479+0.01&lt;=T_ini+ROUNDUP(Temps_fin_propu,0), 0.01, IF(K479&gt;0, 0.1, 0.0001))</f>
        <v>0.1</v>
      </c>
      <c r="B480" s="397" t="n">
        <f aca="false">B479+pas</f>
        <v>29.6000000000002</v>
      </c>
      <c r="D480" s="396" t="n">
        <f aca="false">IF(AND(L479&lt;L_rampe,Poussee&lt;Poids*SIN(M479)),0,(-W479+Poussee)/m*COS(M479)-U479/m*SIN(M479))</f>
        <v>-0.772004173159333</v>
      </c>
      <c r="E480" s="398" t="n">
        <f aca="false">IF(AND(L479&lt;L_rampe,Poussee&lt;Poids*SIN(M479)),0,(-W479+Poussee)/m*SIN(M479)+U479/m*COS(M479)-Poids/m)</f>
        <v>-3.65172346139673</v>
      </c>
      <c r="F480" s="397" t="n">
        <f aca="false">SQRT(acc_x^2+acc_z^2)</f>
        <v>3.73243548931402</v>
      </c>
      <c r="G480" s="396" t="n">
        <f aca="false">G479+acc_x*pas</f>
        <v>13.378539929371</v>
      </c>
      <c r="H480" s="398" t="n">
        <f aca="false">H479+acc_z*pas</f>
        <v>-107.701600007441</v>
      </c>
      <c r="I480" s="397" t="n">
        <f aca="false">SQRT(vit_x^2+vit_z^2)</f>
        <v>108.529350752709</v>
      </c>
      <c r="J480" s="396" t="n">
        <f aca="false">J479+0.5*(vit_x+G479)*pas*(K479&gt;=0)</f>
        <v>659.855967607396</v>
      </c>
      <c r="K480" s="398" t="n">
        <f aca="false">K479+0.5*(vit_z+H479)*pas</f>
        <v>270.789544351731</v>
      </c>
      <c r="L480" s="397" t="n">
        <f aca="false">SQRT(pos_x^2+pos_z^2)</f>
        <v>713.257930427213</v>
      </c>
      <c r="M480" s="396" t="n">
        <f aca="false">IF(AND(L479&gt;L_rampe,G480&gt;0),ATAN2(G480,H480),$M$4)</f>
        <v>-1.44721080322324</v>
      </c>
      <c r="N480" s="397" t="n">
        <f aca="false">DEGREES(Beta)</f>
        <v>-82.9190710904298</v>
      </c>
      <c r="P480" s="399" t="n">
        <f aca="false">MATCH(t-pas/2-T_ini,CdP_t)</f>
        <v>23</v>
      </c>
      <c r="Q480" s="397" t="n">
        <f aca="false">(INDEX(CdP,2,i_P+1)-INDEX(CdP,2,i_P+0))/(INDEX(CdP,1,i_P+1)-INDEX(CdP,1,i_P+0))*(t-pas/2-T_ini-INDEX(CdP,1,i_P+0))+INDEX(CdP,2,i_P+0)</f>
        <v>0</v>
      </c>
      <c r="R480" s="396" t="n">
        <f aca="false">Poussee/(g*ISP)</f>
        <v>0</v>
      </c>
      <c r="S480" s="398" t="n">
        <f aca="false">S479-Débit*pas</f>
        <v>8.45</v>
      </c>
      <c r="T480" s="397" t="n">
        <f aca="false">m*g</f>
        <v>82.8945</v>
      </c>
      <c r="U480" s="400" t="n">
        <f aca="false">IF(pos_xz&lt;L_rampe,Poids*COS(Beta),0)</f>
        <v>0</v>
      </c>
      <c r="V480" s="396" t="n">
        <f aca="false">Rho_moyen*(20000-Alt_rampe-pos_z)/(20000+Alt_rampe+pos_z)</f>
        <v>1.1922714088314</v>
      </c>
      <c r="W480" s="397" t="n">
        <f aca="false">1/2*Rho*Sref*Cx*vit_xz^2</f>
        <v>52.84417064023</v>
      </c>
      <c r="Y480" s="401" t="str">
        <f aca="false">IF(AND(pos_z&lt;=0,K479&gt;0),"Impact balistique","") &amp; IF(AND(H481&lt;0,vit_z&gt;=0),"Apogée","") &amp; IF(AND(Poussee=0,Q479&gt;0),"Fin de propulsion","") &amp; IF(AND(L481&gt;L_rampe,pos_xz&lt;=L_rampe),"Sortie de rampe","")</f>
        <v/>
      </c>
      <c r="Z480" s="402" t="str">
        <f aca="false">IF(ABS(t-T_para)&lt;pas/2,"Para","")</f>
        <v/>
      </c>
      <c r="AA480" s="403" t="str">
        <f aca="false">IF(ABS(t-T_satellite)&lt;pas/2,"Satellite","")</f>
        <v/>
      </c>
      <c r="AC480" s="399" t="e">
        <f aca="false">IF(ABS(t-ROUND(t,0))&lt;0.001,t,NA())</f>
        <v>#N/A</v>
      </c>
      <c r="AD480" s="404" t="e">
        <f aca="false">IF(ABS(t-ROUND(t,0))&lt;0.001,pos_x,NA())</f>
        <v>#N/A</v>
      </c>
      <c r="AE480" s="405" t="e">
        <f aca="false">IF(t&lt;T_para, pos_z, NA())</f>
        <v>#N/A</v>
      </c>
      <c r="AG480" s="396" t="n">
        <f aca="false">IF(AND(L479&lt;L_rampe,Poussee&lt;Poids*SIN(M479)),0,(-W479+Poussee)/m-Poids*SIN(M479)/m)</f>
        <v>3.52733627247283</v>
      </c>
      <c r="AH480" s="397" t="n">
        <f aca="false">IF(AND(L479&lt;L_rampe,Poussee&lt;Poids*SIN(M479)), g*SIN(M479), (-W479+Poussee)/m)</f>
        <v>-6.20647729145019</v>
      </c>
    </row>
    <row r="481" customFormat="false" ht="12.75" hidden="false" customHeight="false" outlineLevel="0" collapsed="false">
      <c r="A481" s="396" t="n">
        <f aca="false">IF(B480+0.01&lt;=T_ini+ROUNDUP(Temps_fin_propu,0), 0.01, IF(K480&gt;0, 0.1, 0.0001))</f>
        <v>0.1</v>
      </c>
      <c r="B481" s="397" t="n">
        <f aca="false">B480+pas</f>
        <v>29.7000000000002</v>
      </c>
      <c r="D481" s="396" t="n">
        <f aca="false">IF(AND(L480&lt;L_rampe,Poussee&lt;Poids*SIN(M480)),0,(-W480+Poussee)/m*COS(M480)-U480/m*SIN(M480))</f>
        <v>-0.770906826675456</v>
      </c>
      <c r="E481" s="398" t="n">
        <f aca="false">IF(AND(L480&lt;L_rampe,Poussee&lt;Poids*SIN(M480)),0,(-W480+Poussee)/m*SIN(M480)+U480/m*COS(M480)-Poids/m)</f>
        <v>-3.60394918070786</v>
      </c>
      <c r="F481" s="397" t="n">
        <f aca="false">SQRT(acc_x^2+acc_z^2)</f>
        <v>3.68547785674255</v>
      </c>
      <c r="G481" s="396" t="n">
        <f aca="false">G480+acc_x*pas</f>
        <v>13.3014492467035</v>
      </c>
      <c r="H481" s="398" t="n">
        <f aca="false">H480+acc_z*pas</f>
        <v>-108.061994925512</v>
      </c>
      <c r="I481" s="397" t="n">
        <f aca="false">SQRT(vit_x^2+vit_z^2)</f>
        <v>108.877561046085</v>
      </c>
      <c r="J481" s="396" t="n">
        <f aca="false">J480+0.5*(vit_x+G480)*pas*(K480&gt;=0)</f>
        <v>661.1899670662</v>
      </c>
      <c r="K481" s="398" t="n">
        <f aca="false">K480+0.5*(vit_z+H480)*pas</f>
        <v>260.001364605083</v>
      </c>
      <c r="L481" s="397" t="n">
        <f aca="false">SQRT(pos_x^2+pos_z^2)</f>
        <v>710.473702641771</v>
      </c>
      <c r="M481" s="396" t="n">
        <f aca="false">IF(AND(L480&gt;L_rampe,G481&gt;0),ATAN2(G481,H481),$M$4)</f>
        <v>-1.44832149160028</v>
      </c>
      <c r="N481" s="397" t="n">
        <f aca="false">DEGREES(Beta)</f>
        <v>-82.9827088467881</v>
      </c>
      <c r="P481" s="399" t="n">
        <f aca="false">MATCH(t-pas/2-T_ini,CdP_t)</f>
        <v>23</v>
      </c>
      <c r="Q481" s="397" t="n">
        <f aca="false">(INDEX(CdP,2,i_P+1)-INDEX(CdP,2,i_P+0))/(INDEX(CdP,1,i_P+1)-INDEX(CdP,1,i_P+0))*(t-pas/2-T_ini-INDEX(CdP,1,i_P+0))+INDEX(CdP,2,i_P+0)</f>
        <v>0</v>
      </c>
      <c r="R481" s="396" t="n">
        <f aca="false">Poussee/(g*ISP)</f>
        <v>0</v>
      </c>
      <c r="S481" s="398" t="n">
        <f aca="false">S480-Débit*pas</f>
        <v>8.45</v>
      </c>
      <c r="T481" s="397" t="n">
        <f aca="false">m*g</f>
        <v>82.8945</v>
      </c>
      <c r="U481" s="400" t="n">
        <f aca="false">IF(pos_xz&lt;L_rampe,Poids*COS(Beta),0)</f>
        <v>0</v>
      </c>
      <c r="V481" s="396" t="n">
        <f aca="false">Rho_moyen*(20000-Alt_rampe-pos_z)/(20000+Alt_rampe+pos_z)</f>
        <v>1.19355857352531</v>
      </c>
      <c r="W481" s="397" t="n">
        <f aca="false">1/2*Rho*Sref*Cx*vit_xz^2</f>
        <v>53.24122642596</v>
      </c>
      <c r="Y481" s="401" t="str">
        <f aca="false">IF(AND(pos_z&lt;=0,K480&gt;0),"Impact balistique","") &amp; IF(AND(H482&lt;0,vit_z&gt;=0),"Apogée","") &amp; IF(AND(Poussee=0,Q480&gt;0),"Fin de propulsion","") &amp; IF(AND(L482&gt;L_rampe,pos_xz&lt;=L_rampe),"Sortie de rampe","")</f>
        <v/>
      </c>
      <c r="Z481" s="402" t="str">
        <f aca="false">IF(ABS(t-T_para)&lt;pas/2,"Para","")</f>
        <v/>
      </c>
      <c r="AA481" s="403" t="str">
        <f aca="false">IF(ABS(t-T_satellite)&lt;pas/2,"Satellite","")</f>
        <v/>
      </c>
      <c r="AC481" s="399" t="e">
        <f aca="false">IF(ABS(t-ROUND(t,0))&lt;0.001,t,NA())</f>
        <v>#N/A</v>
      </c>
      <c r="AD481" s="404" t="e">
        <f aca="false">IF(ABS(t-ROUND(t,0))&lt;0.001,pos_x,NA())</f>
        <v>#N/A</v>
      </c>
      <c r="AE481" s="405" t="e">
        <f aca="false">IF(t&lt;T_para, pos_z, NA())</f>
        <v>#N/A</v>
      </c>
      <c r="AG481" s="396" t="n">
        <f aca="false">IF(AND(L480&lt;L_rampe,Poussee&lt;Poids*SIN(M480)),0,(-W480+Poussee)/m-Poids*SIN(M480)/m)</f>
        <v>3.4814313614219</v>
      </c>
      <c r="AH481" s="397" t="n">
        <f aca="false">IF(AND(L480&lt;L_rampe,Poussee&lt;Poids*SIN(M480)), g*SIN(M480), (-W480+Poussee)/m)</f>
        <v>-6.25374800476095</v>
      </c>
    </row>
    <row r="482" customFormat="false" ht="12.75" hidden="false" customHeight="false" outlineLevel="0" collapsed="false">
      <c r="A482" s="396" t="n">
        <f aca="false">IF(B481+0.01&lt;=T_ini+ROUNDUP(Temps_fin_propu,0), 0.01, IF(K481&gt;0, 0.1, 0.0001))</f>
        <v>0.1</v>
      </c>
      <c r="B482" s="397" t="n">
        <f aca="false">B481+pas</f>
        <v>29.8000000000002</v>
      </c>
      <c r="D482" s="396" t="n">
        <f aca="false">IF(AND(L481&lt;L_rampe,Poussee&lt;Poids*SIN(M481)),0,(-W481+Poussee)/m*COS(M481)-U481/m*SIN(M481))</f>
        <v>-0.769753939106397</v>
      </c>
      <c r="E482" s="398" t="n">
        <f aca="false">IF(AND(L481&lt;L_rampe,Poussee&lt;Poids*SIN(M481)),0,(-W481+Poussee)/m*SIN(M481)+U481/m*COS(M481)-Poids/m)</f>
        <v>-3.55645989930583</v>
      </c>
      <c r="F482" s="397" t="n">
        <f aca="false">SQRT(acc_x^2+acc_z^2)</f>
        <v>3.63880861576152</v>
      </c>
      <c r="G482" s="396" t="n">
        <f aca="false">G481+acc_x*pas</f>
        <v>13.2244738527928</v>
      </c>
      <c r="H482" s="398" t="n">
        <f aca="false">H481+acc_z*pas</f>
        <v>-108.417640915443</v>
      </c>
      <c r="I482" s="397" t="n">
        <f aca="false">SQRT(vit_x^2+vit_z^2)</f>
        <v>109.22120476516</v>
      </c>
      <c r="J482" s="396" t="n">
        <f aca="false">J481+0.5*(vit_x+G481)*pas*(K481&gt;=0)</f>
        <v>662.516263221174</v>
      </c>
      <c r="K482" s="398" t="n">
        <f aca="false">K481+0.5*(vit_z+H481)*pas</f>
        <v>249.177382813035</v>
      </c>
      <c r="L482" s="397" t="n">
        <f aca="false">SQRT(pos_x^2+pos_z^2)</f>
        <v>707.825661542517</v>
      </c>
      <c r="M482" s="396" t="n">
        <f aca="false">IF(AND(L481&gt;L_rampe,G482&gt;0),ATAN2(G482,H482),$M$4)</f>
        <v>-1.44941878485568</v>
      </c>
      <c r="N482" s="397" t="n">
        <f aca="false">DEGREES(Beta)</f>
        <v>-83.0455791192105</v>
      </c>
      <c r="P482" s="399" t="n">
        <f aca="false">MATCH(t-pas/2-T_ini,CdP_t)</f>
        <v>23</v>
      </c>
      <c r="Q482" s="397" t="n">
        <f aca="false">(INDEX(CdP,2,i_P+1)-INDEX(CdP,2,i_P+0))/(INDEX(CdP,1,i_P+1)-INDEX(CdP,1,i_P+0))*(t-pas/2-T_ini-INDEX(CdP,1,i_P+0))+INDEX(CdP,2,i_P+0)</f>
        <v>0</v>
      </c>
      <c r="R482" s="396" t="n">
        <f aca="false">Poussee/(g*ISP)</f>
        <v>0</v>
      </c>
      <c r="S482" s="398" t="n">
        <f aca="false">S481-Débit*pas</f>
        <v>8.45</v>
      </c>
      <c r="T482" s="397" t="n">
        <f aca="false">m*g</f>
        <v>82.8945</v>
      </c>
      <c r="U482" s="400" t="n">
        <f aca="false">IF(pos_xz&lt;L_rampe,Poids*COS(Beta),0)</f>
        <v>0</v>
      </c>
      <c r="V482" s="396" t="n">
        <f aca="false">Rho_moyen*(20000-Alt_rampe-pos_z)/(20000+Alt_rampe+pos_z)</f>
        <v>1.19485138821441</v>
      </c>
      <c r="W482" s="397" t="n">
        <f aca="false">1/2*Rho*Sref*Cx*vit_xz^2</f>
        <v>53.6358743543777</v>
      </c>
      <c r="Y482" s="401" t="str">
        <f aca="false">IF(AND(pos_z&lt;=0,K481&gt;0),"Impact balistique","") &amp; IF(AND(H483&lt;0,vit_z&gt;=0),"Apogée","") &amp; IF(AND(Poussee=0,Q481&gt;0),"Fin de propulsion","") &amp; IF(AND(L483&gt;L_rampe,pos_xz&lt;=L_rampe),"Sortie de rampe","")</f>
        <v/>
      </c>
      <c r="Z482" s="402" t="str">
        <f aca="false">IF(ABS(t-T_para)&lt;pas/2,"Para","")</f>
        <v/>
      </c>
      <c r="AA482" s="403" t="str">
        <f aca="false">IF(ABS(t-T_satellite)&lt;pas/2,"Satellite","")</f>
        <v/>
      </c>
      <c r="AC482" s="399" t="e">
        <f aca="false">IF(ABS(t-ROUND(t,0))&lt;0.001,t,NA())</f>
        <v>#N/A</v>
      </c>
      <c r="AD482" s="404" t="e">
        <f aca="false">IF(ABS(t-ROUND(t,0))&lt;0.001,pos_x,NA())</f>
        <v>#N/A</v>
      </c>
      <c r="AE482" s="405" t="e">
        <f aca="false">IF(t&lt;T_para, pos_z, NA())</f>
        <v>#N/A</v>
      </c>
      <c r="AG482" s="396" t="n">
        <f aca="false">IF(AND(L481&lt;L_rampe,Poussee&lt;Poids*SIN(M481)),0,(-W481+Poussee)/m-Poids*SIN(M481)/m)</f>
        <v>3.43577965049898</v>
      </c>
      <c r="AH482" s="397" t="n">
        <f aca="false">IF(AND(L481&lt;L_rampe,Poussee&lt;Poids*SIN(M481)), g*SIN(M481), (-W481+Poussee)/m)</f>
        <v>-6.3007368551432</v>
      </c>
    </row>
    <row r="483" customFormat="false" ht="12.75" hidden="false" customHeight="false" outlineLevel="0" collapsed="false">
      <c r="A483" s="396" t="n">
        <f aca="false">IF(B482+0.01&lt;=T_ini+ROUNDUP(Temps_fin_propu,0), 0.01, IF(K482&gt;0, 0.1, 0.0001))</f>
        <v>0.1</v>
      </c>
      <c r="B483" s="397" t="n">
        <f aca="false">B482+pas</f>
        <v>29.9000000000002</v>
      </c>
      <c r="D483" s="396" t="n">
        <f aca="false">IF(AND(L482&lt;L_rampe,Poussee&lt;Poids*SIN(M482)),0,(-W482+Poussee)/m*COS(M482)-U482/m*SIN(M482))</f>
        <v>-0.768546404861822</v>
      </c>
      <c r="E483" s="398" t="n">
        <f aca="false">IF(AND(L482&lt;L_rampe,Poussee&lt;Poids*SIN(M482)),0,(-W482+Poussee)/m*SIN(M482)+U482/m*COS(M482)-Poids/m)</f>
        <v>-3.50925873220533</v>
      </c>
      <c r="F483" s="397" t="n">
        <f aca="false">SQRT(acc_x^2+acc_z^2)</f>
        <v>3.59243099112361</v>
      </c>
      <c r="G483" s="396" t="n">
        <f aca="false">G482+acc_x*pas</f>
        <v>13.1476192123067</v>
      </c>
      <c r="H483" s="398" t="n">
        <f aca="false">H482+acc_z*pas</f>
        <v>-108.768566788663</v>
      </c>
      <c r="I483" s="397" t="n">
        <f aca="false">SQRT(vit_x^2+vit_z^2)</f>
        <v>109.560307649311</v>
      </c>
      <c r="J483" s="396" t="n">
        <f aca="false">J482+0.5*(vit_x+G482)*pas*(K482&gt;=0)</f>
        <v>663.834867874429</v>
      </c>
      <c r="K483" s="398" t="n">
        <f aca="false">K482+0.5*(vit_z+H482)*pas</f>
        <v>238.31807242783</v>
      </c>
      <c r="L483" s="397" t="n">
        <f aca="false">SQRT(pos_x^2+pos_z^2)</f>
        <v>705.317116942144</v>
      </c>
      <c r="M483" s="396" t="n">
        <f aca="false">IF(AND(L482&gt;L_rampe,G483&gt;0),ATAN2(G483,H483),$M$4)</f>
        <v>-1.45050292965022</v>
      </c>
      <c r="N483" s="397" t="n">
        <f aca="false">DEGREES(Beta)</f>
        <v>-83.1076960403189</v>
      </c>
      <c r="P483" s="399" t="n">
        <f aca="false">MATCH(t-pas/2-T_ini,CdP_t)</f>
        <v>23</v>
      </c>
      <c r="Q483" s="397" t="n">
        <f aca="false">(INDEX(CdP,2,i_P+1)-INDEX(CdP,2,i_P+0))/(INDEX(CdP,1,i_P+1)-INDEX(CdP,1,i_P+0))*(t-pas/2-T_ini-INDEX(CdP,1,i_P+0))+INDEX(CdP,2,i_P+0)</f>
        <v>0</v>
      </c>
      <c r="R483" s="396" t="n">
        <f aca="false">Poussee/(g*ISP)</f>
        <v>0</v>
      </c>
      <c r="S483" s="398" t="n">
        <f aca="false">S482-Débit*pas</f>
        <v>8.45</v>
      </c>
      <c r="T483" s="397" t="n">
        <f aca="false">m*g</f>
        <v>82.8945</v>
      </c>
      <c r="U483" s="400" t="n">
        <f aca="false">IF(pos_xz&lt;L_rampe,Poids*COS(Beta),0)</f>
        <v>0</v>
      </c>
      <c r="V483" s="396" t="n">
        <f aca="false">Rho_moyen*(20000-Alt_rampe-pos_z)/(20000+Alt_rampe+pos_z)</f>
        <v>1.19614981218505</v>
      </c>
      <c r="W483" s="397" t="n">
        <f aca="false">1/2*Rho*Sref*Cx*vit_xz^2</f>
        <v>54.0280893531002</v>
      </c>
      <c r="Y483" s="401" t="str">
        <f aca="false">IF(AND(pos_z&lt;=0,K482&gt;0),"Impact balistique","") &amp; IF(AND(H484&lt;0,vit_z&gt;=0),"Apogée","") &amp; IF(AND(Poussee=0,Q482&gt;0),"Fin de propulsion","") &amp; IF(AND(L484&gt;L_rampe,pos_xz&lt;=L_rampe),"Sortie de rampe","")</f>
        <v/>
      </c>
      <c r="Z483" s="402" t="str">
        <f aca="false">IF(ABS(t-T_para)&lt;pas/2,"Para","")</f>
        <v/>
      </c>
      <c r="AA483" s="403" t="str">
        <f aca="false">IF(ABS(t-T_satellite)&lt;pas/2,"Satellite","")</f>
        <v/>
      </c>
      <c r="AC483" s="399" t="e">
        <f aca="false">IF(ABS(t-ROUND(t,0))&lt;0.001,t,NA())</f>
        <v>#N/A</v>
      </c>
      <c r="AD483" s="404" t="e">
        <f aca="false">IF(ABS(t-ROUND(t,0))&lt;0.001,pos_x,NA())</f>
        <v>#N/A</v>
      </c>
      <c r="AE483" s="405" t="e">
        <f aca="false">IF(t&lt;T_para, pos_z, NA())</f>
        <v>#N/A</v>
      </c>
      <c r="AG483" s="396" t="n">
        <f aca="false">IF(AND(L482&lt;L_rampe,Poussee&lt;Poids*SIN(M482)),0,(-W482+Poussee)/m-Poids*SIN(M482)/m)</f>
        <v>3.3903849721129</v>
      </c>
      <c r="AH483" s="397" t="n">
        <f aca="false">IF(AND(L482&lt;L_rampe,Poussee&lt;Poids*SIN(M482)), g*SIN(M482), (-W482+Poussee)/m)</f>
        <v>-6.34744075199736</v>
      </c>
    </row>
    <row r="484" customFormat="false" ht="12.75" hidden="false" customHeight="false" outlineLevel="0" collapsed="false">
      <c r="A484" s="396" t="n">
        <f aca="false">IF(B483+0.01&lt;=T_ini+ROUNDUP(Temps_fin_propu,0), 0.01, IF(K483&gt;0, 0.1, 0.0001))</f>
        <v>0.1</v>
      </c>
      <c r="B484" s="397" t="n">
        <f aca="false">B483+pas</f>
        <v>30.0000000000002</v>
      </c>
      <c r="D484" s="396" t="n">
        <f aca="false">IF(AND(L483&lt;L_rampe,Poussee&lt;Poids*SIN(M483)),0,(-W483+Poussee)/m*COS(M483)-U483/m*SIN(M483))</f>
        <v>-0.767285117792857</v>
      </c>
      <c r="E484" s="398" t="n">
        <f aca="false">IF(AND(L483&lt;L_rampe,Poussee&lt;Poids*SIN(M483)),0,(-W483+Poussee)/m*SIN(M483)+U483/m*COS(M483)-Poids/m)</f>
        <v>-3.46234866990358</v>
      </c>
      <c r="F484" s="397" t="n">
        <f aca="false">SQRT(acc_x^2+acc_z^2)</f>
        <v>3.54634808838184</v>
      </c>
      <c r="G484" s="396" t="n">
        <f aca="false">G483+acc_x*pas</f>
        <v>13.0708907005274</v>
      </c>
      <c r="H484" s="398" t="n">
        <f aca="false">H483+acc_z*pas</f>
        <v>-109.114801655654</v>
      </c>
      <c r="I484" s="397" t="n">
        <f aca="false">SQRT(vit_x^2+vit_z^2)</f>
        <v>109.8948958053</v>
      </c>
      <c r="J484" s="396" t="n">
        <f aca="false">J483+0.5*(vit_x+G483)*pas*(K483&gt;=0)</f>
        <v>665.145793370071</v>
      </c>
      <c r="K484" s="398" t="n">
        <f aca="false">K483+0.5*(vit_z+H483)*pas</f>
        <v>227.423904005614</v>
      </c>
      <c r="L484" s="397" t="n">
        <f aca="false">SQRT(pos_x^2+pos_z^2)</f>
        <v>702.951320185869</v>
      </c>
      <c r="M484" s="396" t="n">
        <f aca="false">IF(AND(L483&gt;L_rampe,G484&gt;0),ATAN2(G484,H484),$M$4)</f>
        <v>-1.45157416635058</v>
      </c>
      <c r="N484" s="397" t="n">
        <f aca="false">DEGREES(Beta)</f>
        <v>-83.1690733821092</v>
      </c>
      <c r="P484" s="399" t="n">
        <f aca="false">MATCH(t-pas/2-T_ini,CdP_t)</f>
        <v>23</v>
      </c>
      <c r="Q484" s="397" t="n">
        <f aca="false">(INDEX(CdP,2,i_P+1)-INDEX(CdP,2,i_P+0))/(INDEX(CdP,1,i_P+1)-INDEX(CdP,1,i_P+0))*(t-pas/2-T_ini-INDEX(CdP,1,i_P+0))+INDEX(CdP,2,i_P+0)</f>
        <v>0</v>
      </c>
      <c r="R484" s="396" t="n">
        <f aca="false">Poussee/(g*ISP)</f>
        <v>0</v>
      </c>
      <c r="S484" s="398" t="n">
        <f aca="false">S483-Débit*pas</f>
        <v>8.45</v>
      </c>
      <c r="T484" s="397" t="n">
        <f aca="false">m*g</f>
        <v>82.8945</v>
      </c>
      <c r="U484" s="400" t="n">
        <f aca="false">IF(pos_xz&lt;L_rampe,Poids*COS(Beta),0)</f>
        <v>0</v>
      </c>
      <c r="V484" s="396" t="n">
        <f aca="false">Rho_moyen*(20000-Alt_rampe-pos_z)/(20000+Alt_rampe+pos_z)</f>
        <v>1.19745380492059</v>
      </c>
      <c r="W484" s="397" t="n">
        <f aca="false">1/2*Rho*Sref*Cx*vit_xz^2</f>
        <v>54.4178473813172</v>
      </c>
      <c r="Y484" s="401" t="str">
        <f aca="false">IF(AND(pos_z&lt;=0,K483&gt;0),"Impact balistique","") &amp; IF(AND(H485&lt;0,vit_z&gt;=0),"Apogée","") &amp; IF(AND(Poussee=0,Q483&gt;0),"Fin de propulsion","") &amp; IF(AND(L485&gt;L_rampe,pos_xz&lt;=L_rampe),"Sortie de rampe","")</f>
        <v/>
      </c>
      <c r="Z484" s="402" t="str">
        <f aca="false">IF(ABS(t-T_para)&lt;pas/2,"Para","")</f>
        <v/>
      </c>
      <c r="AA484" s="403" t="str">
        <f aca="false">IF(ABS(t-T_satellite)&lt;pas/2,"Satellite","")</f>
        <v/>
      </c>
      <c r="AC484" s="399" t="n">
        <f aca="false">IF(ABS(t-ROUND(t,0))&lt;0.001,t,NA())</f>
        <v>30.0000000000002</v>
      </c>
      <c r="AD484" s="404" t="n">
        <f aca="false">IF(ABS(t-ROUND(t,0))&lt;0.001,pos_x,NA())</f>
        <v>665.145793370071</v>
      </c>
      <c r="AE484" s="405" t="e">
        <f aca="false">IF(t&lt;T_para, pos_z, NA())</f>
        <v>#N/A</v>
      </c>
      <c r="AG484" s="396" t="n">
        <f aca="false">IF(AND(L483&lt;L_rampe,Poussee&lt;Poids*SIN(M483)),0,(-W483+Poussee)/m-Poids*SIN(M483)/m)</f>
        <v>3.34525101157236</v>
      </c>
      <c r="AH484" s="397" t="n">
        <f aca="false">IF(AND(L483&lt;L_rampe,Poussee&lt;Poids*SIN(M483)), g*SIN(M483), (-W483+Poussee)/m)</f>
        <v>-6.39385672817754</v>
      </c>
    </row>
    <row r="485" customFormat="false" ht="12.75" hidden="false" customHeight="false" outlineLevel="0" collapsed="false">
      <c r="A485" s="396" t="n">
        <f aca="false">IF(B484+0.01&lt;=T_ini+ROUNDUP(Temps_fin_propu,0), 0.01, IF(K484&gt;0, 0.1, 0.0001))</f>
        <v>0.1</v>
      </c>
      <c r="B485" s="397" t="n">
        <f aca="false">B484+pas</f>
        <v>30.1000000000002</v>
      </c>
      <c r="D485" s="396" t="n">
        <f aca="false">IF(AND(L484&lt;L_rampe,Poussee&lt;Poids*SIN(M484)),0,(-W484+Poussee)/m*COS(M484)-U484/m*SIN(M484))</f>
        <v>-0.7659709708645</v>
      </c>
      <c r="E485" s="398" t="n">
        <f aca="false">IF(AND(L484&lt;L_rampe,Poussee&lt;Poids*SIN(M484)),0,(-W484+Poussee)/m*SIN(M484)+U484/m*COS(M484)-Poids/m)</f>
        <v>-3.41573257976244</v>
      </c>
      <c r="F485" s="397" t="n">
        <f aca="false">SQRT(acc_x^2+acc_z^2)</f>
        <v>3.50056289540093</v>
      </c>
      <c r="G485" s="396" t="n">
        <f aca="false">G484+acc_x*pas</f>
        <v>12.9942936034409</v>
      </c>
      <c r="H485" s="398" t="n">
        <f aca="false">H484+acc_z*pas</f>
        <v>-109.45637491363</v>
      </c>
      <c r="I485" s="397" t="n">
        <f aca="false">SQRT(vit_x^2+vit_z^2)</f>
        <v>110.224995692835</v>
      </c>
      <c r="J485" s="396" t="n">
        <f aca="false">J484+0.5*(vit_x+G484)*pas*(K484&gt;=0)</f>
        <v>666.449052585269</v>
      </c>
      <c r="K485" s="398" t="n">
        <f aca="false">K484+0.5*(vit_z+H484)*pas</f>
        <v>216.49534517715</v>
      </c>
      <c r="L485" s="397" t="n">
        <f aca="false">SQRT(pos_x^2+pos_z^2)</f>
        <v>700.731456533226</v>
      </c>
      <c r="M485" s="396" t="n">
        <f aca="false">IF(AND(L484&gt;L_rampe,G485&gt;0),ATAN2(G485,H485),$M$4)</f>
        <v>-1.45263272922736</v>
      </c>
      <c r="N485" s="397" t="n">
        <f aca="false">DEGREES(Beta)</f>
        <v>-83.2297245672978</v>
      </c>
      <c r="P485" s="399" t="n">
        <f aca="false">MATCH(t-pas/2-T_ini,CdP_t)</f>
        <v>23</v>
      </c>
      <c r="Q485" s="397" t="n">
        <f aca="false">(INDEX(CdP,2,i_P+1)-INDEX(CdP,2,i_P+0))/(INDEX(CdP,1,i_P+1)-INDEX(CdP,1,i_P+0))*(t-pas/2-T_ini-INDEX(CdP,1,i_P+0))+INDEX(CdP,2,i_P+0)</f>
        <v>0</v>
      </c>
      <c r="R485" s="396" t="n">
        <f aca="false">Poussee/(g*ISP)</f>
        <v>0</v>
      </c>
      <c r="S485" s="398" t="n">
        <f aca="false">S484-Débit*pas</f>
        <v>8.45</v>
      </c>
      <c r="T485" s="397" t="n">
        <f aca="false">m*g</f>
        <v>82.8945</v>
      </c>
      <c r="U485" s="400" t="n">
        <f aca="false">IF(pos_xz&lt;L_rampe,Poids*COS(Beta),0)</f>
        <v>0</v>
      </c>
      <c r="V485" s="396" t="n">
        <f aca="false">Rho_moyen*(20000-Alt_rampe-pos_z)/(20000+Alt_rampe+pos_z)</f>
        <v>1.19876332610437</v>
      </c>
      <c r="W485" s="397" t="n">
        <f aca="false">1/2*Rho*Sref*Cx*vit_xz^2</f>
        <v>54.8051254179333</v>
      </c>
      <c r="Y485" s="401" t="str">
        <f aca="false">IF(AND(pos_z&lt;=0,K484&gt;0),"Impact balistique","") &amp; IF(AND(H486&lt;0,vit_z&gt;=0),"Apogée","") &amp; IF(AND(Poussee=0,Q484&gt;0),"Fin de propulsion","") &amp; IF(AND(L486&gt;L_rampe,pos_xz&lt;=L_rampe),"Sortie de rampe","")</f>
        <v/>
      </c>
      <c r="Z485" s="402" t="str">
        <f aca="false">IF(ABS(t-T_para)&lt;pas/2,"Para","")</f>
        <v/>
      </c>
      <c r="AA485" s="403" t="str">
        <f aca="false">IF(ABS(t-T_satellite)&lt;pas/2,"Satellite","")</f>
        <v/>
      </c>
      <c r="AC485" s="399" t="e">
        <f aca="false">IF(ABS(t-ROUND(t,0))&lt;0.001,t,NA())</f>
        <v>#N/A</v>
      </c>
      <c r="AD485" s="404" t="e">
        <f aca="false">IF(ABS(t-ROUND(t,0))&lt;0.001,pos_x,NA())</f>
        <v>#N/A</v>
      </c>
      <c r="AE485" s="405" t="e">
        <f aca="false">IF(t&lt;T_para, pos_z, NA())</f>
        <v>#N/A</v>
      </c>
      <c r="AG485" s="396" t="n">
        <f aca="false">IF(AND(L484&lt;L_rampe,Poussee&lt;Poids*SIN(M484)),0,(-W484+Poussee)/m-Poids*SIN(M484)/m)</f>
        <v>3.30038130935736</v>
      </c>
      <c r="AH485" s="397" t="n">
        <f aca="false">IF(AND(L484&lt;L_rampe,Poussee&lt;Poids*SIN(M484)), g*SIN(M484), (-W484+Poussee)/m)</f>
        <v>-6.43998193861742</v>
      </c>
    </row>
    <row r="486" customFormat="false" ht="12.75" hidden="false" customHeight="false" outlineLevel="0" collapsed="false">
      <c r="A486" s="396" t="n">
        <f aca="false">IF(B485+0.01&lt;=T_ini+ROUNDUP(Temps_fin_propu,0), 0.01, IF(K485&gt;0, 0.1, 0.0001))</f>
        <v>0.1</v>
      </c>
      <c r="B486" s="397" t="n">
        <f aca="false">B485+pas</f>
        <v>30.2000000000002</v>
      </c>
      <c r="D486" s="396" t="n">
        <f aca="false">IF(AND(L485&lt;L_rampe,Poussee&lt;Poids*SIN(M485)),0,(-W485+Poussee)/m*COS(M485)-U485/m*SIN(M485))</f>
        <v>-0.764604855836556</v>
      </c>
      <c r="E486" s="398" t="n">
        <f aca="false">IF(AND(L485&lt;L_rampe,Poussee&lt;Poids*SIN(M485)),0,(-W485+Poussee)/m*SIN(M485)+U485/m*COS(M485)-Poids/m)</f>
        <v>-3.36941320742004</v>
      </c>
      <c r="F486" s="397" t="n">
        <f aca="false">SQRT(acc_x^2+acc_z^2)</f>
        <v>3.45507828390406</v>
      </c>
      <c r="G486" s="396" t="n">
        <f aca="false">G485+acc_x*pas</f>
        <v>12.9178331178573</v>
      </c>
      <c r="H486" s="398" t="n">
        <f aca="false">H485+acc_z*pas</f>
        <v>-109.793316234372</v>
      </c>
      <c r="I486" s="397" t="n">
        <f aca="false">SQRT(vit_x^2+vit_z^2)</f>
        <v>110.550634110355</v>
      </c>
      <c r="J486" s="396" t="n">
        <f aca="false">J485+0.5*(vit_x+G485)*pas*(K485&gt;=0)</f>
        <v>667.744658921334</v>
      </c>
      <c r="K486" s="398" t="n">
        <f aca="false">K485+0.5*(vit_z+H485)*pas</f>
        <v>205.53286061975</v>
      </c>
      <c r="L486" s="397" t="n">
        <f aca="false">SQRT(pos_x^2+pos_z^2)</f>
        <v>698.660637443177</v>
      </c>
      <c r="M486" s="396" t="n">
        <f aca="false">IF(AND(L485&gt;L_rampe,G486&gt;0),ATAN2(G486,H486),$M$4)</f>
        <v>-1.45367884664579</v>
      </c>
      <c r="N486" s="397" t="n">
        <f aca="false">DEGREES(Beta)</f>
        <v>-83.289662680249</v>
      </c>
      <c r="P486" s="399" t="n">
        <f aca="false">MATCH(t-pas/2-T_ini,CdP_t)</f>
        <v>23</v>
      </c>
      <c r="Q486" s="397" t="n">
        <f aca="false">(INDEX(CdP,2,i_P+1)-INDEX(CdP,2,i_P+0))/(INDEX(CdP,1,i_P+1)-INDEX(CdP,1,i_P+0))*(t-pas/2-T_ini-INDEX(CdP,1,i_P+0))+INDEX(CdP,2,i_P+0)</f>
        <v>0</v>
      </c>
      <c r="R486" s="396" t="n">
        <f aca="false">Poussee/(g*ISP)</f>
        <v>0</v>
      </c>
      <c r="S486" s="398" t="n">
        <f aca="false">S485-Débit*pas</f>
        <v>8.45</v>
      </c>
      <c r="T486" s="397" t="n">
        <f aca="false">m*g</f>
        <v>82.8945</v>
      </c>
      <c r="U486" s="400" t="n">
        <f aca="false">IF(pos_xz&lt;L_rampe,Poids*COS(Beta),0)</f>
        <v>0</v>
      </c>
      <c r="V486" s="396" t="n">
        <f aca="false">Rho_moyen*(20000-Alt_rampe-pos_z)/(20000+Alt_rampe+pos_z)</f>
        <v>1.20007833562263</v>
      </c>
      <c r="W486" s="397" t="n">
        <f aca="false">1/2*Rho*Sref*Cx*vit_xz^2</f>
        <v>55.1899014494793</v>
      </c>
      <c r="Y486" s="401" t="str">
        <f aca="false">IF(AND(pos_z&lt;=0,K485&gt;0),"Impact balistique","") &amp; IF(AND(H487&lt;0,vit_z&gt;=0),"Apogée","") &amp; IF(AND(Poussee=0,Q485&gt;0),"Fin de propulsion","") &amp; IF(AND(L487&gt;L_rampe,pos_xz&lt;=L_rampe),"Sortie de rampe","")</f>
        <v/>
      </c>
      <c r="Z486" s="402" t="str">
        <f aca="false">IF(ABS(t-T_para)&lt;pas/2,"Para","")</f>
        <v/>
      </c>
      <c r="AA486" s="403" t="str">
        <f aca="false">IF(ABS(t-T_satellite)&lt;pas/2,"Satellite","")</f>
        <v/>
      </c>
      <c r="AC486" s="399" t="e">
        <f aca="false">IF(ABS(t-ROUND(t,0))&lt;0.001,t,NA())</f>
        <v>#N/A</v>
      </c>
      <c r="AD486" s="404" t="e">
        <f aca="false">IF(ABS(t-ROUND(t,0))&lt;0.001,pos_x,NA())</f>
        <v>#N/A</v>
      </c>
      <c r="AE486" s="405" t="e">
        <f aca="false">IF(t&lt;T_para, pos_z, NA())</f>
        <v>#N/A</v>
      </c>
      <c r="AG486" s="396" t="n">
        <f aca="false">IF(AND(L485&lt;L_rampe,Poussee&lt;Poids*SIN(M485)),0,(-W485+Poussee)/m-Poids*SIN(M485)/m)</f>
        <v>3.25577926338058</v>
      </c>
      <c r="AH486" s="397" t="n">
        <f aca="false">IF(AND(L485&lt;L_rampe,Poussee&lt;Poids*SIN(M485)), g*SIN(M485), (-W485+Poussee)/m)</f>
        <v>-6.48581365892702</v>
      </c>
    </row>
    <row r="487" customFormat="false" ht="12.75" hidden="false" customHeight="false" outlineLevel="0" collapsed="false">
      <c r="A487" s="396" t="n">
        <f aca="false">IF(B486+0.01&lt;=T_ini+ROUNDUP(Temps_fin_propu,0), 0.01, IF(K486&gt;0, 0.1, 0.0001))</f>
        <v>0.1</v>
      </c>
      <c r="B487" s="397" t="n">
        <f aca="false">B486+pas</f>
        <v>30.3000000000002</v>
      </c>
      <c r="D487" s="396" t="n">
        <f aca="false">IF(AND(L486&lt;L_rampe,Poussee&lt;Poids*SIN(M486)),0,(-W486+Poussee)/m*COS(M486)-U486/m*SIN(M486))</f>
        <v>-0.76318766295304</v>
      </c>
      <c r="E487" s="398" t="n">
        <f aca="false">IF(AND(L486&lt;L_rampe,Poussee&lt;Poids*SIN(M486)),0,(-W486+Poussee)/m*SIN(M486)+U486/m*COS(M486)-Poids/m)</f>
        <v>-3.32339317823041</v>
      </c>
      <c r="F487" s="397" t="n">
        <f aca="false">SQRT(acc_x^2+acc_z^2)</f>
        <v>3.40989701105358</v>
      </c>
      <c r="G487" s="396" t="n">
        <f aca="false">G486+acc_x*pas</f>
        <v>12.841514351562</v>
      </c>
      <c r="H487" s="398" t="n">
        <f aca="false">H486+acc_z*pas</f>
        <v>-110.125655552195</v>
      </c>
      <c r="I487" s="397" t="n">
        <f aca="false">SQRT(vit_x^2+vit_z^2)</f>
        <v>110.871838181037</v>
      </c>
      <c r="J487" s="396" t="n">
        <f aca="false">J486+0.5*(vit_x+G486)*pas*(K486&gt;=0)</f>
        <v>669.032626294805</v>
      </c>
      <c r="K487" s="398" t="n">
        <f aca="false">K486+0.5*(vit_z+H486)*pas</f>
        <v>194.536912030422</v>
      </c>
      <c r="L487" s="397" t="n">
        <f aca="false">SQRT(pos_x^2+pos_z^2)</f>
        <v>696.74189280483</v>
      </c>
      <c r="M487" s="396" t="n">
        <f aca="false">IF(AND(L486&gt;L_rampe,G487&gt;0),ATAN2(G487,H487),$M$4)</f>
        <v>-1.45471274124943</v>
      </c>
      <c r="N487" s="397" t="n">
        <f aca="false">DEGREES(Beta)</f>
        <v>-83.3489004774988</v>
      </c>
      <c r="P487" s="399" t="n">
        <f aca="false">MATCH(t-pas/2-T_ini,CdP_t)</f>
        <v>23</v>
      </c>
      <c r="Q487" s="397" t="n">
        <f aca="false">(INDEX(CdP,2,i_P+1)-INDEX(CdP,2,i_P+0))/(INDEX(CdP,1,i_P+1)-INDEX(CdP,1,i_P+0))*(t-pas/2-T_ini-INDEX(CdP,1,i_P+0))+INDEX(CdP,2,i_P+0)</f>
        <v>0</v>
      </c>
      <c r="R487" s="396" t="n">
        <f aca="false">Poussee/(g*ISP)</f>
        <v>0</v>
      </c>
      <c r="S487" s="398" t="n">
        <f aca="false">S486-Débit*pas</f>
        <v>8.45</v>
      </c>
      <c r="T487" s="397" t="n">
        <f aca="false">m*g</f>
        <v>82.8945</v>
      </c>
      <c r="U487" s="400" t="n">
        <f aca="false">IF(pos_xz&lt;L_rampe,Poids*COS(Beta),0)</f>
        <v>0</v>
      </c>
      <c r="V487" s="396" t="n">
        <f aca="false">Rho_moyen*(20000-Alt_rampe-pos_z)/(20000+Alt_rampe+pos_z)</f>
        <v>1.20139879356725</v>
      </c>
      <c r="W487" s="397" t="n">
        <f aca="false">1/2*Rho*Sref*Cx*vit_xz^2</f>
        <v>55.572154457804</v>
      </c>
      <c r="Y487" s="401" t="str">
        <f aca="false">IF(AND(pos_z&lt;=0,K486&gt;0),"Impact balistique","") &amp; IF(AND(H488&lt;0,vit_z&gt;=0),"Apogée","") &amp; IF(AND(Poussee=0,Q486&gt;0),"Fin de propulsion","") &amp; IF(AND(L488&gt;L_rampe,pos_xz&lt;=L_rampe),"Sortie de rampe","")</f>
        <v/>
      </c>
      <c r="Z487" s="402" t="str">
        <f aca="false">IF(ABS(t-T_para)&lt;pas/2,"Para","")</f>
        <v/>
      </c>
      <c r="AA487" s="403" t="str">
        <f aca="false">IF(ABS(t-T_satellite)&lt;pas/2,"Satellite","")</f>
        <v/>
      </c>
      <c r="AC487" s="399" t="e">
        <f aca="false">IF(ABS(t-ROUND(t,0))&lt;0.001,t,NA())</f>
        <v>#N/A</v>
      </c>
      <c r="AD487" s="404" t="e">
        <f aca="false">IF(ABS(t-ROUND(t,0))&lt;0.001,pos_x,NA())</f>
        <v>#N/A</v>
      </c>
      <c r="AE487" s="405" t="e">
        <f aca="false">IF(t&lt;T_para, pos_z, NA())</f>
        <v>#N/A</v>
      </c>
      <c r="AG487" s="396" t="n">
        <f aca="false">IF(AND(L486&lt;L_rampe,Poussee&lt;Poids*SIN(M486)),0,(-W486+Poussee)/m-Poids*SIN(M486)/m)</f>
        <v>3.21144813123886</v>
      </c>
      <c r="AH487" s="397" t="n">
        <f aca="false">IF(AND(L486&lt;L_rampe,Poussee&lt;Poids*SIN(M486)), g*SIN(M486), (-W486+Poussee)/m)</f>
        <v>-6.53134928396205</v>
      </c>
    </row>
    <row r="488" customFormat="false" ht="12.75" hidden="false" customHeight="false" outlineLevel="0" collapsed="false">
      <c r="A488" s="396" t="n">
        <f aca="false">IF(B487+0.01&lt;=T_ini+ROUNDUP(Temps_fin_propu,0), 0.01, IF(K487&gt;0, 0.1, 0.0001))</f>
        <v>0.1</v>
      </c>
      <c r="B488" s="397" t="n">
        <f aca="false">B487+pas</f>
        <v>30.4000000000002</v>
      </c>
      <c r="D488" s="396" t="n">
        <f aca="false">IF(AND(L487&lt;L_rampe,Poussee&lt;Poids*SIN(M487)),0,(-W487+Poussee)/m*COS(M487)-U487/m*SIN(M487))</f>
        <v>-0.761720280640001</v>
      </c>
      <c r="E488" s="398" t="n">
        <f aca="false">IF(AND(L487&lt;L_rampe,Poussee&lt;Poids*SIN(M487)),0,(-W487+Poussee)/m*SIN(M487)+U487/m*COS(M487)-Poids/m)</f>
        <v>-3.27767499872951</v>
      </c>
      <c r="F488" s="397" t="n">
        <f aca="false">SQRT(acc_x^2+acc_z^2)</f>
        <v>3.36502172106434</v>
      </c>
      <c r="G488" s="396" t="n">
        <f aca="false">G487+acc_x*pas</f>
        <v>12.765342323498</v>
      </c>
      <c r="H488" s="398" t="n">
        <f aca="false">H487+acc_z*pas</f>
        <v>-110.453423052068</v>
      </c>
      <c r="I488" s="397" t="n">
        <f aca="false">SQRT(vit_x^2+vit_z^2)</f>
        <v>111.188635339027</v>
      </c>
      <c r="J488" s="396" t="n">
        <f aca="false">J487+0.5*(vit_x+G487)*pas*(K487&gt;=0)</f>
        <v>670.312969128558</v>
      </c>
      <c r="K488" s="398" t="n">
        <f aca="false">K487+0.5*(vit_z+H487)*pas</f>
        <v>183.507958100208</v>
      </c>
      <c r="L488" s="397" t="n">
        <f aca="false">SQRT(pos_x^2+pos_z^2)</f>
        <v>694.978163159139</v>
      </c>
      <c r="M488" s="396" t="n">
        <f aca="false">IF(AND(L487&gt;L_rampe,G488&gt;0),ATAN2(G488,H488),$M$4)</f>
        <v>-1.45573463013712</v>
      </c>
      <c r="N488" s="397" t="n">
        <f aca="false">DEGREES(Beta)</f>
        <v>-83.4074503978947</v>
      </c>
      <c r="P488" s="399" t="n">
        <f aca="false">MATCH(t-pas/2-T_ini,CdP_t)</f>
        <v>23</v>
      </c>
      <c r="Q488" s="397" t="n">
        <f aca="false">(INDEX(CdP,2,i_P+1)-INDEX(CdP,2,i_P+0))/(INDEX(CdP,1,i_P+1)-INDEX(CdP,1,i_P+0))*(t-pas/2-T_ini-INDEX(CdP,1,i_P+0))+INDEX(CdP,2,i_P+0)</f>
        <v>0</v>
      </c>
      <c r="R488" s="396" t="n">
        <f aca="false">Poussee/(g*ISP)</f>
        <v>0</v>
      </c>
      <c r="S488" s="398" t="n">
        <f aca="false">S487-Débit*pas</f>
        <v>8.45</v>
      </c>
      <c r="T488" s="397" t="n">
        <f aca="false">m*g</f>
        <v>82.8945</v>
      </c>
      <c r="U488" s="400" t="n">
        <f aca="false">IF(pos_xz&lt;L_rampe,Poids*COS(Beta),0)</f>
        <v>0</v>
      </c>
      <c r="V488" s="396" t="n">
        <f aca="false">Rho_moyen*(20000-Alt_rampe-pos_z)/(20000+Alt_rampe+pos_z)</f>
        <v>1.20272466023851</v>
      </c>
      <c r="W488" s="397" t="n">
        <f aca="false">1/2*Rho*Sref*Cx*vit_xz^2</f>
        <v>55.9518644075616</v>
      </c>
      <c r="Y488" s="401" t="str">
        <f aca="false">IF(AND(pos_z&lt;=0,K487&gt;0),"Impact balistique","") &amp; IF(AND(H489&lt;0,vit_z&gt;=0),"Apogée","") &amp; IF(AND(Poussee=0,Q487&gt;0),"Fin de propulsion","") &amp; IF(AND(L489&gt;L_rampe,pos_xz&lt;=L_rampe),"Sortie de rampe","")</f>
        <v/>
      </c>
      <c r="Z488" s="402" t="str">
        <f aca="false">IF(ABS(t-T_para)&lt;pas/2,"Para","")</f>
        <v/>
      </c>
      <c r="AA488" s="403" t="str">
        <f aca="false">IF(ABS(t-T_satellite)&lt;pas/2,"Satellite","")</f>
        <v/>
      </c>
      <c r="AC488" s="399" t="e">
        <f aca="false">IF(ABS(t-ROUND(t,0))&lt;0.001,t,NA())</f>
        <v>#N/A</v>
      </c>
      <c r="AD488" s="404" t="e">
        <f aca="false">IF(ABS(t-ROUND(t,0))&lt;0.001,pos_x,NA())</f>
        <v>#N/A</v>
      </c>
      <c r="AE488" s="405" t="e">
        <f aca="false">IF(t&lt;T_para, pos_z, NA())</f>
        <v>#N/A</v>
      </c>
      <c r="AG488" s="396" t="n">
        <f aca="false">IF(AND(L487&lt;L_rampe,Poussee&lt;Poids*SIN(M487)),0,(-W487+Poussee)/m-Poids*SIN(M487)/m)</f>
        <v>3.16739103245495</v>
      </c>
      <c r="AH488" s="397" t="n">
        <f aca="false">IF(AND(L487&lt;L_rampe,Poussee&lt;Poids*SIN(M487)), g*SIN(M487), (-W487+Poussee)/m)</f>
        <v>-6.57658632636733</v>
      </c>
    </row>
    <row r="489" customFormat="false" ht="12.75" hidden="false" customHeight="false" outlineLevel="0" collapsed="false">
      <c r="A489" s="396" t="n">
        <f aca="false">IF(B488+0.01&lt;=T_ini+ROUNDUP(Temps_fin_propu,0), 0.01, IF(K488&gt;0, 0.1, 0.0001))</f>
        <v>0.1</v>
      </c>
      <c r="B489" s="397" t="n">
        <f aca="false">B488+pas</f>
        <v>30.5000000000002</v>
      </c>
      <c r="D489" s="396" t="n">
        <f aca="false">IF(AND(L488&lt;L_rampe,Poussee&lt;Poids*SIN(M488)),0,(-W488+Poussee)/m*COS(M488)-U488/m*SIN(M488))</f>
        <v>-0.760203595211744</v>
      </c>
      <c r="E489" s="398" t="n">
        <f aca="false">IF(AND(L488&lt;L_rampe,Poussee&lt;Poids*SIN(M488)),0,(-W488+Poussee)/m*SIN(M488)+U488/m*COS(M488)-Poids/m)</f>
        <v>-3.23226105812594</v>
      </c>
      <c r="F489" s="397" t="n">
        <f aca="false">SQRT(acc_x^2+acc_z^2)</f>
        <v>3.32045494684844</v>
      </c>
      <c r="G489" s="396" t="n">
        <f aca="false">G488+acc_x*pas</f>
        <v>12.6893219639768</v>
      </c>
      <c r="H489" s="398" t="n">
        <f aca="false">H488+acc_z*pas</f>
        <v>-110.77664915788</v>
      </c>
      <c r="I489" s="397" t="n">
        <f aca="false">SQRT(vit_x^2+vit_z^2)</f>
        <v>111.501053315893</v>
      </c>
      <c r="J489" s="396" t="n">
        <f aca="false">J488+0.5*(vit_x+G488)*pas*(K488&gt;=0)</f>
        <v>671.585702342932</v>
      </c>
      <c r="K489" s="398" t="n">
        <f aca="false">K488+0.5*(vit_z+H488)*pas</f>
        <v>172.446454489711</v>
      </c>
      <c r="L489" s="397" t="n">
        <f aca="false">SQRT(pos_x^2+pos_z^2)</f>
        <v>693.372291959753</v>
      </c>
      <c r="M489" s="396" t="n">
        <f aca="false">IF(AND(L488&gt;L_rampe,G489&gt;0),ATAN2(G489,H489),$M$4)</f>
        <v>-1.4567447250335</v>
      </c>
      <c r="N489" s="397" t="n">
        <f aca="false">DEGREES(Beta)</f>
        <v>-83.4653245723654</v>
      </c>
      <c r="P489" s="399" t="n">
        <f aca="false">MATCH(t-pas/2-T_ini,CdP_t)</f>
        <v>23</v>
      </c>
      <c r="Q489" s="397" t="n">
        <f aca="false">(INDEX(CdP,2,i_P+1)-INDEX(CdP,2,i_P+0))/(INDEX(CdP,1,i_P+1)-INDEX(CdP,1,i_P+0))*(t-pas/2-T_ini-INDEX(CdP,1,i_P+0))+INDEX(CdP,2,i_P+0)</f>
        <v>0</v>
      </c>
      <c r="R489" s="396" t="n">
        <f aca="false">Poussee/(g*ISP)</f>
        <v>0</v>
      </c>
      <c r="S489" s="398" t="n">
        <f aca="false">S488-Débit*pas</f>
        <v>8.45</v>
      </c>
      <c r="T489" s="397" t="n">
        <f aca="false">m*g</f>
        <v>82.8945</v>
      </c>
      <c r="U489" s="400" t="n">
        <f aca="false">IF(pos_xz&lt;L_rampe,Poids*COS(Beta),0)</f>
        <v>0</v>
      </c>
      <c r="V489" s="396" t="n">
        <f aca="false">Rho_moyen*(20000-Alt_rampe-pos_z)/(20000+Alt_rampe+pos_z)</f>
        <v>1.2040558961476</v>
      </c>
      <c r="W489" s="397" t="n">
        <f aca="false">1/2*Rho*Sref*Cx*vit_xz^2</f>
        <v>56.3290122335079</v>
      </c>
      <c r="Y489" s="401" t="str">
        <f aca="false">IF(AND(pos_z&lt;=0,K488&gt;0),"Impact balistique","") &amp; IF(AND(H490&lt;0,vit_z&gt;=0),"Apogée","") &amp; IF(AND(Poussee=0,Q488&gt;0),"Fin de propulsion","") &amp; IF(AND(L490&gt;L_rampe,pos_xz&lt;=L_rampe),"Sortie de rampe","")</f>
        <v/>
      </c>
      <c r="Z489" s="402" t="str">
        <f aca="false">IF(ABS(t-T_para)&lt;pas/2,"Para","")</f>
        <v/>
      </c>
      <c r="AA489" s="403" t="str">
        <f aca="false">IF(ABS(t-T_satellite)&lt;pas/2,"Satellite","")</f>
        <v/>
      </c>
      <c r="AC489" s="399" t="e">
        <f aca="false">IF(ABS(t-ROUND(t,0))&lt;0.001,t,NA())</f>
        <v>#N/A</v>
      </c>
      <c r="AD489" s="404" t="e">
        <f aca="false">IF(ABS(t-ROUND(t,0))&lt;0.001,pos_x,NA())</f>
        <v>#N/A</v>
      </c>
      <c r="AE489" s="405" t="e">
        <f aca="false">IF(t&lt;T_para, pos_z, NA())</f>
        <v>#N/A</v>
      </c>
      <c r="AG489" s="396" t="n">
        <f aca="false">IF(AND(L488&lt;L_rampe,Poussee&lt;Poids*SIN(M488)),0,(-W488+Poussee)/m-Poids*SIN(M488)/m)</f>
        <v>3.12361095070992</v>
      </c>
      <c r="AH489" s="397" t="n">
        <f aca="false">IF(AND(L488&lt;L_rampe,Poussee&lt;Poids*SIN(M488)), g*SIN(M488), (-W488+Poussee)/m)</f>
        <v>-6.62152241509605</v>
      </c>
    </row>
    <row r="490" customFormat="false" ht="12.75" hidden="false" customHeight="false" outlineLevel="0" collapsed="false">
      <c r="A490" s="396" t="n">
        <f aca="false">IF(B489+0.01&lt;=T_ini+ROUNDUP(Temps_fin_propu,0), 0.01, IF(K489&gt;0, 0.1, 0.0001))</f>
        <v>0.1</v>
      </c>
      <c r="B490" s="397" t="n">
        <f aca="false">B489+pas</f>
        <v>30.6000000000002</v>
      </c>
      <c r="D490" s="396" t="n">
        <f aca="false">IF(AND(L489&lt;L_rampe,Poussee&lt;Poids*SIN(M489)),0,(-W489+Poussee)/m*COS(M489)-U489/m*SIN(M489))</f>
        <v>-0.758638490585344</v>
      </c>
      <c r="E490" s="398" t="n">
        <f aca="false">IF(AND(L489&lt;L_rampe,Poussee&lt;Poids*SIN(M489)),0,(-W489+Poussee)/m*SIN(M489)+U489/m*COS(M489)-Poids/m)</f>
        <v>-3.18715362981468</v>
      </c>
      <c r="F490" s="397" t="n">
        <f aca="false">SQRT(acc_x^2+acc_z^2)</f>
        <v>3.27619911169003</v>
      </c>
      <c r="G490" s="396" t="n">
        <f aca="false">G489+acc_x*pas</f>
        <v>12.6134581149183</v>
      </c>
      <c r="H490" s="398" t="n">
        <f aca="false">H489+acc_z*pas</f>
        <v>-111.095364520862</v>
      </c>
      <c r="I490" s="397" t="n">
        <f aca="false">SQRT(vit_x^2+vit_z^2)</f>
        <v>111.809120127295</v>
      </c>
      <c r="J490" s="396" t="n">
        <f aca="false">J489+0.5*(vit_x+G489)*pas*(K489&gt;=0)</f>
        <v>672.850841346877</v>
      </c>
      <c r="K490" s="398" t="n">
        <f aca="false">K489+0.5*(vit_z+H489)*pas</f>
        <v>161.352853805774</v>
      </c>
      <c r="L490" s="397" t="n">
        <f aca="false">SQRT(pos_x^2+pos_z^2)</f>
        <v>691.927017923471</v>
      </c>
      <c r="M490" s="396" t="n">
        <f aca="false">IF(AND(L489&gt;L_rampe,G490&gt;0),ATAN2(G490,H490),$M$4)</f>
        <v>-1.4577432324534</v>
      </c>
      <c r="N490" s="397" t="n">
        <f aca="false">DEGREES(Beta)</f>
        <v>-83.5225348333381</v>
      </c>
      <c r="P490" s="399" t="n">
        <f aca="false">MATCH(t-pas/2-T_ini,CdP_t)</f>
        <v>23</v>
      </c>
      <c r="Q490" s="397" t="n">
        <f aca="false">(INDEX(CdP,2,i_P+1)-INDEX(CdP,2,i_P+0))/(INDEX(CdP,1,i_P+1)-INDEX(CdP,1,i_P+0))*(t-pas/2-T_ini-INDEX(CdP,1,i_P+0))+INDEX(CdP,2,i_P+0)</f>
        <v>0</v>
      </c>
      <c r="R490" s="396" t="n">
        <f aca="false">Poussee/(g*ISP)</f>
        <v>0</v>
      </c>
      <c r="S490" s="398" t="n">
        <f aca="false">S489-Débit*pas</f>
        <v>8.45</v>
      </c>
      <c r="T490" s="397" t="n">
        <f aca="false">m*g</f>
        <v>82.8945</v>
      </c>
      <c r="U490" s="400" t="n">
        <f aca="false">IF(pos_xz&lt;L_rampe,Poids*COS(Beta),0)</f>
        <v>0</v>
      </c>
      <c r="V490" s="396" t="n">
        <f aca="false">Rho_moyen*(20000-Alt_rampe-pos_z)/(20000+Alt_rampe+pos_z)</f>
        <v>1.20539246201926</v>
      </c>
      <c r="W490" s="397" t="n">
        <f aca="false">1/2*Rho*Sref*Cx*vit_xz^2</f>
        <v>56.703579827617</v>
      </c>
      <c r="Y490" s="401" t="str">
        <f aca="false">IF(AND(pos_z&lt;=0,K489&gt;0),"Impact balistique","") &amp; IF(AND(H491&lt;0,vit_z&gt;=0),"Apogée","") &amp; IF(AND(Poussee=0,Q489&gt;0),"Fin de propulsion","") &amp; IF(AND(L491&gt;L_rampe,pos_xz&lt;=L_rampe),"Sortie de rampe","")</f>
        <v/>
      </c>
      <c r="Z490" s="402" t="str">
        <f aca="false">IF(ABS(t-T_para)&lt;pas/2,"Para","")</f>
        <v/>
      </c>
      <c r="AA490" s="403" t="str">
        <f aca="false">IF(ABS(t-T_satellite)&lt;pas/2,"Satellite","")</f>
        <v/>
      </c>
      <c r="AC490" s="399" t="e">
        <f aca="false">IF(ABS(t-ROUND(t,0))&lt;0.001,t,NA())</f>
        <v>#N/A</v>
      </c>
      <c r="AD490" s="404" t="e">
        <f aca="false">IF(ABS(t-ROUND(t,0))&lt;0.001,pos_x,NA())</f>
        <v>#N/A</v>
      </c>
      <c r="AE490" s="405" t="e">
        <f aca="false">IF(t&lt;T_para, pos_z, NA())</f>
        <v>#N/A</v>
      </c>
      <c r="AG490" s="396" t="n">
        <f aca="false">IF(AND(L489&lt;L_rampe,Poussee&lt;Poids*SIN(M489)),0,(-W489+Poussee)/m-Poids*SIN(M489)/m)</f>
        <v>3.08011073606595</v>
      </c>
      <c r="AH490" s="397" t="n">
        <f aca="false">IF(AND(L489&lt;L_rampe,Poussee&lt;Poids*SIN(M489)), g*SIN(M489), (-W489+Poussee)/m)</f>
        <v>-6.66615529390626</v>
      </c>
    </row>
    <row r="491" customFormat="false" ht="12.75" hidden="false" customHeight="false" outlineLevel="0" collapsed="false">
      <c r="A491" s="396" t="n">
        <f aca="false">IF(B490+0.01&lt;=T_ini+ROUNDUP(Temps_fin_propu,0), 0.01, IF(K490&gt;0, 0.1, 0.0001))</f>
        <v>0.1</v>
      </c>
      <c r="B491" s="397" t="n">
        <f aca="false">B490+pas</f>
        <v>30.7000000000002</v>
      </c>
      <c r="D491" s="396" t="n">
        <f aca="false">IF(AND(L490&lt;L_rampe,Poussee&lt;Poids*SIN(M490)),0,(-W490+Poussee)/m*COS(M490)-U490/m*SIN(M490))</f>
        <v>-0.757025848003439</v>
      </c>
      <c r="E491" s="398" t="n">
        <f aca="false">IF(AND(L490&lt;L_rampe,Poussee&lt;Poids*SIN(M490)),0,(-W490+Poussee)/m*SIN(M490)+U490/m*COS(M490)-Poids/m)</f>
        <v>-3.14235487291253</v>
      </c>
      <c r="F491" s="397" t="n">
        <f aca="false">SQRT(acc_x^2+acc_z^2)</f>
        <v>3.232256530949</v>
      </c>
      <c r="G491" s="396" t="n">
        <f aca="false">G490+acc_x*pas</f>
        <v>12.5377555301179</v>
      </c>
      <c r="H491" s="398" t="n">
        <f aca="false">H490+acc_z*pas</f>
        <v>-111.409600008153</v>
      </c>
      <c r="I491" s="397" t="n">
        <f aca="false">SQRT(vit_x^2+vit_z^2)</f>
        <v>112.112864059882</v>
      </c>
      <c r="J491" s="396" t="n">
        <f aca="false">J490+0.5*(vit_x+G490)*pas*(K490&gt;=0)</f>
        <v>674.108402029129</v>
      </c>
      <c r="K491" s="398" t="n">
        <f aca="false">K490+0.5*(vit_z+H490)*pas</f>
        <v>150.227605579323</v>
      </c>
      <c r="L491" s="397" t="n">
        <f aca="false">SQRT(pos_x^2+pos_z^2)</f>
        <v>690.64496752265</v>
      </c>
      <c r="M491" s="396" t="n">
        <f aca="false">IF(AND(L490&gt;L_rampe,G491&gt;0),ATAN2(G491,H491),$M$4)</f>
        <v>-1.45873035386022</v>
      </c>
      <c r="N491" s="397" t="n">
        <f aca="false">DEGREES(Beta)</f>
        <v>-83.5790927238158</v>
      </c>
      <c r="P491" s="399" t="n">
        <f aca="false">MATCH(t-pas/2-T_ini,CdP_t)</f>
        <v>23</v>
      </c>
      <c r="Q491" s="397" t="n">
        <f aca="false">(INDEX(CdP,2,i_P+1)-INDEX(CdP,2,i_P+0))/(INDEX(CdP,1,i_P+1)-INDEX(CdP,1,i_P+0))*(t-pas/2-T_ini-INDEX(CdP,1,i_P+0))+INDEX(CdP,2,i_P+0)</f>
        <v>0</v>
      </c>
      <c r="R491" s="396" t="n">
        <f aca="false">Poussee/(g*ISP)</f>
        <v>0</v>
      </c>
      <c r="S491" s="398" t="n">
        <f aca="false">S490-Débit*pas</f>
        <v>8.45</v>
      </c>
      <c r="T491" s="397" t="n">
        <f aca="false">m*g</f>
        <v>82.8945</v>
      </c>
      <c r="U491" s="400" t="n">
        <f aca="false">IF(pos_xz&lt;L_rampe,Poids*COS(Beta),0)</f>
        <v>0</v>
      </c>
      <c r="V491" s="396" t="n">
        <f aca="false">Rho_moyen*(20000-Alt_rampe-pos_z)/(20000+Alt_rampe+pos_z)</f>
        <v>1.20673431879412</v>
      </c>
      <c r="W491" s="397" t="n">
        <f aca="false">1/2*Rho*Sref*Cx*vit_xz^2</f>
        <v>57.075550026033</v>
      </c>
      <c r="Y491" s="401" t="str">
        <f aca="false">IF(AND(pos_z&lt;=0,K490&gt;0),"Impact balistique","") &amp; IF(AND(H492&lt;0,vit_z&gt;=0),"Apogée","") &amp; IF(AND(Poussee=0,Q490&gt;0),"Fin de propulsion","") &amp; IF(AND(L492&gt;L_rampe,pos_xz&lt;=L_rampe),"Sortie de rampe","")</f>
        <v/>
      </c>
      <c r="Z491" s="402" t="str">
        <f aca="false">IF(ABS(t-T_para)&lt;pas/2,"Para","")</f>
        <v/>
      </c>
      <c r="AA491" s="403" t="str">
        <f aca="false">IF(ABS(t-T_satellite)&lt;pas/2,"Satellite","")</f>
        <v/>
      </c>
      <c r="AC491" s="399" t="e">
        <f aca="false">IF(ABS(t-ROUND(t,0))&lt;0.001,t,NA())</f>
        <v>#N/A</v>
      </c>
      <c r="AD491" s="404" t="e">
        <f aca="false">IF(ABS(t-ROUND(t,0))&lt;0.001,pos_x,NA())</f>
        <v>#N/A</v>
      </c>
      <c r="AE491" s="405" t="e">
        <f aca="false">IF(t&lt;T_para, pos_z, NA())</f>
        <v>#N/A</v>
      </c>
      <c r="AG491" s="396" t="n">
        <f aca="false">IF(AND(L490&lt;L_rampe,Poussee&lt;Poids*SIN(M490)),0,(-W490+Poussee)/m-Poids*SIN(M490)/m)</f>
        <v>3.03689310717981</v>
      </c>
      <c r="AH491" s="397" t="n">
        <f aca="false">IF(AND(L490&lt;L_rampe,Poussee&lt;Poids*SIN(M490)), g*SIN(M490), (-W490+Poussee)/m)</f>
        <v>-6.71048281983634</v>
      </c>
    </row>
    <row r="492" customFormat="false" ht="12.75" hidden="false" customHeight="false" outlineLevel="0" collapsed="false">
      <c r="A492" s="396" t="n">
        <f aca="false">IF(B491+0.01&lt;=T_ini+ROUNDUP(Temps_fin_propu,0), 0.01, IF(K491&gt;0, 0.1, 0.0001))</f>
        <v>0.1</v>
      </c>
      <c r="B492" s="397" t="n">
        <f aca="false">B491+pas</f>
        <v>30.8000000000002</v>
      </c>
      <c r="D492" s="396" t="n">
        <f aca="false">IF(AND(L491&lt;L_rampe,Poussee&lt;Poids*SIN(M491)),0,(-W491+Poussee)/m*COS(M491)-U491/m*SIN(M491))</f>
        <v>-0.755366545765224</v>
      </c>
      <c r="E492" s="398" t="n">
        <f aca="false">IF(AND(L491&lt;L_rampe,Poussee&lt;Poids*SIN(M491)),0,(-W491+Poussee)/m*SIN(M491)+U491/m*COS(M491)-Poids/m)</f>
        <v>-3.09786683381341</v>
      </c>
      <c r="F492" s="397" t="n">
        <f aca="false">SQRT(acc_x^2+acc_z^2)</f>
        <v>3.18862941379245</v>
      </c>
      <c r="G492" s="396" t="n">
        <f aca="false">G491+acc_x*pas</f>
        <v>12.4622188755414</v>
      </c>
      <c r="H492" s="398" t="n">
        <f aca="false">H491+acc_z*pas</f>
        <v>-111.719386691534</v>
      </c>
      <c r="I492" s="397" t="n">
        <f aca="false">SQRT(vit_x^2+vit_z^2)</f>
        <v>112.4123136584</v>
      </c>
      <c r="J492" s="396" t="n">
        <f aca="false">J491+0.5*(vit_x+G491)*pas*(K491&gt;=0)</f>
        <v>675.358400749412</v>
      </c>
      <c r="K492" s="398" t="n">
        <f aca="false">K491+0.5*(vit_z+H491)*pas</f>
        <v>139.071156244339</v>
      </c>
      <c r="L492" s="397" t="n">
        <f aca="false">SQRT(pos_x^2+pos_z^2)</f>
        <v>689.528647673133</v>
      </c>
      <c r="M492" s="396" t="n">
        <f aca="false">IF(AND(L491&gt;L_rampe,G492&gt;0),ATAN2(G492,H492),$M$4)</f>
        <v>-1.45970628581873</v>
      </c>
      <c r="N492" s="397" t="n">
        <f aca="false">DEGREES(Beta)</f>
        <v>-83.6350095061304</v>
      </c>
      <c r="P492" s="399" t="n">
        <f aca="false">MATCH(t-pas/2-T_ini,CdP_t)</f>
        <v>23</v>
      </c>
      <c r="Q492" s="397" t="n">
        <f aca="false">(INDEX(CdP,2,i_P+1)-INDEX(CdP,2,i_P+0))/(INDEX(CdP,1,i_P+1)-INDEX(CdP,1,i_P+0))*(t-pas/2-T_ini-INDEX(CdP,1,i_P+0))+INDEX(CdP,2,i_P+0)</f>
        <v>0</v>
      </c>
      <c r="R492" s="396" t="n">
        <f aca="false">Poussee/(g*ISP)</f>
        <v>0</v>
      </c>
      <c r="S492" s="398" t="n">
        <f aca="false">S491-Débit*pas</f>
        <v>8.45</v>
      </c>
      <c r="T492" s="397" t="n">
        <f aca="false">m*g</f>
        <v>82.8945</v>
      </c>
      <c r="U492" s="400" t="n">
        <f aca="false">IF(pos_xz&lt;L_rampe,Poids*COS(Beta),0)</f>
        <v>0</v>
      </c>
      <c r="V492" s="396" t="n">
        <f aca="false">Rho_moyen*(20000-Alt_rampe-pos_z)/(20000+Alt_rampe+pos_z)</f>
        <v>1.20808142763114</v>
      </c>
      <c r="W492" s="397" t="n">
        <f aca="false">1/2*Rho*Sref*Cx*vit_xz^2</f>
        <v>57.4449065958681</v>
      </c>
      <c r="Y492" s="401" t="str">
        <f aca="false">IF(AND(pos_z&lt;=0,K491&gt;0),"Impact balistique","") &amp; IF(AND(H493&lt;0,vit_z&gt;=0),"Apogée","") &amp; IF(AND(Poussee=0,Q491&gt;0),"Fin de propulsion","") &amp; IF(AND(L493&gt;L_rampe,pos_xz&lt;=L_rampe),"Sortie de rampe","")</f>
        <v/>
      </c>
      <c r="Z492" s="402" t="str">
        <f aca="false">IF(ABS(t-T_para)&lt;pas/2,"Para","")</f>
        <v/>
      </c>
      <c r="AA492" s="403" t="str">
        <f aca="false">IF(ABS(t-T_satellite)&lt;pas/2,"Satellite","")</f>
        <v/>
      </c>
      <c r="AC492" s="399" t="e">
        <f aca="false">IF(ABS(t-ROUND(t,0))&lt;0.001,t,NA())</f>
        <v>#N/A</v>
      </c>
      <c r="AD492" s="404" t="e">
        <f aca="false">IF(ABS(t-ROUND(t,0))&lt;0.001,pos_x,NA())</f>
        <v>#N/A</v>
      </c>
      <c r="AE492" s="405" t="e">
        <f aca="false">IF(t&lt;T_para, pos_z, NA())</f>
        <v>#N/A</v>
      </c>
      <c r="AG492" s="396" t="n">
        <f aca="false">IF(AND(L491&lt;L_rampe,Poussee&lt;Poids*SIN(M491)),0,(-W491+Poussee)/m-Poids*SIN(M491)/m)</f>
        <v>2.99396065350677</v>
      </c>
      <c r="AH492" s="397" t="n">
        <f aca="false">IF(AND(L491&lt;L_rampe,Poussee&lt;Poids*SIN(M491)), g*SIN(M491), (-W491+Poussee)/m)</f>
        <v>-6.75450296166071</v>
      </c>
    </row>
    <row r="493" customFormat="false" ht="12.75" hidden="false" customHeight="false" outlineLevel="0" collapsed="false">
      <c r="A493" s="396" t="n">
        <f aca="false">IF(B492+0.01&lt;=T_ini+ROUNDUP(Temps_fin_propu,0), 0.01, IF(K492&gt;0, 0.1, 0.0001))</f>
        <v>0.1</v>
      </c>
      <c r="B493" s="397" t="n">
        <f aca="false">B492+pas</f>
        <v>30.9000000000002</v>
      </c>
      <c r="D493" s="396" t="n">
        <f aca="false">IF(AND(L492&lt;L_rampe,Poussee&lt;Poids*SIN(M492)),0,(-W492+Poussee)/m*COS(M492)-U492/m*SIN(M492))</f>
        <v>-0.75366145896556</v>
      </c>
      <c r="E493" s="398" t="n">
        <f aca="false">IF(AND(L492&lt;L_rampe,Poussee&lt;Poids*SIN(M492)),0,(-W492+Poussee)/m*SIN(M492)+U492/m*COS(M492)-Poids/m)</f>
        <v>-3.05369144776222</v>
      </c>
      <c r="F493" s="397" t="n">
        <f aca="false">SQRT(acc_x^2+acc_z^2)</f>
        <v>3.14531986495272</v>
      </c>
      <c r="G493" s="396" t="n">
        <f aca="false">G492+acc_x*pas</f>
        <v>12.3868527296448</v>
      </c>
      <c r="H493" s="398" t="n">
        <f aca="false">H492+acc_z*pas</f>
        <v>-112.024755836311</v>
      </c>
      <c r="I493" s="397" t="n">
        <f aca="false">SQRT(vit_x^2+vit_z^2)</f>
        <v>112.707497713022</v>
      </c>
      <c r="J493" s="396" t="n">
        <f aca="false">J492+0.5*(vit_x+G492)*pas*(K492&gt;=0)</f>
        <v>676.600854329671</v>
      </c>
      <c r="K493" s="398" t="n">
        <f aca="false">K492+0.5*(vit_z+H492)*pas</f>
        <v>127.883949117947</v>
      </c>
      <c r="L493" s="397" t="n">
        <f aca="false">SQRT(pos_x^2+pos_z^2)</f>
        <v>688.58043867194</v>
      </c>
      <c r="M493" s="396" t="n">
        <f aca="false">IF(AND(L492&gt;L_rampe,G493&gt;0),ATAN2(G493,H493),$M$4)</f>
        <v>-1.46067122014241</v>
      </c>
      <c r="N493" s="397" t="n">
        <f aca="false">DEGREES(Beta)</f>
        <v>-83.6902961703843</v>
      </c>
      <c r="P493" s="399" t="n">
        <f aca="false">MATCH(t-pas/2-T_ini,CdP_t)</f>
        <v>23</v>
      </c>
      <c r="Q493" s="397" t="n">
        <f aca="false">(INDEX(CdP,2,i_P+1)-INDEX(CdP,2,i_P+0))/(INDEX(CdP,1,i_P+1)-INDEX(CdP,1,i_P+0))*(t-pas/2-T_ini-INDEX(CdP,1,i_P+0))+INDEX(CdP,2,i_P+0)</f>
        <v>0</v>
      </c>
      <c r="R493" s="396" t="n">
        <f aca="false">Poussee/(g*ISP)</f>
        <v>0</v>
      </c>
      <c r="S493" s="398" t="n">
        <f aca="false">S492-Débit*pas</f>
        <v>8.45</v>
      </c>
      <c r="T493" s="397" t="n">
        <f aca="false">m*g</f>
        <v>82.8945</v>
      </c>
      <c r="U493" s="400" t="n">
        <f aca="false">IF(pos_xz&lt;L_rampe,Poids*COS(Beta),0)</f>
        <v>0</v>
      </c>
      <c r="V493" s="396" t="n">
        <f aca="false">Rho_moyen*(20000-Alt_rampe-pos_z)/(20000+Alt_rampe+pos_z)</f>
        <v>1.20943374990978</v>
      </c>
      <c r="W493" s="397" t="n">
        <f aca="false">1/2*Rho*Sref*Cx*vit_xz^2</f>
        <v>57.8116342218598</v>
      </c>
      <c r="Y493" s="401" t="str">
        <f aca="false">IF(AND(pos_z&lt;=0,K492&gt;0),"Impact balistique","") &amp; IF(AND(H494&lt;0,vit_z&gt;=0),"Apogée","") &amp; IF(AND(Poussee=0,Q492&gt;0),"Fin de propulsion","") &amp; IF(AND(L494&gt;L_rampe,pos_xz&lt;=L_rampe),"Sortie de rampe","")</f>
        <v/>
      </c>
      <c r="Z493" s="402" t="str">
        <f aca="false">IF(ABS(t-T_para)&lt;pas/2,"Para","")</f>
        <v/>
      </c>
      <c r="AA493" s="403" t="str">
        <f aca="false">IF(ABS(t-T_satellite)&lt;pas/2,"Satellite","")</f>
        <v/>
      </c>
      <c r="AC493" s="399" t="e">
        <f aca="false">IF(ABS(t-ROUND(t,0))&lt;0.001,t,NA())</f>
        <v>#N/A</v>
      </c>
      <c r="AD493" s="404" t="e">
        <f aca="false">IF(ABS(t-ROUND(t,0))&lt;0.001,pos_x,NA())</f>
        <v>#N/A</v>
      </c>
      <c r="AE493" s="405" t="e">
        <f aca="false">IF(t&lt;T_para, pos_z, NA())</f>
        <v>#N/A</v>
      </c>
      <c r="AG493" s="396" t="n">
        <f aca="false">IF(AND(L492&lt;L_rampe,Poussee&lt;Poids*SIN(M492)),0,(-W492+Poussee)/m-Poids*SIN(M492)/m)</f>
        <v>2.95131583749499</v>
      </c>
      <c r="AH493" s="397" t="n">
        <f aca="false">IF(AND(L492&lt;L_rampe,Poussee&lt;Poids*SIN(M492)), g*SIN(M492), (-W492+Poussee)/m)</f>
        <v>-6.79821379832758</v>
      </c>
    </row>
    <row r="494" customFormat="false" ht="12.75" hidden="false" customHeight="false" outlineLevel="0" collapsed="false">
      <c r="A494" s="396" t="n">
        <f aca="false">IF(B493+0.01&lt;=T_ini+ROUNDUP(Temps_fin_propu,0), 0.01, IF(K493&gt;0, 0.1, 0.0001))</f>
        <v>0.1</v>
      </c>
      <c r="B494" s="397" t="n">
        <f aca="false">B493+pas</f>
        <v>31.0000000000002</v>
      </c>
      <c r="D494" s="396" t="n">
        <f aca="false">IF(AND(L493&lt;L_rampe,Poussee&lt;Poids*SIN(M493)),0,(-W493+Poussee)/m*COS(M493)-U493/m*SIN(M493))</f>
        <v>-0.751911459242166</v>
      </c>
      <c r="E494" s="398" t="n">
        <f aca="false">IF(AND(L493&lt;L_rampe,Poussee&lt;Poids*SIN(M493)),0,(-W493+Poussee)/m*SIN(M493)+U493/m*COS(M493)-Poids/m)</f>
        <v>-3.00983054044569</v>
      </c>
      <c r="F494" s="397" t="n">
        <f aca="false">SQRT(acc_x^2+acc_z^2)</f>
        <v>3.10232988651099</v>
      </c>
      <c r="G494" s="396" t="n">
        <f aca="false">G493+acc_x*pas</f>
        <v>12.3116615837206</v>
      </c>
      <c r="H494" s="398" t="n">
        <f aca="false">H493+acc_z*pas</f>
        <v>-112.325738890355</v>
      </c>
      <c r="I494" s="397" t="n">
        <f aca="false">SQRT(vit_x^2+vit_z^2)</f>
        <v>112.998445246898</v>
      </c>
      <c r="J494" s="396" t="n">
        <f aca="false">J493+0.5*(vit_x+G493)*pas*(K493&gt;=0)</f>
        <v>677.835780045339</v>
      </c>
      <c r="K494" s="398" t="n">
        <f aca="false">K493+0.5*(vit_z+H493)*pas</f>
        <v>116.666424381613</v>
      </c>
      <c r="L494" s="397" t="n">
        <f aca="false">SQRT(pos_x^2+pos_z^2)</f>
        <v>687.802587438913</v>
      </c>
      <c r="M494" s="396" t="n">
        <f aca="false">IF(AND(L493&gt;L_rampe,G494&gt;0),ATAN2(G494,H494),$M$4)</f>
        <v>-1.46162534403554</v>
      </c>
      <c r="N494" s="397" t="n">
        <f aca="false">DEGREES(Beta)</f>
        <v>-83.7449634425933</v>
      </c>
      <c r="P494" s="399" t="n">
        <f aca="false">MATCH(t-pas/2-T_ini,CdP_t)</f>
        <v>23</v>
      </c>
      <c r="Q494" s="397" t="n">
        <f aca="false">(INDEX(CdP,2,i_P+1)-INDEX(CdP,2,i_P+0))/(INDEX(CdP,1,i_P+1)-INDEX(CdP,1,i_P+0))*(t-pas/2-T_ini-INDEX(CdP,1,i_P+0))+INDEX(CdP,2,i_P+0)</f>
        <v>0</v>
      </c>
      <c r="R494" s="396" t="n">
        <f aca="false">Poussee/(g*ISP)</f>
        <v>0</v>
      </c>
      <c r="S494" s="398" t="n">
        <f aca="false">S493-Débit*pas</f>
        <v>8.45</v>
      </c>
      <c r="T494" s="397" t="n">
        <f aca="false">m*g</f>
        <v>82.8945</v>
      </c>
      <c r="U494" s="400" t="n">
        <f aca="false">IF(pos_xz&lt;L_rampe,Poids*COS(Beta),0)</f>
        <v>0</v>
      </c>
      <c r="V494" s="396" t="n">
        <f aca="false">Rho_moyen*(20000-Alt_rampe-pos_z)/(20000+Alt_rampe+pos_z)</f>
        <v>1.21079124723227</v>
      </c>
      <c r="W494" s="397" t="n">
        <f aca="false">1/2*Rho*Sref*Cx*vit_xz^2</f>
        <v>58.1757184928999</v>
      </c>
      <c r="Y494" s="401" t="str">
        <f aca="false">IF(AND(pos_z&lt;=0,K493&gt;0),"Impact balistique","") &amp; IF(AND(H495&lt;0,vit_z&gt;=0),"Apogée","") &amp; IF(AND(Poussee=0,Q493&gt;0),"Fin de propulsion","") &amp; IF(AND(L495&gt;L_rampe,pos_xz&lt;=L_rampe),"Sortie de rampe","")</f>
        <v/>
      </c>
      <c r="Z494" s="402" t="str">
        <f aca="false">IF(ABS(t-T_para)&lt;pas/2,"Para","")</f>
        <v/>
      </c>
      <c r="AA494" s="403" t="str">
        <f aca="false">IF(ABS(t-T_satellite)&lt;pas/2,"Satellite","")</f>
        <v/>
      </c>
      <c r="AC494" s="399" t="n">
        <f aca="false">IF(ABS(t-ROUND(t,0))&lt;0.001,t,NA())</f>
        <v>31.0000000000002</v>
      </c>
      <c r="AD494" s="404" t="n">
        <f aca="false">IF(ABS(t-ROUND(t,0))&lt;0.001,pos_x,NA())</f>
        <v>677.835780045339</v>
      </c>
      <c r="AE494" s="405" t="e">
        <f aca="false">IF(t&lt;T_para, pos_z, NA())</f>
        <v>#N/A</v>
      </c>
      <c r="AG494" s="396" t="n">
        <f aca="false">IF(AND(L493&lt;L_rampe,Poussee&lt;Poids*SIN(M493)),0,(-W493+Poussee)/m-Poids*SIN(M493)/m)</f>
        <v>2.90896099677008</v>
      </c>
      <c r="AH494" s="397" t="n">
        <f aca="false">IF(AND(L493&lt;L_rampe,Poussee&lt;Poids*SIN(M493)), g*SIN(M493), (-W493+Poussee)/m)</f>
        <v>-6.84161351737986</v>
      </c>
    </row>
    <row r="495" customFormat="false" ht="12.75" hidden="false" customHeight="false" outlineLevel="0" collapsed="false">
      <c r="A495" s="396" t="n">
        <f aca="false">IF(B494+0.01&lt;=T_ini+ROUNDUP(Temps_fin_propu,0), 0.01, IF(K494&gt;0, 0.1, 0.0001))</f>
        <v>0.1</v>
      </c>
      <c r="B495" s="397" t="n">
        <f aca="false">B494+pas</f>
        <v>31.1000000000002</v>
      </c>
      <c r="D495" s="396" t="n">
        <f aca="false">IF(AND(L494&lt;L_rampe,Poussee&lt;Poids*SIN(M494)),0,(-W494+Poussee)/m*COS(M494)-U494/m*SIN(M494))</f>
        <v>-0.750117414530778</v>
      </c>
      <c r="E495" s="398" t="n">
        <f aca="false">IF(AND(L494&lt;L_rampe,Poussee&lt;Poids*SIN(M494)),0,(-W494+Poussee)/m*SIN(M494)+U494/m*COS(M494)-Poids/m)</f>
        <v>-2.96628582959883</v>
      </c>
      <c r="F495" s="397" t="n">
        <f aca="false">SQRT(acc_x^2+acc_z^2)</f>
        <v>3.05966137970546</v>
      </c>
      <c r="G495" s="396" t="n">
        <f aca="false">G494+acc_x*pas</f>
        <v>12.2366498422675</v>
      </c>
      <c r="H495" s="398" t="n">
        <f aca="false">H494+acc_z*pas</f>
        <v>-112.622367473315</v>
      </c>
      <c r="I495" s="397" t="n">
        <f aca="false">SQRT(vit_x^2+vit_z^2)</f>
        <v>113.285185503916</v>
      </c>
      <c r="J495" s="396" t="n">
        <f aca="false">J494+0.5*(vit_x+G494)*pas*(K494&gt;=0)</f>
        <v>679.063195616639</v>
      </c>
      <c r="K495" s="398" t="n">
        <f aca="false">K494+0.5*(vit_z+H494)*pas</f>
        <v>105.41901906343</v>
      </c>
      <c r="L495" s="397" t="n">
        <f aca="false">SQRT(pos_x^2+pos_z^2)</f>
        <v>687.197201115791</v>
      </c>
      <c r="M495" s="396" t="n">
        <f aca="false">IF(AND(L494&gt;L_rampe,G495&gt;0),ATAN2(G495,H495),$M$4)</f>
        <v>-1.46256884023035</v>
      </c>
      <c r="N495" s="397" t="n">
        <f aca="false">DEGREES(Beta)</f>
        <v>-83.7990217925425</v>
      </c>
      <c r="P495" s="399" t="n">
        <f aca="false">MATCH(t-pas/2-T_ini,CdP_t)</f>
        <v>23</v>
      </c>
      <c r="Q495" s="397" t="n">
        <f aca="false">(INDEX(CdP,2,i_P+1)-INDEX(CdP,2,i_P+0))/(INDEX(CdP,1,i_P+1)-INDEX(CdP,1,i_P+0))*(t-pas/2-T_ini-INDEX(CdP,1,i_P+0))+INDEX(CdP,2,i_P+0)</f>
        <v>0</v>
      </c>
      <c r="R495" s="396" t="n">
        <f aca="false">Poussee/(g*ISP)</f>
        <v>0</v>
      </c>
      <c r="S495" s="398" t="n">
        <f aca="false">S494-Débit*pas</f>
        <v>8.45</v>
      </c>
      <c r="T495" s="397" t="n">
        <f aca="false">m*g</f>
        <v>82.8945</v>
      </c>
      <c r="U495" s="400" t="n">
        <f aca="false">IF(pos_xz&lt;L_rampe,Poids*COS(Beta),0)</f>
        <v>0</v>
      </c>
      <c r="V495" s="396" t="n">
        <f aca="false">Rho_moyen*(20000-Alt_rampe-pos_z)/(20000+Alt_rampe+pos_z)</f>
        <v>1.21215388142567</v>
      </c>
      <c r="W495" s="397" t="n">
        <f aca="false">1/2*Rho*Sref*Cx*vit_xz^2</f>
        <v>58.5371458884455</v>
      </c>
      <c r="Y495" s="401" t="str">
        <f aca="false">IF(AND(pos_z&lt;=0,K494&gt;0),"Impact balistique","") &amp; IF(AND(H496&lt;0,vit_z&gt;=0),"Apogée","") &amp; IF(AND(Poussee=0,Q494&gt;0),"Fin de propulsion","") &amp; IF(AND(L496&gt;L_rampe,pos_xz&lt;=L_rampe),"Sortie de rampe","")</f>
        <v/>
      </c>
      <c r="Z495" s="402" t="str">
        <f aca="false">IF(ABS(t-T_para)&lt;pas/2,"Para","")</f>
        <v/>
      </c>
      <c r="AA495" s="403" t="str">
        <f aca="false">IF(ABS(t-T_satellite)&lt;pas/2,"Satellite","")</f>
        <v/>
      </c>
      <c r="AC495" s="399" t="e">
        <f aca="false">IF(ABS(t-ROUND(t,0))&lt;0.001,t,NA())</f>
        <v>#N/A</v>
      </c>
      <c r="AD495" s="404" t="e">
        <f aca="false">IF(ABS(t-ROUND(t,0))&lt;0.001,pos_x,NA())</f>
        <v>#N/A</v>
      </c>
      <c r="AE495" s="405" t="e">
        <f aca="false">IF(t&lt;T_para, pos_z, NA())</f>
        <v>#N/A</v>
      </c>
      <c r="AG495" s="396" t="n">
        <f aca="false">IF(AND(L494&lt;L_rampe,Poussee&lt;Poids*SIN(M494)),0,(-W494+Poussee)/m-Poids*SIN(M494)/m)</f>
        <v>2.86689834630987</v>
      </c>
      <c r="AH495" s="397" t="n">
        <f aca="false">IF(AND(L494&lt;L_rampe,Poussee&lt;Poids*SIN(M494)), g*SIN(M494), (-W494+Poussee)/m)</f>
        <v>-6.88470041336093</v>
      </c>
    </row>
    <row r="496" customFormat="false" ht="12.75" hidden="false" customHeight="false" outlineLevel="0" collapsed="false">
      <c r="A496" s="396" t="n">
        <f aca="false">IF(B495+0.01&lt;=T_ini+ROUNDUP(Temps_fin_propu,0), 0.01, IF(K495&gt;0, 0.1, 0.0001))</f>
        <v>0.1</v>
      </c>
      <c r="B496" s="397" t="n">
        <f aca="false">B495+pas</f>
        <v>31.2000000000002</v>
      </c>
      <c r="D496" s="396" t="n">
        <f aca="false">IF(AND(L495&lt;L_rampe,Poussee&lt;Poids*SIN(M495)),0,(-W495+Poussee)/m*COS(M495)-U495/m*SIN(M495))</f>
        <v>-0.748280188828237</v>
      </c>
      <c r="E496" s="398" t="n">
        <f aca="false">IF(AND(L495&lt;L_rampe,Poussee&lt;Poids*SIN(M495)),0,(-W495+Poussee)/m*SIN(M495)+U495/m*COS(M495)-Poids/m)</f>
        <v>-2.92305892662538</v>
      </c>
      <c r="F496" s="397" t="n">
        <f aca="false">SQRT(acc_x^2+acc_z^2)</f>
        <v>3.01731614676307</v>
      </c>
      <c r="G496" s="396" t="n">
        <f aca="false">G495+acc_x*pas</f>
        <v>12.1618218233847</v>
      </c>
      <c r="H496" s="398" t="n">
        <f aca="false">H495+acc_z*pas</f>
        <v>-112.914673365978</v>
      </c>
      <c r="I496" s="397" t="n">
        <f aca="false">SQRT(vit_x^2+vit_z^2)</f>
        <v>113.56774793668</v>
      </c>
      <c r="J496" s="396" t="n">
        <f aca="false">J495+0.5*(vit_x+G495)*pas*(K495&gt;=0)</f>
        <v>680.283119199921</v>
      </c>
      <c r="K496" s="398" t="n">
        <f aca="false">K495+0.5*(vit_z+H495)*pas</f>
        <v>94.1421670214652</v>
      </c>
      <c r="L496" s="397" t="n">
        <f aca="false">SQRT(pos_x^2+pos_z^2)</f>
        <v>686.766241074699</v>
      </c>
      <c r="M496" s="396" t="n">
        <f aca="false">IF(AND(L495&gt;L_rampe,G496&gt;0),ATAN2(G496,H496),$M$4)</f>
        <v>-1.46350188711931</v>
      </c>
      <c r="N496" s="397" t="n">
        <f aca="false">DEGREES(Beta)</f>
        <v>-83.8524814413681</v>
      </c>
      <c r="P496" s="399" t="n">
        <f aca="false">MATCH(t-pas/2-T_ini,CdP_t)</f>
        <v>23</v>
      </c>
      <c r="Q496" s="397" t="n">
        <f aca="false">(INDEX(CdP,2,i_P+1)-INDEX(CdP,2,i_P+0))/(INDEX(CdP,1,i_P+1)-INDEX(CdP,1,i_P+0))*(t-pas/2-T_ini-INDEX(CdP,1,i_P+0))+INDEX(CdP,2,i_P+0)</f>
        <v>0</v>
      </c>
      <c r="R496" s="396" t="n">
        <f aca="false">Poussee/(g*ISP)</f>
        <v>0</v>
      </c>
      <c r="S496" s="398" t="n">
        <f aca="false">S495-Débit*pas</f>
        <v>8.45</v>
      </c>
      <c r="T496" s="397" t="n">
        <f aca="false">m*g</f>
        <v>82.8945</v>
      </c>
      <c r="U496" s="400" t="n">
        <f aca="false">IF(pos_xz&lt;L_rampe,Poids*COS(Beta),0)</f>
        <v>0</v>
      </c>
      <c r="V496" s="396" t="n">
        <f aca="false">Rho_moyen*(20000-Alt_rampe-pos_z)/(20000+Alt_rampe+pos_z)</f>
        <v>1.21352161454391</v>
      </c>
      <c r="W496" s="397" t="n">
        <f aca="false">1/2*Rho*Sref*Cx*vit_xz^2</f>
        <v>58.895903764826</v>
      </c>
      <c r="Y496" s="401" t="str">
        <f aca="false">IF(AND(pos_z&lt;=0,K495&gt;0),"Impact balistique","") &amp; IF(AND(H497&lt;0,vit_z&gt;=0),"Apogée","") &amp; IF(AND(Poussee=0,Q495&gt;0),"Fin de propulsion","") &amp; IF(AND(L497&gt;L_rampe,pos_xz&lt;=L_rampe),"Sortie de rampe","")</f>
        <v/>
      </c>
      <c r="Z496" s="402" t="str">
        <f aca="false">IF(ABS(t-T_para)&lt;pas/2,"Para","")</f>
        <v/>
      </c>
      <c r="AA496" s="403" t="str">
        <f aca="false">IF(ABS(t-T_satellite)&lt;pas/2,"Satellite","")</f>
        <v/>
      </c>
      <c r="AC496" s="399" t="e">
        <f aca="false">IF(ABS(t-ROUND(t,0))&lt;0.001,t,NA())</f>
        <v>#N/A</v>
      </c>
      <c r="AD496" s="404" t="e">
        <f aca="false">IF(ABS(t-ROUND(t,0))&lt;0.001,pos_x,NA())</f>
        <v>#N/A</v>
      </c>
      <c r="AE496" s="405" t="e">
        <f aca="false">IF(t&lt;T_para, pos_z, NA())</f>
        <v>#N/A</v>
      </c>
      <c r="AG496" s="396" t="n">
        <f aca="false">IF(AND(L495&lt;L_rampe,Poussee&lt;Poids*SIN(M495)),0,(-W495+Poussee)/m-Poids*SIN(M495)/m)</f>
        <v>2.82512998060896</v>
      </c>
      <c r="AH496" s="397" t="n">
        <f aca="false">IF(AND(L495&lt;L_rampe,Poussee&lt;Poids*SIN(M495)), g*SIN(M495), (-W495+Poussee)/m)</f>
        <v>-6.92747288620657</v>
      </c>
    </row>
    <row r="497" customFormat="false" ht="12.75" hidden="false" customHeight="false" outlineLevel="0" collapsed="false">
      <c r="A497" s="396" t="n">
        <f aca="false">IF(B496+0.01&lt;=T_ini+ROUNDUP(Temps_fin_propu,0), 0.01, IF(K496&gt;0, 0.1, 0.0001))</f>
        <v>0.1</v>
      </c>
      <c r="B497" s="397" t="n">
        <f aca="false">B496+pas</f>
        <v>31.3000000000002</v>
      </c>
      <c r="D497" s="396" t="n">
        <f aca="false">IF(AND(L496&lt;L_rampe,Poussee&lt;Poids*SIN(M496)),0,(-W496+Poussee)/m*COS(M496)-U496/m*SIN(M496))</f>
        <v>-0.746400641963401</v>
      </c>
      <c r="E497" s="398" t="n">
        <f aca="false">IF(AND(L496&lt;L_rampe,Poussee&lt;Poids*SIN(M496)),0,(-W496+Poussee)/m*SIN(M496)+U496/m*COS(M496)-Poids/m)</f>
        <v>-2.88015133823118</v>
      </c>
      <c r="F497" s="397" t="n">
        <f aca="false">SQRT(acc_x^2+acc_z^2)</f>
        <v>2.9752958927539</v>
      </c>
      <c r="G497" s="396" t="n">
        <f aca="false">G496+acc_x*pas</f>
        <v>12.0871817591884</v>
      </c>
      <c r="H497" s="398" t="n">
        <f aca="false">H496+acc_z*pas</f>
        <v>-113.202688499801</v>
      </c>
      <c r="I497" s="397" t="n">
        <f aca="false">SQRT(vit_x^2+vit_z^2)</f>
        <v>113.846162194703</v>
      </c>
      <c r="J497" s="396" t="n">
        <f aca="false">J496+0.5*(vit_x+G496)*pas*(K496&gt;=0)</f>
        <v>681.49556937905</v>
      </c>
      <c r="K497" s="398" t="n">
        <f aca="false">K496+0.5*(vit_z+H496)*pas</f>
        <v>82.8362989281763</v>
      </c>
      <c r="L497" s="397" t="n">
        <f aca="false">SQRT(pos_x^2+pos_z^2)</f>
        <v>686.511517385829</v>
      </c>
      <c r="M497" s="396" t="n">
        <f aca="false">IF(AND(L496&gt;L_rampe,G497&gt;0),ATAN2(G497,H497),$M$4)</f>
        <v>-1.46442465888288</v>
      </c>
      <c r="N497" s="397" t="n">
        <f aca="false">DEGREES(Beta)</f>
        <v>-83.9053523688745</v>
      </c>
      <c r="P497" s="399" t="n">
        <f aca="false">MATCH(t-pas/2-T_ini,CdP_t)</f>
        <v>23</v>
      </c>
      <c r="Q497" s="397" t="n">
        <f aca="false">(INDEX(CdP,2,i_P+1)-INDEX(CdP,2,i_P+0))/(INDEX(CdP,1,i_P+1)-INDEX(CdP,1,i_P+0))*(t-pas/2-T_ini-INDEX(CdP,1,i_P+0))+INDEX(CdP,2,i_P+0)</f>
        <v>0</v>
      </c>
      <c r="R497" s="396" t="n">
        <f aca="false">Poussee/(g*ISP)</f>
        <v>0</v>
      </c>
      <c r="S497" s="398" t="n">
        <f aca="false">S496-Débit*pas</f>
        <v>8.45</v>
      </c>
      <c r="T497" s="397" t="n">
        <f aca="false">m*g</f>
        <v>82.8945</v>
      </c>
      <c r="U497" s="400" t="n">
        <f aca="false">IF(pos_xz&lt;L_rampe,Poids*COS(Beta),0)</f>
        <v>0</v>
      </c>
      <c r="V497" s="396" t="n">
        <f aca="false">Rho_moyen*(20000-Alt_rampe-pos_z)/(20000+Alt_rampe+pos_z)</f>
        <v>1.21489440886968</v>
      </c>
      <c r="W497" s="397" t="n">
        <f aca="false">1/2*Rho*Sref*Cx*vit_xz^2</f>
        <v>59.2519803414545</v>
      </c>
      <c r="Y497" s="401" t="str">
        <f aca="false">IF(AND(pos_z&lt;=0,K496&gt;0),"Impact balistique","") &amp; IF(AND(H498&lt;0,vit_z&gt;=0),"Apogée","") &amp; IF(AND(Poussee=0,Q496&gt;0),"Fin de propulsion","") &amp; IF(AND(L498&gt;L_rampe,pos_xz&lt;=L_rampe),"Sortie de rampe","")</f>
        <v/>
      </c>
      <c r="Z497" s="402" t="str">
        <f aca="false">IF(ABS(t-T_para)&lt;pas/2,"Para","")</f>
        <v/>
      </c>
      <c r="AA497" s="403" t="str">
        <f aca="false">IF(ABS(t-T_satellite)&lt;pas/2,"Satellite","")</f>
        <v/>
      </c>
      <c r="AC497" s="399" t="e">
        <f aca="false">IF(ABS(t-ROUND(t,0))&lt;0.001,t,NA())</f>
        <v>#N/A</v>
      </c>
      <c r="AD497" s="404" t="e">
        <f aca="false">IF(ABS(t-ROUND(t,0))&lt;0.001,pos_x,NA())</f>
        <v>#N/A</v>
      </c>
      <c r="AE497" s="405" t="e">
        <f aca="false">IF(t&lt;T_para, pos_z, NA())</f>
        <v>#N/A</v>
      </c>
      <c r="AG497" s="396" t="n">
        <f aca="false">IF(AND(L496&lt;L_rampe,Poussee&lt;Poids*SIN(M496)),0,(-W496+Poussee)/m-Poids*SIN(M496)/m)</f>
        <v>2.78365787583285</v>
      </c>
      <c r="AH497" s="397" t="n">
        <f aca="false">IF(AND(L496&lt;L_rampe,Poussee&lt;Poids*SIN(M496)), g*SIN(M496), (-W496+Poussee)/m)</f>
        <v>-6.96992943962437</v>
      </c>
    </row>
    <row r="498" customFormat="false" ht="12.75" hidden="false" customHeight="false" outlineLevel="0" collapsed="false">
      <c r="A498" s="396" t="n">
        <f aca="false">IF(B497+0.01&lt;=T_ini+ROUNDUP(Temps_fin_propu,0), 0.01, IF(K497&gt;0, 0.1, 0.0001))</f>
        <v>0.1</v>
      </c>
      <c r="B498" s="397" t="n">
        <f aca="false">B497+pas</f>
        <v>31.4000000000002</v>
      </c>
      <c r="D498" s="396" t="n">
        <f aca="false">IF(AND(L497&lt;L_rampe,Poussee&lt;Poids*SIN(M497)),0,(-W497+Poussee)/m*COS(M497)-U497/m*SIN(M497))</f>
        <v>-0.744479629375804</v>
      </c>
      <c r="E498" s="398" t="n">
        <f aca="false">IF(AND(L497&lt;L_rampe,Poussee&lt;Poids*SIN(M497)),0,(-W497+Poussee)/m*SIN(M497)+U497/m*COS(M497)-Poids/m)</f>
        <v>-2.83756446806875</v>
      </c>
      <c r="F498" s="397" t="n">
        <f aca="false">SQRT(acc_x^2+acc_z^2)</f>
        <v>2.93360222746742</v>
      </c>
      <c r="G498" s="396" t="n">
        <f aca="false">G497+acc_x*pas</f>
        <v>12.0127337962508</v>
      </c>
      <c r="H498" s="398" t="n">
        <f aca="false">H497+acc_z*pas</f>
        <v>-113.486444946608</v>
      </c>
      <c r="I498" s="397" t="n">
        <f aca="false">SQRT(vit_x^2+vit_z^2)</f>
        <v>114.120458112816</v>
      </c>
      <c r="J498" s="396" t="n">
        <f aca="false">J497+0.5*(vit_x+G497)*pas*(K497&gt;=0)</f>
        <v>682.700565156822</v>
      </c>
      <c r="K498" s="398" t="n">
        <f aca="false">K497+0.5*(vit_z+H497)*pas</f>
        <v>71.5018422558558</v>
      </c>
      <c r="L498" s="397" t="n">
        <f aca="false">SQRT(pos_x^2+pos_z^2)</f>
        <v>686.434683791127</v>
      </c>
      <c r="M498" s="396" t="n">
        <f aca="false">IF(AND(L497&gt;L_rampe,G498&gt;0),ATAN2(G498,H498),$M$4)</f>
        <v>-1.46533732561276</v>
      </c>
      <c r="N498" s="397" t="n">
        <f aca="false">DEGREES(Beta)</f>
        <v>-83.9576443205986</v>
      </c>
      <c r="P498" s="399" t="n">
        <f aca="false">MATCH(t-pas/2-T_ini,CdP_t)</f>
        <v>23</v>
      </c>
      <c r="Q498" s="397" t="n">
        <f aca="false">(INDEX(CdP,2,i_P+1)-INDEX(CdP,2,i_P+0))/(INDEX(CdP,1,i_P+1)-INDEX(CdP,1,i_P+0))*(t-pas/2-T_ini-INDEX(CdP,1,i_P+0))+INDEX(CdP,2,i_P+0)</f>
        <v>0</v>
      </c>
      <c r="R498" s="396" t="n">
        <f aca="false">Poussee/(g*ISP)</f>
        <v>0</v>
      </c>
      <c r="S498" s="398" t="n">
        <f aca="false">S497-Débit*pas</f>
        <v>8.45</v>
      </c>
      <c r="T498" s="397" t="n">
        <f aca="false">m*g</f>
        <v>82.8945</v>
      </c>
      <c r="U498" s="400" t="n">
        <f aca="false">IF(pos_xz&lt;L_rampe,Poids*COS(Beta),0)</f>
        <v>0</v>
      </c>
      <c r="V498" s="396" t="n">
        <f aca="false">Rho_moyen*(20000-Alt_rampe-pos_z)/(20000+Alt_rampe+pos_z)</f>
        <v>1.21627222691637</v>
      </c>
      <c r="W498" s="397" t="n">
        <f aca="false">1/2*Rho*Sref*Cx*vit_xz^2</f>
        <v>59.6053646869579</v>
      </c>
      <c r="Y498" s="401" t="str">
        <f aca="false">IF(AND(pos_z&lt;=0,K497&gt;0),"Impact balistique","") &amp; IF(AND(H499&lt;0,vit_z&gt;=0),"Apogée","") &amp; IF(AND(Poussee=0,Q497&gt;0),"Fin de propulsion","") &amp; IF(AND(L499&gt;L_rampe,pos_xz&lt;=L_rampe),"Sortie de rampe","")</f>
        <v/>
      </c>
      <c r="Z498" s="402" t="str">
        <f aca="false">IF(ABS(t-T_para)&lt;pas/2,"Para","")</f>
        <v/>
      </c>
      <c r="AA498" s="403" t="str">
        <f aca="false">IF(ABS(t-T_satellite)&lt;pas/2,"Satellite","")</f>
        <v/>
      </c>
      <c r="AC498" s="399" t="e">
        <f aca="false">IF(ABS(t-ROUND(t,0))&lt;0.001,t,NA())</f>
        <v>#N/A</v>
      </c>
      <c r="AD498" s="404" t="e">
        <f aca="false">IF(ABS(t-ROUND(t,0))&lt;0.001,pos_x,NA())</f>
        <v>#N/A</v>
      </c>
      <c r="AE498" s="405" t="e">
        <f aca="false">IF(t&lt;T_para, pos_z, NA())</f>
        <v>#N/A</v>
      </c>
      <c r="AG498" s="396" t="n">
        <f aca="false">IF(AND(L497&lt;L_rampe,Poussee&lt;Poids*SIN(M497)),0,(-W497+Poussee)/m-Poids*SIN(M497)/m)</f>
        <v>2.74248389196152</v>
      </c>
      <c r="AH498" s="397" t="n">
        <f aca="false">IF(AND(L497&lt;L_rampe,Poussee&lt;Poids*SIN(M497)), g*SIN(M497), (-W497+Poussee)/m)</f>
        <v>-7.01206867946207</v>
      </c>
    </row>
    <row r="499" customFormat="false" ht="12.75" hidden="false" customHeight="false" outlineLevel="0" collapsed="false">
      <c r="A499" s="396" t="n">
        <f aca="false">IF(B498+0.01&lt;=T_ini+ROUNDUP(Temps_fin_propu,0), 0.01, IF(K498&gt;0, 0.1, 0.0001))</f>
        <v>0.1</v>
      </c>
      <c r="B499" s="397" t="n">
        <f aca="false">B498+pas</f>
        <v>31.5000000000002</v>
      </c>
      <c r="D499" s="396" t="n">
        <f aca="false">IF(AND(L498&lt;L_rampe,Poussee&lt;Poids*SIN(M498)),0,(-W498+Poussee)/m*COS(M498)-U498/m*SIN(M498))</f>
        <v>-0.742518001901989</v>
      </c>
      <c r="E499" s="398" t="n">
        <f aca="false">IF(AND(L498&lt;L_rampe,Poussee&lt;Poids*SIN(M498)),0,(-W498+Poussee)/m*SIN(M498)+U498/m*COS(M498)-Poids/m)</f>
        <v>-2.79529961839205</v>
      </c>
      <c r="F499" s="397" t="n">
        <f aca="false">SQRT(acc_x^2+acc_z^2)</f>
        <v>2.89223666730979</v>
      </c>
      <c r="G499" s="396" t="n">
        <f aca="false">G498+acc_x*pas</f>
        <v>11.9384819960606</v>
      </c>
      <c r="H499" s="398" t="n">
        <f aca="false">H498+acc_z*pas</f>
        <v>-113.765974908447</v>
      </c>
      <c r="I499" s="397" t="n">
        <f aca="false">SQRT(vit_x^2+vit_z^2)</f>
        <v>114.390665699783</v>
      </c>
      <c r="J499" s="396" t="n">
        <f aca="false">J498+0.5*(vit_x+G498)*pas*(K498&gt;=0)</f>
        <v>683.898125946437</v>
      </c>
      <c r="K499" s="398" t="n">
        <f aca="false">K498+0.5*(vit_z+H498)*pas</f>
        <v>60.1392212631031</v>
      </c>
      <c r="L499" s="397" t="n">
        <f aca="false">SQRT(pos_x^2+pos_z^2)</f>
        <v>686.537233227144</v>
      </c>
      <c r="M499" s="396" t="n">
        <f aca="false">IF(AND(L498&gt;L_rampe,G499&gt;0),ATAN2(G499,H499),$M$4)</f>
        <v>-1.46624005343096</v>
      </c>
      <c r="N499" s="397" t="n">
        <f aca="false">DEGREES(Beta)</f>
        <v>-84.0093668146306</v>
      </c>
      <c r="P499" s="399" t="n">
        <f aca="false">MATCH(t-pas/2-T_ini,CdP_t)</f>
        <v>23</v>
      </c>
      <c r="Q499" s="397" t="n">
        <f aca="false">(INDEX(CdP,2,i_P+1)-INDEX(CdP,2,i_P+0))/(INDEX(CdP,1,i_P+1)-INDEX(CdP,1,i_P+0))*(t-pas/2-T_ini-INDEX(CdP,1,i_P+0))+INDEX(CdP,2,i_P+0)</f>
        <v>0</v>
      </c>
      <c r="R499" s="396" t="n">
        <f aca="false">Poussee/(g*ISP)</f>
        <v>0</v>
      </c>
      <c r="S499" s="398" t="n">
        <f aca="false">S498-Débit*pas</f>
        <v>8.45</v>
      </c>
      <c r="T499" s="397" t="n">
        <f aca="false">m*g</f>
        <v>82.8945</v>
      </c>
      <c r="U499" s="400" t="n">
        <f aca="false">IF(pos_xz&lt;L_rampe,Poids*COS(Beta),0)</f>
        <v>0</v>
      </c>
      <c r="V499" s="396" t="n">
        <f aca="false">Rho_moyen*(20000-Alt_rampe-pos_z)/(20000+Alt_rampe+pos_z)</f>
        <v>1.21765503142977</v>
      </c>
      <c r="W499" s="397" t="n">
        <f aca="false">1/2*Rho*Sref*Cx*vit_xz^2</f>
        <v>59.9560467052333</v>
      </c>
      <c r="Y499" s="401" t="str">
        <f aca="false">IF(AND(pos_z&lt;=0,K498&gt;0),"Impact balistique","") &amp; IF(AND(H500&lt;0,vit_z&gt;=0),"Apogée","") &amp; IF(AND(Poussee=0,Q498&gt;0),"Fin de propulsion","") &amp; IF(AND(L500&gt;L_rampe,pos_xz&lt;=L_rampe),"Sortie de rampe","")</f>
        <v/>
      </c>
      <c r="Z499" s="402" t="str">
        <f aca="false">IF(ABS(t-T_para)&lt;pas/2,"Para","")</f>
        <v/>
      </c>
      <c r="AA499" s="403" t="str">
        <f aca="false">IF(ABS(t-T_satellite)&lt;pas/2,"Satellite","")</f>
        <v/>
      </c>
      <c r="AC499" s="399" t="e">
        <f aca="false">IF(ABS(t-ROUND(t,0))&lt;0.001,t,NA())</f>
        <v>#N/A</v>
      </c>
      <c r="AD499" s="404" t="e">
        <f aca="false">IF(ABS(t-ROUND(t,0))&lt;0.001,pos_x,NA())</f>
        <v>#N/A</v>
      </c>
      <c r="AE499" s="405" t="e">
        <f aca="false">IF(t&lt;T_para, pos_z, NA())</f>
        <v>#N/A</v>
      </c>
      <c r="AG499" s="396" t="n">
        <f aca="false">IF(AND(L498&lt;L_rampe,Poussee&lt;Poids*SIN(M498)),0,(-W498+Poussee)/m-Poids*SIN(M498)/m)</f>
        <v>2.70160977492191</v>
      </c>
      <c r="AH499" s="397" t="n">
        <f aca="false">IF(AND(L498&lt;L_rampe,Poussee&lt;Poids*SIN(M498)), g*SIN(M498), (-W498+Poussee)/m)</f>
        <v>-7.05388931206602</v>
      </c>
    </row>
    <row r="500" customFormat="false" ht="12.75" hidden="false" customHeight="false" outlineLevel="0" collapsed="false">
      <c r="A500" s="396" t="n">
        <f aca="false">IF(B499+0.01&lt;=T_ini+ROUNDUP(Temps_fin_propu,0), 0.01, IF(K499&gt;0, 0.1, 0.0001))</f>
        <v>0.1</v>
      </c>
      <c r="B500" s="397" t="n">
        <f aca="false">B499+pas</f>
        <v>31.6000000000002</v>
      </c>
      <c r="D500" s="396" t="n">
        <f aca="false">IF(AND(L499&lt;L_rampe,Poussee&lt;Poids*SIN(M499)),0,(-W499+Poussee)/m*COS(M499)-U499/m*SIN(M499))</f>
        <v>-0.740516605569403</v>
      </c>
      <c r="E500" s="398" t="n">
        <f aca="false">IF(AND(L499&lt;L_rampe,Poussee&lt;Poids*SIN(M499)),0,(-W499+Poussee)/m*SIN(M499)+U499/m*COS(M499)-Poids/m)</f>
        <v>-2.7533579917199</v>
      </c>
      <c r="F500" s="397" t="n">
        <f aca="false">SQRT(acc_x^2+acc_z^2)</f>
        <v>2.85120063722142</v>
      </c>
      <c r="G500" s="396" t="n">
        <f aca="false">G499+acc_x*pas</f>
        <v>11.8644303355037</v>
      </c>
      <c r="H500" s="398" t="n">
        <f aca="false">H499+acc_z*pas</f>
        <v>-114.041310707619</v>
      </c>
      <c r="I500" s="397" t="n">
        <f aca="false">SQRT(vit_x^2+vit_z^2)</f>
        <v>114.656815127133</v>
      </c>
      <c r="J500" s="396" t="n">
        <f aca="false">J499+0.5*(vit_x+G499)*pas*(K499&gt;=0)</f>
        <v>685.088271563015</v>
      </c>
      <c r="K500" s="398" t="n">
        <f aca="false">K499+0.5*(vit_z+H499)*pas</f>
        <v>48.7488569822998</v>
      </c>
      <c r="L500" s="397" t="n">
        <f aca="false">SQRT(pos_x^2+pos_z^2)</f>
        <v>686.820493935847</v>
      </c>
      <c r="M500" s="396" t="n">
        <f aca="false">IF(AND(L499&gt;L_rampe,G500&gt;0),ATAN2(G500,H500),$M$4)</f>
        <v>-1.46713300460478</v>
      </c>
      <c r="N500" s="397" t="n">
        <f aca="false">DEGREES(Beta)</f>
        <v>-84.0605291482016</v>
      </c>
      <c r="P500" s="399" t="n">
        <f aca="false">MATCH(t-pas/2-T_ini,CdP_t)</f>
        <v>23</v>
      </c>
      <c r="Q500" s="397" t="n">
        <f aca="false">(INDEX(CdP,2,i_P+1)-INDEX(CdP,2,i_P+0))/(INDEX(CdP,1,i_P+1)-INDEX(CdP,1,i_P+0))*(t-pas/2-T_ini-INDEX(CdP,1,i_P+0))+INDEX(CdP,2,i_P+0)</f>
        <v>0</v>
      </c>
      <c r="R500" s="396" t="n">
        <f aca="false">Poussee/(g*ISP)</f>
        <v>0</v>
      </c>
      <c r="S500" s="398" t="n">
        <f aca="false">S499-Débit*pas</f>
        <v>8.45</v>
      </c>
      <c r="T500" s="397" t="n">
        <f aca="false">m*g</f>
        <v>82.8945</v>
      </c>
      <c r="U500" s="400" t="n">
        <f aca="false">IF(pos_xz&lt;L_rampe,Poids*COS(Beta),0)</f>
        <v>0</v>
      </c>
      <c r="V500" s="396" t="n">
        <f aca="false">Rho_moyen*(20000-Alt_rampe-pos_z)/(20000+Alt_rampe+pos_z)</f>
        <v>1.21904278538982</v>
      </c>
      <c r="W500" s="397" t="n">
        <f aca="false">1/2*Rho*Sref*Cx*vit_xz^2</f>
        <v>60.3040171214441</v>
      </c>
      <c r="Y500" s="401" t="str">
        <f aca="false">IF(AND(pos_z&lt;=0,K499&gt;0),"Impact balistique","") &amp; IF(AND(H501&lt;0,vit_z&gt;=0),"Apogée","") &amp; IF(AND(Poussee=0,Q499&gt;0),"Fin de propulsion","") &amp; IF(AND(L501&gt;L_rampe,pos_xz&lt;=L_rampe),"Sortie de rampe","")</f>
        <v/>
      </c>
      <c r="Z500" s="402" t="str">
        <f aca="false">IF(ABS(t-T_para)&lt;pas/2,"Para","")</f>
        <v/>
      </c>
      <c r="AA500" s="403" t="str">
        <f aca="false">IF(ABS(t-T_satellite)&lt;pas/2,"Satellite","")</f>
        <v/>
      </c>
      <c r="AC500" s="399" t="e">
        <f aca="false">IF(ABS(t-ROUND(t,0))&lt;0.001,t,NA())</f>
        <v>#N/A</v>
      </c>
      <c r="AD500" s="404" t="e">
        <f aca="false">IF(ABS(t-ROUND(t,0))&lt;0.001,pos_x,NA())</f>
        <v>#N/A</v>
      </c>
      <c r="AE500" s="405" t="e">
        <f aca="false">IF(t&lt;T_para, pos_z, NA())</f>
        <v>#N/A</v>
      </c>
      <c r="AG500" s="396" t="n">
        <f aca="false">IF(AND(L499&lt;L_rampe,Poussee&lt;Poids*SIN(M499)),0,(-W499+Poussee)/m-Poids*SIN(M499)/m)</f>
        <v>2.66103715870918</v>
      </c>
      <c r="AH500" s="397" t="n">
        <f aca="false">IF(AND(L499&lt;L_rampe,Poussee&lt;Poids*SIN(M499)), g*SIN(M499), (-W499+Poussee)/m)</f>
        <v>-7.09539014263117</v>
      </c>
    </row>
    <row r="501" customFormat="false" ht="12.75" hidden="false" customHeight="false" outlineLevel="0" collapsed="false">
      <c r="A501" s="396" t="n">
        <f aca="false">IF(B500+0.01&lt;=T_ini+ROUNDUP(Temps_fin_propu,0), 0.01, IF(K500&gt;0, 0.1, 0.0001))</f>
        <v>0.1</v>
      </c>
      <c r="B501" s="397" t="n">
        <f aca="false">B500+pas</f>
        <v>31.7000000000002</v>
      </c>
      <c r="D501" s="396" t="n">
        <f aca="false">IF(AND(L500&lt;L_rampe,Poussee&lt;Poids*SIN(M500)),0,(-W500+Poussee)/m*COS(M500)-U500/m*SIN(M500))</f>
        <v>-0.738476281397788</v>
      </c>
      <c r="E501" s="398" t="n">
        <f aca="false">IF(AND(L500&lt;L_rampe,Poussee&lt;Poids*SIN(M500)),0,(-W500+Poussee)/m*SIN(M500)+U500/m*COS(M500)-Poids/m)</f>
        <v>-2.71174069250692</v>
      </c>
      <c r="F501" s="397" t="n">
        <f aca="false">SQRT(acc_x^2+acc_z^2)</f>
        <v>2.81049547261421</v>
      </c>
      <c r="G501" s="396" t="n">
        <f aca="false">G500+acc_x*pas</f>
        <v>11.7905827073639</v>
      </c>
      <c r="H501" s="398" t="n">
        <f aca="false">H500+acc_z*pas</f>
        <v>-114.312484776869</v>
      </c>
      <c r="I501" s="397" t="n">
        <f aca="false">SQRT(vit_x^2+vit_z^2)</f>
        <v>114.918936718198</v>
      </c>
      <c r="J501" s="396" t="n">
        <f aca="false">J500+0.5*(vit_x+G500)*pas*(K500&gt;=0)</f>
        <v>686.271022215159</v>
      </c>
      <c r="K501" s="398" t="n">
        <f aca="false">K500+0.5*(vit_z+H500)*pas</f>
        <v>37.3311672080754</v>
      </c>
      <c r="L501" s="397" t="n">
        <f aca="false">SQRT(pos_x^2+pos_z^2)</f>
        <v>687.285626197257</v>
      </c>
      <c r="M501" s="396" t="n">
        <f aca="false">IF(AND(L500&gt;L_rampe,G501&gt;0),ATAN2(G501,H501),$M$4)</f>
        <v>-1.46801633765784</v>
      </c>
      <c r="N501" s="397" t="n">
        <f aca="false">DEGREES(Beta)</f>
        <v>-84.1111404040464</v>
      </c>
      <c r="P501" s="399" t="n">
        <f aca="false">MATCH(t-pas/2-T_ini,CdP_t)</f>
        <v>23</v>
      </c>
      <c r="Q501" s="397" t="n">
        <f aca="false">(INDEX(CdP,2,i_P+1)-INDEX(CdP,2,i_P+0))/(INDEX(CdP,1,i_P+1)-INDEX(CdP,1,i_P+0))*(t-pas/2-T_ini-INDEX(CdP,1,i_P+0))+INDEX(CdP,2,i_P+0)</f>
        <v>0</v>
      </c>
      <c r="R501" s="396" t="n">
        <f aca="false">Poussee/(g*ISP)</f>
        <v>0</v>
      </c>
      <c r="S501" s="398" t="n">
        <f aca="false">S500-Débit*pas</f>
        <v>8.45</v>
      </c>
      <c r="T501" s="397" t="n">
        <f aca="false">m*g</f>
        <v>82.8945</v>
      </c>
      <c r="U501" s="400" t="n">
        <f aca="false">IF(pos_xz&lt;L_rampe,Poids*COS(Beta),0)</f>
        <v>0</v>
      </c>
      <c r="V501" s="396" t="n">
        <f aca="false">Rho_moyen*(20000-Alt_rampe-pos_z)/(20000+Alt_rampe+pos_z)</f>
        <v>1.22043545201222</v>
      </c>
      <c r="W501" s="397" t="n">
        <f aca="false">1/2*Rho*Sref*Cx*vit_xz^2</f>
        <v>60.6492674679637</v>
      </c>
      <c r="Y501" s="401" t="str">
        <f aca="false">IF(AND(pos_z&lt;=0,K500&gt;0),"Impact balistique","") &amp; IF(AND(H502&lt;0,vit_z&gt;=0),"Apogée","") &amp; IF(AND(Poussee=0,Q500&gt;0),"Fin de propulsion","") &amp; IF(AND(L502&gt;L_rampe,pos_xz&lt;=L_rampe),"Sortie de rampe","")</f>
        <v/>
      </c>
      <c r="Z501" s="402" t="str">
        <f aca="false">IF(ABS(t-T_para)&lt;pas/2,"Para","")</f>
        <v/>
      </c>
      <c r="AA501" s="403" t="str">
        <f aca="false">IF(ABS(t-T_satellite)&lt;pas/2,"Satellite","")</f>
        <v/>
      </c>
      <c r="AC501" s="399" t="e">
        <f aca="false">IF(ABS(t-ROUND(t,0))&lt;0.001,t,NA())</f>
        <v>#N/A</v>
      </c>
      <c r="AD501" s="404" t="e">
        <f aca="false">IF(ABS(t-ROUND(t,0))&lt;0.001,pos_x,NA())</f>
        <v>#N/A</v>
      </c>
      <c r="AE501" s="405" t="e">
        <f aca="false">IF(t&lt;T_para, pos_z, NA())</f>
        <v>#N/A</v>
      </c>
      <c r="AG501" s="396" t="n">
        <f aca="false">IF(AND(L500&lt;L_rampe,Poussee&lt;Poids*SIN(M500)),0,(-W500+Poussee)/m-Poids*SIN(M500)/m)</f>
        <v>2.62076756749628</v>
      </c>
      <c r="AH501" s="397" t="n">
        <f aca="false">IF(AND(L500&lt;L_rampe,Poussee&lt;Poids*SIN(M500)), g*SIN(M500), (-W500+Poussee)/m)</f>
        <v>-7.13657007354368</v>
      </c>
    </row>
    <row r="502" customFormat="false" ht="12.75" hidden="false" customHeight="false" outlineLevel="0" collapsed="false">
      <c r="A502" s="396" t="n">
        <f aca="false">IF(B501+0.01&lt;=T_ini+ROUNDUP(Temps_fin_propu,0), 0.01, IF(K501&gt;0, 0.1, 0.0001))</f>
        <v>0.1</v>
      </c>
      <c r="B502" s="397" t="n">
        <f aca="false">B501+pas</f>
        <v>31.8000000000002</v>
      </c>
      <c r="D502" s="396" t="n">
        <f aca="false">IF(AND(L501&lt;L_rampe,Poussee&lt;Poids*SIN(M501)),0,(-W501+Poussee)/m*COS(M501)-U501/m*SIN(M501))</f>
        <v>-0.73639786520796</v>
      </c>
      <c r="E502" s="398" t="n">
        <f aca="false">IF(AND(L501&lt;L_rampe,Poussee&lt;Poids*SIN(M501)),0,(-W501+Poussee)/m*SIN(M501)+U501/m*COS(M501)-Poids/m)</f>
        <v>-2.67044872882073</v>
      </c>
      <c r="F502" s="397" t="n">
        <f aca="false">SQRT(acc_x^2+acc_z^2)</f>
        <v>2.77012242132782</v>
      </c>
      <c r="G502" s="396" t="n">
        <f aca="false">G501+acc_x*pas</f>
        <v>11.7169429208431</v>
      </c>
      <c r="H502" s="398" t="n">
        <f aca="false">H501+acc_z*pas</f>
        <v>-114.579529649752</v>
      </c>
      <c r="I502" s="397" t="n">
        <f aca="false">SQRT(vit_x^2+vit_z^2)</f>
        <v>115.177060937361</v>
      </c>
      <c r="J502" s="396" t="n">
        <f aca="false">J501+0.5*(vit_x+G501)*pas*(K501&gt;=0)</f>
        <v>687.446398496569</v>
      </c>
      <c r="K502" s="398" t="n">
        <f aca="false">K501+0.5*(vit_z+H501)*pas</f>
        <v>25.8865664867444</v>
      </c>
      <c r="L502" s="397" t="n">
        <f aca="false">SQRT(pos_x^2+pos_z^2)</f>
        <v>687.933619712234</v>
      </c>
      <c r="M502" s="396" t="n">
        <f aca="false">IF(AND(L501&gt;L_rampe,G502&gt;0),ATAN2(G502,H502),$M$4)</f>
        <v>-1.4688902074774</v>
      </c>
      <c r="N502" s="397" t="n">
        <f aca="false">DEGREES(Beta)</f>
        <v>-84.1612094565508</v>
      </c>
      <c r="P502" s="399" t="n">
        <f aca="false">MATCH(t-pas/2-T_ini,CdP_t)</f>
        <v>23</v>
      </c>
      <c r="Q502" s="397" t="n">
        <f aca="false">(INDEX(CdP,2,i_P+1)-INDEX(CdP,2,i_P+0))/(INDEX(CdP,1,i_P+1)-INDEX(CdP,1,i_P+0))*(t-pas/2-T_ini-INDEX(CdP,1,i_P+0))+INDEX(CdP,2,i_P+0)</f>
        <v>0</v>
      </c>
      <c r="R502" s="396" t="n">
        <f aca="false">Poussee/(g*ISP)</f>
        <v>0</v>
      </c>
      <c r="S502" s="398" t="n">
        <f aca="false">S501-Débit*pas</f>
        <v>8.45</v>
      </c>
      <c r="T502" s="397" t="n">
        <f aca="false">m*g</f>
        <v>82.8945</v>
      </c>
      <c r="U502" s="400" t="n">
        <f aca="false">IF(pos_xz&lt;L_rampe,Poids*COS(Beta),0)</f>
        <v>0</v>
      </c>
      <c r="V502" s="396" t="n">
        <f aca="false">Rho_moyen*(20000-Alt_rampe-pos_z)/(20000+Alt_rampe+pos_z)</f>
        <v>1.22183299474997</v>
      </c>
      <c r="W502" s="397" t="n">
        <f aca="false">1/2*Rho*Sref*Cx*vit_xz^2</f>
        <v>60.9917900702784</v>
      </c>
      <c r="Y502" s="401" t="str">
        <f aca="false">IF(AND(pos_z&lt;=0,K501&gt;0),"Impact balistique","") &amp; IF(AND(H503&lt;0,vit_z&gt;=0),"Apogée","") &amp; IF(AND(Poussee=0,Q501&gt;0),"Fin de propulsion","") &amp; IF(AND(L503&gt;L_rampe,pos_xz&lt;=L_rampe),"Sortie de rampe","")</f>
        <v/>
      </c>
      <c r="Z502" s="402" t="str">
        <f aca="false">IF(ABS(t-T_para)&lt;pas/2,"Para","")</f>
        <v/>
      </c>
      <c r="AA502" s="403" t="str">
        <f aca="false">IF(ABS(t-T_satellite)&lt;pas/2,"Satellite","")</f>
        <v/>
      </c>
      <c r="AC502" s="399" t="e">
        <f aca="false">IF(ABS(t-ROUND(t,0))&lt;0.001,t,NA())</f>
        <v>#N/A</v>
      </c>
      <c r="AD502" s="404" t="e">
        <f aca="false">IF(ABS(t-ROUND(t,0))&lt;0.001,pos_x,NA())</f>
        <v>#N/A</v>
      </c>
      <c r="AE502" s="405" t="e">
        <f aca="false">IF(t&lt;T_para, pos_z, NA())</f>
        <v>#N/A</v>
      </c>
      <c r="AG502" s="396" t="n">
        <f aca="false">IF(AND(L501&lt;L_rampe,Poussee&lt;Poids*SIN(M501)),0,(-W501+Poussee)/m-Poids*SIN(M501)/m)</f>
        <v>2.5808024177316</v>
      </c>
      <c r="AH502" s="397" t="n">
        <f aca="false">IF(AND(L501&lt;L_rampe,Poussee&lt;Poids*SIN(M501)), g*SIN(M501), (-W501+Poussee)/m)</f>
        <v>-7.1774281027176</v>
      </c>
    </row>
    <row r="503" customFormat="false" ht="12.75" hidden="false" customHeight="false" outlineLevel="0" collapsed="false">
      <c r="A503" s="396" t="n">
        <f aca="false">IF(B502+0.01&lt;=T_ini+ROUNDUP(Temps_fin_propu,0), 0.01, IF(K502&gt;0, 0.1, 0.0001))</f>
        <v>0.1</v>
      </c>
      <c r="B503" s="397" t="n">
        <f aca="false">B502+pas</f>
        <v>31.9000000000002</v>
      </c>
      <c r="D503" s="396" t="n">
        <f aca="false">IF(AND(L502&lt;L_rampe,Poussee&lt;Poids*SIN(M502)),0,(-W502+Poussee)/m*COS(M502)-U502/m*SIN(M502))</f>
        <v>-0.734282187437875</v>
      </c>
      <c r="E503" s="398" t="n">
        <f aca="false">IF(AND(L502&lt;L_rampe,Poussee&lt;Poids*SIN(M502)),0,(-W502+Poussee)/m*SIN(M502)+U502/m*COS(M502)-Poids/m)</f>
        <v>-2.62948301402421</v>
      </c>
      <c r="F503" s="397" t="n">
        <f aca="false">SQRT(acc_x^2+acc_z^2)</f>
        <v>2.73008264560442</v>
      </c>
      <c r="G503" s="396" t="n">
        <f aca="false">G502+acc_x*pas</f>
        <v>11.6435147020993</v>
      </c>
      <c r="H503" s="398" t="n">
        <f aca="false">H502+acc_z*pas</f>
        <v>-114.842477951154</v>
      </c>
      <c r="I503" s="397" t="n">
        <f aca="false">SQRT(vit_x^2+vit_z^2)</f>
        <v>115.431218379515</v>
      </c>
      <c r="J503" s="396" t="n">
        <f aca="false">J502+0.5*(vit_x+G502)*pas*(K502&gt;=0)</f>
        <v>688.614421377716</v>
      </c>
      <c r="K503" s="398" t="n">
        <f aca="false">K502+0.5*(vit_z+H502)*pas</f>
        <v>14.4154661066991</v>
      </c>
      <c r="L503" s="397" t="n">
        <f aca="false">SQRT(pos_x^2+pos_z^2)</f>
        <v>688.76529165779</v>
      </c>
      <c r="M503" s="396" t="n">
        <f aca="false">IF(AND(L502&gt;L_rampe,G503&gt;0),ATAN2(G503,H503),$M$4)</f>
        <v>-1.46975476541801</v>
      </c>
      <c r="N503" s="397" t="n">
        <f aca="false">DEGREES(Beta)</f>
        <v>-84.2107449776922</v>
      </c>
      <c r="P503" s="399" t="n">
        <f aca="false">MATCH(t-pas/2-T_ini,CdP_t)</f>
        <v>23</v>
      </c>
      <c r="Q503" s="397" t="n">
        <f aca="false">(INDEX(CdP,2,i_P+1)-INDEX(CdP,2,i_P+0))/(INDEX(CdP,1,i_P+1)-INDEX(CdP,1,i_P+0))*(t-pas/2-T_ini-INDEX(CdP,1,i_P+0))+INDEX(CdP,2,i_P+0)</f>
        <v>0</v>
      </c>
      <c r="R503" s="396" t="n">
        <f aca="false">Poussee/(g*ISP)</f>
        <v>0</v>
      </c>
      <c r="S503" s="398" t="n">
        <f aca="false">S502-Débit*pas</f>
        <v>8.45</v>
      </c>
      <c r="T503" s="397" t="n">
        <f aca="false">m*g</f>
        <v>82.8945</v>
      </c>
      <c r="U503" s="400" t="n">
        <f aca="false">IF(pos_xz&lt;L_rampe,Poids*COS(Beta),0)</f>
        <v>0</v>
      </c>
      <c r="V503" s="396" t="n">
        <f aca="false">Rho_moyen*(20000-Alt_rampe-pos_z)/(20000+Alt_rampe+pos_z)</f>
        <v>1.22323537729487</v>
      </c>
      <c r="W503" s="397" t="n">
        <f aca="false">1/2*Rho*Sref*Cx*vit_xz^2</f>
        <v>61.3315780328589</v>
      </c>
      <c r="Y503" s="401" t="str">
        <f aca="false">IF(AND(pos_z&lt;=0,K502&gt;0),"Impact balistique","") &amp; IF(AND(H504&lt;0,vit_z&gt;=0),"Apogée","") &amp; IF(AND(Poussee=0,Q502&gt;0),"Fin de propulsion","") &amp; IF(AND(L504&gt;L_rampe,pos_xz&lt;=L_rampe),"Sortie de rampe","")</f>
        <v/>
      </c>
      <c r="Z503" s="402" t="str">
        <f aca="false">IF(ABS(t-T_para)&lt;pas/2,"Para","")</f>
        <v/>
      </c>
      <c r="AA503" s="403" t="str">
        <f aca="false">IF(ABS(t-T_satellite)&lt;pas/2,"Satellite","")</f>
        <v/>
      </c>
      <c r="AC503" s="399" t="e">
        <f aca="false">IF(ABS(t-ROUND(t,0))&lt;0.001,t,NA())</f>
        <v>#N/A</v>
      </c>
      <c r="AD503" s="404" t="e">
        <f aca="false">IF(ABS(t-ROUND(t,0))&lt;0.001,pos_x,NA())</f>
        <v>#N/A</v>
      </c>
      <c r="AE503" s="405" t="e">
        <f aca="false">IF(t&lt;T_para, pos_z, NA())</f>
        <v>#N/A</v>
      </c>
      <c r="AG503" s="396" t="n">
        <f aca="false">IF(AND(L502&lt;L_rampe,Poussee&lt;Poids*SIN(M502)),0,(-W502+Poussee)/m-Poids*SIN(M502)/m)</f>
        <v>2.54114302022413</v>
      </c>
      <c r="AH503" s="397" t="n">
        <f aca="false">IF(AND(L502&lt;L_rampe,Poussee&lt;Poids*SIN(M502)), g*SIN(M502), (-W502+Poussee)/m)</f>
        <v>-7.21796332192644</v>
      </c>
    </row>
    <row r="504" customFormat="false" ht="12.75" hidden="false" customHeight="false" outlineLevel="0" collapsed="false">
      <c r="A504" s="396" t="n">
        <f aca="false">IF(B503+0.01&lt;=T_ini+ROUNDUP(Temps_fin_propu,0), 0.01, IF(K503&gt;0, 0.1, 0.0001))</f>
        <v>0.1</v>
      </c>
      <c r="B504" s="397" t="n">
        <f aca="false">B503+pas</f>
        <v>32.0000000000002</v>
      </c>
      <c r="D504" s="396" t="n">
        <f aca="false">IF(AND(L503&lt;L_rampe,Poussee&lt;Poids*SIN(M503)),0,(-W503+Poussee)/m*COS(M503)-U503/m*SIN(M503))</f>
        <v>-0.732130072965914</v>
      </c>
      <c r="E504" s="398" t="n">
        <f aca="false">IF(AND(L503&lt;L_rampe,Poussee&lt;Poids*SIN(M503)),0,(-W503+Poussee)/m*SIN(M503)+U503/m*COS(M503)-Poids/m)</f>
        <v>-2.58884436846158</v>
      </c>
      <c r="F504" s="397" t="n">
        <f aca="false">SQRT(acc_x^2+acc_z^2)</f>
        <v>2.69037722408147</v>
      </c>
      <c r="G504" s="396" t="n">
        <f aca="false">G503+acc_x*pas</f>
        <v>11.5703016948027</v>
      </c>
      <c r="H504" s="398" t="n">
        <f aca="false">H503+acc_z*pas</f>
        <v>-115.101362388</v>
      </c>
      <c r="I504" s="397" t="n">
        <f aca="false">SQRT(vit_x^2+vit_z^2)</f>
        <v>115.681439759723</v>
      </c>
      <c r="J504" s="396" t="n">
        <f aca="false">J503+0.5*(vit_x+G503)*pas*(K503&gt;=0)</f>
        <v>689.775112197561</v>
      </c>
      <c r="K504" s="398" t="n">
        <f aca="false">K503+0.5*(vit_z+H503)*pas</f>
        <v>2.91827408974138</v>
      </c>
      <c r="L504" s="397" t="n">
        <f aca="false">SQRT(pos_x^2+pos_z^2)</f>
        <v>689.781285430984</v>
      </c>
      <c r="M504" s="396" t="n">
        <f aca="false">IF(AND(L503&gt;L_rampe,G504&gt;0),ATAN2(G504,H504),$M$4)</f>
        <v>-1.47061015940173</v>
      </c>
      <c r="N504" s="397" t="n">
        <f aca="false">DEGREES(Beta)</f>
        <v>-84.2597554427804</v>
      </c>
      <c r="P504" s="399" t="n">
        <f aca="false">MATCH(t-pas/2-T_ini,CdP_t)</f>
        <v>23</v>
      </c>
      <c r="Q504" s="397" t="n">
        <f aca="false">(INDEX(CdP,2,i_P+1)-INDEX(CdP,2,i_P+0))/(INDEX(CdP,1,i_P+1)-INDEX(CdP,1,i_P+0))*(t-pas/2-T_ini-INDEX(CdP,1,i_P+0))+INDEX(CdP,2,i_P+0)</f>
        <v>0</v>
      </c>
      <c r="R504" s="396" t="n">
        <f aca="false">Poussee/(g*ISP)</f>
        <v>0</v>
      </c>
      <c r="S504" s="398" t="n">
        <f aca="false">S503-Débit*pas</f>
        <v>8.45</v>
      </c>
      <c r="T504" s="397" t="n">
        <f aca="false">m*g</f>
        <v>82.8945</v>
      </c>
      <c r="U504" s="400" t="n">
        <f aca="false">IF(pos_xz&lt;L_rampe,Poids*COS(Beta),0)</f>
        <v>0</v>
      </c>
      <c r="V504" s="396" t="n">
        <f aca="false">Rho_moyen*(20000-Alt_rampe-pos_z)/(20000+Alt_rampe+pos_z)</f>
        <v>1.22464256357888</v>
      </c>
      <c r="W504" s="397" t="n">
        <f aca="false">1/2*Rho*Sref*Cx*vit_xz^2</f>
        <v>61.668625225009</v>
      </c>
      <c r="Y504" s="401" t="str">
        <f aca="false">IF(AND(pos_z&lt;=0,K503&gt;0),"Impact balistique","") &amp; IF(AND(H505&lt;0,vit_z&gt;=0),"Apogée","") &amp; IF(AND(Poussee=0,Q503&gt;0),"Fin de propulsion","") &amp; IF(AND(L505&gt;L_rampe,pos_xz&lt;=L_rampe),"Sortie de rampe","")</f>
        <v/>
      </c>
      <c r="Z504" s="402" t="str">
        <f aca="false">IF(ABS(t-T_para)&lt;pas/2,"Para","")</f>
        <v/>
      </c>
      <c r="AA504" s="403" t="str">
        <f aca="false">IF(ABS(t-T_satellite)&lt;pas/2,"Satellite","")</f>
        <v/>
      </c>
      <c r="AC504" s="399" t="n">
        <f aca="false">IF(ABS(t-ROUND(t,0))&lt;0.001,t,NA())</f>
        <v>32.0000000000002</v>
      </c>
      <c r="AD504" s="404" t="n">
        <f aca="false">IF(ABS(t-ROUND(t,0))&lt;0.001,pos_x,NA())</f>
        <v>689.775112197561</v>
      </c>
      <c r="AE504" s="405" t="e">
        <f aca="false">IF(t&lt;T_para, pos_z, NA())</f>
        <v>#N/A</v>
      </c>
      <c r="AG504" s="396" t="n">
        <f aca="false">IF(AND(L503&lt;L_rampe,Poussee&lt;Poids*SIN(M503)),0,(-W503+Poussee)/m-Poids*SIN(M503)/m)</f>
        <v>2.50179058221601</v>
      </c>
      <c r="AH504" s="397" t="n">
        <f aca="false">IF(AND(L503&lt;L_rampe,Poussee&lt;Poids*SIN(M503)), g*SIN(M503), (-W503+Poussee)/m)</f>
        <v>-7.25817491513123</v>
      </c>
    </row>
    <row r="505" customFormat="false" ht="12.75" hidden="false" customHeight="false" outlineLevel="0" collapsed="false">
      <c r="A505" s="396" t="n">
        <f aca="false">IF(B504+0.01&lt;=T_ini+ROUNDUP(Temps_fin_propu,0), 0.01, IF(K504&gt;0, 0.1, 0.0001))</f>
        <v>0.1</v>
      </c>
      <c r="B505" s="397" t="n">
        <f aca="false">B504+pas</f>
        <v>32.1000000000002</v>
      </c>
      <c r="D505" s="396" t="n">
        <f aca="false">IF(AND(L504&lt;L_rampe,Poussee&lt;Poids*SIN(M504)),0,(-W504+Poussee)/m*COS(M504)-U504/m*SIN(M504))</f>
        <v>-0.729942340941242</v>
      </c>
      <c r="E505" s="398" t="n">
        <f aca="false">IF(AND(L504&lt;L_rampe,Poussee&lt;Poids*SIN(M504)),0,(-W504+Poussee)/m*SIN(M504)+U504/m*COS(M504)-Poids/m)</f>
        <v>-2.54853352114725</v>
      </c>
      <c r="F505" s="397" t="n">
        <f aca="false">SQRT(acc_x^2+acc_z^2)</f>
        <v>2.65100715380212</v>
      </c>
      <c r="G505" s="396" t="n">
        <f aca="false">G504+acc_x*pas</f>
        <v>11.4973074607086</v>
      </c>
      <c r="H505" s="398" t="n">
        <f aca="false">H504+acc_z*pas</f>
        <v>-115.356215740115</v>
      </c>
      <c r="I505" s="397" t="n">
        <f aca="false">SQRT(vit_x^2+vit_z^2)</f>
        <v>115.927755903088</v>
      </c>
      <c r="J505" s="396" t="n">
        <f aca="false">J504+0.5*(vit_x+G504)*pas*(K504&gt;=0)</f>
        <v>690.928492655337</v>
      </c>
      <c r="K505" s="398" t="n">
        <f aca="false">K504+0.5*(vit_z+H504)*pas</f>
        <v>-8.60460481666437</v>
      </c>
      <c r="L505" s="397" t="n">
        <f aca="false">SQRT(pos_x^2+pos_z^2)</f>
        <v>690.982070090843</v>
      </c>
      <c r="M505" s="396" t="n">
        <f aca="false">IF(AND(L504&gt;L_rampe,G505&gt;0),ATAN2(G505,H505),$M$4)</f>
        <v>-1.471456534015</v>
      </c>
      <c r="N505" s="397" t="n">
        <f aca="false">DEGREES(Beta)</f>
        <v>-84.3082491360075</v>
      </c>
      <c r="P505" s="399" t="n">
        <f aca="false">MATCH(t-pas/2-T_ini,CdP_t)</f>
        <v>23</v>
      </c>
      <c r="Q505" s="397" t="n">
        <f aca="false">(INDEX(CdP,2,i_P+1)-INDEX(CdP,2,i_P+0))/(INDEX(CdP,1,i_P+1)-INDEX(CdP,1,i_P+0))*(t-pas/2-T_ini-INDEX(CdP,1,i_P+0))+INDEX(CdP,2,i_P+0)</f>
        <v>0</v>
      </c>
      <c r="R505" s="396" t="n">
        <f aca="false">Poussee/(g*ISP)</f>
        <v>0</v>
      </c>
      <c r="S505" s="398" t="n">
        <f aca="false">S504-Débit*pas</f>
        <v>8.45</v>
      </c>
      <c r="T505" s="397" t="n">
        <f aca="false">m*g</f>
        <v>82.8945</v>
      </c>
      <c r="U505" s="400" t="n">
        <f aca="false">IF(pos_xz&lt;L_rampe,Poids*COS(Beta),0)</f>
        <v>0</v>
      </c>
      <c r="V505" s="396" t="n">
        <f aca="false">Rho_moyen*(20000-Alt_rampe-pos_z)/(20000+Alt_rampe+pos_z)</f>
        <v>1.22605451777548</v>
      </c>
      <c r="W505" s="397" t="n">
        <f aca="false">1/2*Rho*Sref*Cx*vit_xz^2</f>
        <v>62.0029262667021</v>
      </c>
      <c r="Y505" s="401" t="str">
        <f aca="false">IF(AND(pos_z&lt;=0,K504&gt;0),"Impact balistique","") &amp; IF(AND(H506&lt;0,vit_z&gt;=0),"Apogée","") &amp; IF(AND(Poussee=0,Q504&gt;0),"Fin de propulsion","") &amp; IF(AND(L506&gt;L_rampe,pos_xz&lt;=L_rampe),"Sortie de rampe","")</f>
        <v>Impact balistique</v>
      </c>
      <c r="Z505" s="402" t="str">
        <f aca="false">IF(ABS(t-T_para)&lt;pas/2,"Para","")</f>
        <v/>
      </c>
      <c r="AA505" s="403" t="str">
        <f aca="false">IF(ABS(t-T_satellite)&lt;pas/2,"Satellite","")</f>
        <v/>
      </c>
      <c r="AC505" s="399" t="e">
        <f aca="false">IF(ABS(t-ROUND(t,0))&lt;0.001,t,NA())</f>
        <v>#N/A</v>
      </c>
      <c r="AD505" s="404" t="e">
        <f aca="false">IF(ABS(t-ROUND(t,0))&lt;0.001,pos_x,NA())</f>
        <v>#N/A</v>
      </c>
      <c r="AE505" s="405" t="e">
        <f aca="false">IF(t&lt;T_para, pos_z, NA())</f>
        <v>#N/A</v>
      </c>
      <c r="AG505" s="396" t="n">
        <f aca="false">IF(AND(L504&lt;L_rampe,Poussee&lt;Poids*SIN(M504)),0,(-W504+Poussee)/m-Poids*SIN(M504)/m)</f>
        <v>2.46274620944186</v>
      </c>
      <c r="AH505" s="397" t="n">
        <f aca="false">IF(AND(L504&lt;L_rampe,Poussee&lt;Poids*SIN(M504)), g*SIN(M504), (-W504+Poussee)/m)</f>
        <v>-7.2980621568058</v>
      </c>
    </row>
    <row r="506" customFormat="false" ht="12.75" hidden="false" customHeight="false" outlineLevel="0" collapsed="false">
      <c r="A506" s="396" t="n">
        <f aca="false">IF(B505+0.01&lt;=T_ini+ROUNDUP(Temps_fin_propu,0), 0.01, IF(K505&gt;0, 0.1, 0.0001))</f>
        <v>0.0001</v>
      </c>
      <c r="B506" s="397" t="n">
        <f aca="false">B505+pas</f>
        <v>32.1001000000002</v>
      </c>
      <c r="D506" s="396" t="n">
        <f aca="false">IF(AND(L505&lt;L_rampe,Poussee&lt;Poids*SIN(M505)),0,(-W505+Poussee)/m*COS(M505)-U505/m*SIN(M505))</f>
        <v>-0.727719804621176</v>
      </c>
      <c r="E506" s="398" t="n">
        <f aca="false">IF(AND(L505&lt;L_rampe,Poussee&lt;Poids*SIN(M505)),0,(-W505+Poussee)/m*SIN(M505)+U505/m*COS(M505)-Poids/m)</f>
        <v>-2.50855111145641</v>
      </c>
      <c r="F506" s="397" t="n">
        <f aca="false">SQRT(acc_x^2+acc_z^2)</f>
        <v>2.61197335224291</v>
      </c>
      <c r="G506" s="396" t="n">
        <f aca="false">G505+acc_x*pas</f>
        <v>11.4972346887281</v>
      </c>
      <c r="H506" s="398" t="n">
        <f aca="false">H505+acc_z*pas</f>
        <v>-115.356466595226</v>
      </c>
      <c r="I506" s="397" t="n">
        <f aca="false">SQRT(vit_x^2+vit_z^2)</f>
        <v>115.92799830422</v>
      </c>
      <c r="J506" s="396" t="n">
        <f aca="false">J505+0.5*(vit_x+G505)*pas*(K505&gt;=0)</f>
        <v>690.928492655337</v>
      </c>
      <c r="K506" s="398" t="n">
        <f aca="false">K505+0.5*(vit_z+H505)*pas</f>
        <v>-8.61614045078113</v>
      </c>
      <c r="L506" s="397" t="n">
        <f aca="false">SQRT(pos_x^2+pos_z^2)</f>
        <v>690.982213837117</v>
      </c>
      <c r="M506" s="396" t="n">
        <f aca="false">IF(AND(L505&gt;L_rampe,G506&gt;0),ATAN2(G506,H506),$M$4)</f>
        <v>-1.4714573732612</v>
      </c>
      <c r="N506" s="397" t="n">
        <f aca="false">DEGREES(Beta)</f>
        <v>-84.3082972212731</v>
      </c>
      <c r="P506" s="399" t="n">
        <f aca="false">MATCH(t-pas/2-T_ini,CdP_t)</f>
        <v>23</v>
      </c>
      <c r="Q506" s="397" t="n">
        <f aca="false">(INDEX(CdP,2,i_P+1)-INDEX(CdP,2,i_P+0))/(INDEX(CdP,1,i_P+1)-INDEX(CdP,1,i_P+0))*(t-pas/2-T_ini-INDEX(CdP,1,i_P+0))+INDEX(CdP,2,i_P+0)</f>
        <v>0</v>
      </c>
      <c r="R506" s="396" t="n">
        <f aca="false">Poussee/(g*ISP)</f>
        <v>0</v>
      </c>
      <c r="S506" s="398" t="n">
        <f aca="false">S505-Débit*pas</f>
        <v>8.45</v>
      </c>
      <c r="T506" s="397" t="n">
        <f aca="false">m*g</f>
        <v>82.8945</v>
      </c>
      <c r="U506" s="400" t="n">
        <f aca="false">IF(pos_xz&lt;L_rampe,Poids*COS(Beta),0)</f>
        <v>0</v>
      </c>
      <c r="V506" s="396" t="n">
        <f aca="false">Rho_moyen*(20000-Alt_rampe-pos_z)/(20000+Alt_rampe+pos_z)</f>
        <v>1.22605593210819</v>
      </c>
      <c r="W506" s="397" t="n">
        <f aca="false">1/2*Rho*Sref*Cx*vit_xz^2</f>
        <v>62.0032570838005</v>
      </c>
      <c r="Y506" s="401" t="str">
        <f aca="false">IF(AND(pos_z&lt;=0,K505&gt;0),"Impact balistique","") &amp; IF(AND(H507&lt;0,vit_z&gt;=0),"Apogée","") &amp; IF(AND(Poussee=0,Q505&gt;0),"Fin de propulsion","") &amp; IF(AND(L507&gt;L_rampe,pos_xz&lt;=L_rampe),"Sortie de rampe","")</f>
        <v/>
      </c>
      <c r="Z506" s="402" t="str">
        <f aca="false">IF(ABS(t-T_para)&lt;pas/2,"Para","")</f>
        <v/>
      </c>
      <c r="AA506" s="403" t="str">
        <f aca="false">IF(ABS(t-T_satellite)&lt;pas/2,"Satellite","")</f>
        <v/>
      </c>
      <c r="AC506" s="399" t="e">
        <f aca="false">IF(ABS(t-ROUND(t,0))&lt;0.001,t,NA())</f>
        <v>#N/A</v>
      </c>
      <c r="AD506" s="404" t="e">
        <f aca="false">IF(ABS(t-ROUND(t,0))&lt;0.001,pos_x,NA())</f>
        <v>#N/A</v>
      </c>
      <c r="AE506" s="405" t="e">
        <f aca="false">IF(t&lt;T_para, pos_z, NA())</f>
        <v>#N/A</v>
      </c>
      <c r="AG506" s="396" t="n">
        <f aca="false">IF(AND(L505&lt;L_rampe,Poussee&lt;Poids*SIN(M505)),0,(-W505+Poussee)/m-Poids*SIN(M505)/m)</f>
        <v>2.42401090817465</v>
      </c>
      <c r="AH506" s="397" t="n">
        <f aca="false">IF(AND(L505&lt;L_rampe,Poussee&lt;Poids*SIN(M505)), g*SIN(M505), (-W505+Poussee)/m)</f>
        <v>-7.33762441026061</v>
      </c>
    </row>
    <row r="507" customFormat="false" ht="12.75" hidden="false" customHeight="false" outlineLevel="0" collapsed="false">
      <c r="A507" s="396" t="n">
        <f aca="false">IF(B506+0.01&lt;=T_ini+ROUNDUP(Temps_fin_propu,0), 0.01, IF(K506&gt;0, 0.1, 0.0001))</f>
        <v>0.0001</v>
      </c>
      <c r="B507" s="397" t="n">
        <f aca="false">B506+pas</f>
        <v>32.1002000000002</v>
      </c>
      <c r="D507" s="396" t="n">
        <f aca="false">IF(AND(L506&lt;L_rampe,Poussee&lt;Poids*SIN(M506)),0,(-W506+Poussee)/m*COS(M506)-U506/m*SIN(M506))</f>
        <v>-0.727717559629658</v>
      </c>
      <c r="E507" s="398" t="n">
        <f aca="false">IF(AND(L506&lt;L_rampe,Poussee&lt;Poids*SIN(M506)),0,(-W506+Poussee)/m*SIN(M506)+U506/m*COS(M506)-Poids/m)</f>
        <v>-2.50851154378195</v>
      </c>
      <c r="F507" s="397" t="n">
        <f aca="false">SQRT(acc_x^2+acc_z^2)</f>
        <v>2.6119347258078</v>
      </c>
      <c r="G507" s="396" t="n">
        <f aca="false">G506+acc_x*pas</f>
        <v>11.4971619169722</v>
      </c>
      <c r="H507" s="398" t="n">
        <f aca="false">H506+acc_z*pas</f>
        <v>-115.35671744638</v>
      </c>
      <c r="I507" s="397" t="n">
        <f aca="false">SQRT(vit_x^2+vit_z^2)</f>
        <v>115.928240701518</v>
      </c>
      <c r="J507" s="396" t="n">
        <f aca="false">J506+0.5*(vit_x+G506)*pas*(K506&gt;=0)</f>
        <v>690.928492655337</v>
      </c>
      <c r="K507" s="398" t="n">
        <f aca="false">K506+0.5*(vit_z+H506)*pas</f>
        <v>-8.62767610998321</v>
      </c>
      <c r="L507" s="397" t="n">
        <f aca="false">SQRT(pos_x^2+pos_z^2)</f>
        <v>690.982357776256</v>
      </c>
      <c r="M507" s="396" t="n">
        <f aca="false">IF(AND(L506&gt;L_rampe,G507&gt;0),ATAN2(G507,H507),$M$4)</f>
        <v>-1.47145821249859</v>
      </c>
      <c r="N507" s="397" t="n">
        <f aca="false">DEGREES(Beta)</f>
        <v>-84.3083453060333</v>
      </c>
      <c r="P507" s="399" t="n">
        <f aca="false">MATCH(t-pas/2-T_ini,CdP_t)</f>
        <v>23</v>
      </c>
      <c r="Q507" s="397" t="n">
        <f aca="false">(INDEX(CdP,2,i_P+1)-INDEX(CdP,2,i_P+0))/(INDEX(CdP,1,i_P+1)-INDEX(CdP,1,i_P+0))*(t-pas/2-T_ini-INDEX(CdP,1,i_P+0))+INDEX(CdP,2,i_P+0)</f>
        <v>0</v>
      </c>
      <c r="R507" s="396" t="n">
        <f aca="false">Poussee/(g*ISP)</f>
        <v>0</v>
      </c>
      <c r="S507" s="398" t="n">
        <f aca="false">S506-Débit*pas</f>
        <v>8.45</v>
      </c>
      <c r="T507" s="397" t="n">
        <f aca="false">m*g</f>
        <v>82.8945</v>
      </c>
      <c r="U507" s="400" t="n">
        <f aca="false">IF(pos_xz&lt;L_rampe,Poids*COS(Beta),0)</f>
        <v>0</v>
      </c>
      <c r="V507" s="396" t="n">
        <f aca="false">Rho_moyen*(20000-Alt_rampe-pos_z)/(20000+Alt_rampe+pos_z)</f>
        <v>1.22605734644561</v>
      </c>
      <c r="W507" s="397" t="n">
        <f aca="false">1/2*Rho*Sref*Cx*vit_xz^2</f>
        <v>62.0035878981768</v>
      </c>
      <c r="Y507" s="401" t="str">
        <f aca="false">IF(AND(pos_z&lt;=0,K506&gt;0),"Impact balistique","") &amp; IF(AND(H508&lt;0,vit_z&gt;=0),"Apogée","") &amp; IF(AND(Poussee=0,Q506&gt;0),"Fin de propulsion","") &amp; IF(AND(L508&gt;L_rampe,pos_xz&lt;=L_rampe),"Sortie de rampe","")</f>
        <v/>
      </c>
      <c r="Z507" s="402" t="str">
        <f aca="false">IF(ABS(t-T_para)&lt;pas/2,"Para","")</f>
        <v/>
      </c>
      <c r="AA507" s="403" t="str">
        <f aca="false">IF(ABS(t-T_satellite)&lt;pas/2,"Satellite","")</f>
        <v/>
      </c>
      <c r="AC507" s="399" t="e">
        <f aca="false">IF(ABS(t-ROUND(t,0))&lt;0.001,t,NA())</f>
        <v>#N/A</v>
      </c>
      <c r="AD507" s="404" t="e">
        <f aca="false">IF(ABS(t-ROUND(t,0))&lt;0.001,pos_x,NA())</f>
        <v>#N/A</v>
      </c>
      <c r="AE507" s="405" t="e">
        <f aca="false">IF(t&lt;T_para, pos_z, NA())</f>
        <v>#N/A</v>
      </c>
      <c r="AG507" s="396" t="n">
        <f aca="false">IF(AND(L506&lt;L_rampe,Poussee&lt;Poids*SIN(M506)),0,(-W506+Poussee)/m-Poids*SIN(M506)/m)</f>
        <v>2.42397257473928</v>
      </c>
      <c r="AH507" s="397" t="n">
        <f aca="false">IF(AND(L506&lt;L_rampe,Poussee&lt;Poids*SIN(M506)), g*SIN(M506), (-W506+Poussee)/m)</f>
        <v>-7.33766356021307</v>
      </c>
    </row>
    <row r="508" customFormat="false" ht="12.75" hidden="false" customHeight="false" outlineLevel="0" collapsed="false">
      <c r="A508" s="396" t="n">
        <f aca="false">IF(B507+0.01&lt;=T_ini+ROUNDUP(Temps_fin_propu,0), 0.01, IF(K507&gt;0, 0.1, 0.0001))</f>
        <v>0.0001</v>
      </c>
      <c r="B508" s="397" t="n">
        <f aca="false">B507+pas</f>
        <v>32.1003000000002</v>
      </c>
      <c r="D508" s="396" t="n">
        <f aca="false">IF(AND(L507&lt;L_rampe,Poussee&lt;Poids*SIN(M507)),0,(-W507+Poussee)/m*COS(M507)-U507/m*SIN(M507))</f>
        <v>-0.727715314604704</v>
      </c>
      <c r="E508" s="398" t="n">
        <f aca="false">IF(AND(L507&lt;L_rampe,Poussee&lt;Poids*SIN(M507)),0,(-W507+Poussee)/m*SIN(M507)+U507/m*COS(M507)-Poids/m)</f>
        <v>-2.50847197643308</v>
      </c>
      <c r="F508" s="397" t="n">
        <f aca="false">SQRT(acc_x^2+acc_z^2)</f>
        <v>2.61189609970617</v>
      </c>
      <c r="G508" s="396" t="n">
        <f aca="false">G507+acc_x*pas</f>
        <v>11.4970891454407</v>
      </c>
      <c r="H508" s="398" t="n">
        <f aca="false">H507+acc_z*pas</f>
        <v>-115.356968293578</v>
      </c>
      <c r="I508" s="397" t="n">
        <f aca="false">SQRT(vit_x^2+vit_z^2)</f>
        <v>115.928483094983</v>
      </c>
      <c r="J508" s="396" t="n">
        <f aca="false">J507+0.5*(vit_x+G507)*pas*(K507&gt;=0)</f>
        <v>690.928492655337</v>
      </c>
      <c r="K508" s="398" t="n">
        <f aca="false">K507+0.5*(vit_z+H507)*pas</f>
        <v>-8.63921179427021</v>
      </c>
      <c r="L508" s="397" t="n">
        <f aca="false">SQRT(pos_x^2+pos_z^2)</f>
        <v>690.982501908263</v>
      </c>
      <c r="M508" s="396" t="n">
        <f aca="false">IF(AND(L507&gt;L_rampe,G508&gt;0),ATAN2(G508,H508),$M$4)</f>
        <v>-1.47145905172715</v>
      </c>
      <c r="N508" s="397" t="n">
        <f aca="false">DEGREES(Beta)</f>
        <v>-84.308393390288</v>
      </c>
      <c r="P508" s="399" t="n">
        <f aca="false">MATCH(t-pas/2-T_ini,CdP_t)</f>
        <v>23</v>
      </c>
      <c r="Q508" s="397" t="n">
        <f aca="false">(INDEX(CdP,2,i_P+1)-INDEX(CdP,2,i_P+0))/(INDEX(CdP,1,i_P+1)-INDEX(CdP,1,i_P+0))*(t-pas/2-T_ini-INDEX(CdP,1,i_P+0))+INDEX(CdP,2,i_P+0)</f>
        <v>0</v>
      </c>
      <c r="R508" s="396" t="n">
        <f aca="false">Poussee/(g*ISP)</f>
        <v>0</v>
      </c>
      <c r="S508" s="398" t="n">
        <f aca="false">S507-Débit*pas</f>
        <v>8.45</v>
      </c>
      <c r="T508" s="397" t="n">
        <f aca="false">m*g</f>
        <v>82.8945</v>
      </c>
      <c r="U508" s="400" t="n">
        <f aca="false">IF(pos_xz&lt;L_rampe,Poids*COS(Beta),0)</f>
        <v>0</v>
      </c>
      <c r="V508" s="396" t="n">
        <f aca="false">Rho_moyen*(20000-Alt_rampe-pos_z)/(20000+Alt_rampe+pos_z)</f>
        <v>1.22605876078773</v>
      </c>
      <c r="W508" s="397" t="n">
        <f aca="false">1/2*Rho*Sref*Cx*vit_xz^2</f>
        <v>62.0039187098312</v>
      </c>
      <c r="Y508" s="401" t="str">
        <f aca="false">IF(AND(pos_z&lt;=0,K507&gt;0),"Impact balistique","") &amp; IF(AND(H509&lt;0,vit_z&gt;=0),"Apogée","") &amp; IF(AND(Poussee=0,Q507&gt;0),"Fin de propulsion","") &amp; IF(AND(L509&gt;L_rampe,pos_xz&lt;=L_rampe),"Sortie de rampe","")</f>
        <v/>
      </c>
      <c r="Z508" s="402" t="str">
        <f aca="false">IF(ABS(t-T_para)&lt;pas/2,"Para","")</f>
        <v/>
      </c>
      <c r="AA508" s="403" t="str">
        <f aca="false">IF(ABS(t-T_satellite)&lt;pas/2,"Satellite","")</f>
        <v/>
      </c>
      <c r="AC508" s="399" t="e">
        <f aca="false">IF(ABS(t-ROUND(t,0))&lt;0.001,t,NA())</f>
        <v>#N/A</v>
      </c>
      <c r="AD508" s="404" t="e">
        <f aca="false">IF(ABS(t-ROUND(t,0))&lt;0.001,pos_x,NA())</f>
        <v>#N/A</v>
      </c>
      <c r="AE508" s="405" t="e">
        <f aca="false">IF(t&lt;T_para, pos_z, NA())</f>
        <v>#N/A</v>
      </c>
      <c r="AG508" s="396" t="n">
        <f aca="false">IF(AND(L507&lt;L_rampe,Poussee&lt;Poids*SIN(M507)),0,(-W507+Poussee)/m-Poids*SIN(M507)/m)</f>
        <v>2.42393424161058</v>
      </c>
      <c r="AH508" s="397" t="n">
        <f aca="false">IF(AND(L507&lt;L_rampe,Poussee&lt;Poids*SIN(M507)), g*SIN(M507), (-W507+Poussee)/m)</f>
        <v>-7.33770270984341</v>
      </c>
    </row>
    <row r="509" customFormat="false" ht="12.75" hidden="false" customHeight="false" outlineLevel="0" collapsed="false">
      <c r="A509" s="396" t="n">
        <f aca="false">IF(B508+0.01&lt;=T_ini+ROUNDUP(Temps_fin_propu,0), 0.01, IF(K508&gt;0, 0.1, 0.0001))</f>
        <v>0.0001</v>
      </c>
      <c r="B509" s="397" t="n">
        <f aca="false">B508+pas</f>
        <v>32.1004000000002</v>
      </c>
      <c r="D509" s="396" t="n">
        <f aca="false">IF(AND(L508&lt;L_rampe,Poussee&lt;Poids*SIN(M508)),0,(-W508+Poussee)/m*COS(M508)-U508/m*SIN(M508))</f>
        <v>-0.727713069546311</v>
      </c>
      <c r="E509" s="398" t="n">
        <f aca="false">IF(AND(L508&lt;L_rampe,Poussee&lt;Poids*SIN(M508)),0,(-W508+Poussee)/m*SIN(M508)+U508/m*COS(M508)-Poids/m)</f>
        <v>-2.50843240940979</v>
      </c>
      <c r="F509" s="397" t="n">
        <f aca="false">SQRT(acc_x^2+acc_z^2)</f>
        <v>2.61185747393803</v>
      </c>
      <c r="G509" s="396" t="n">
        <f aca="false">G508+acc_x*pas</f>
        <v>11.4970163741337</v>
      </c>
      <c r="H509" s="398" t="n">
        <f aca="false">H508+acc_z*pas</f>
        <v>-115.357219136819</v>
      </c>
      <c r="I509" s="397" t="n">
        <f aca="false">SQRT(vit_x^2+vit_z^2)</f>
        <v>115.928725484615</v>
      </c>
      <c r="J509" s="396" t="n">
        <f aca="false">J508+0.5*(vit_x+G508)*pas*(K508&gt;=0)</f>
        <v>690.928492655337</v>
      </c>
      <c r="K509" s="398" t="n">
        <f aca="false">K508+0.5*(vit_z+H508)*pas</f>
        <v>-8.65074750364173</v>
      </c>
      <c r="L509" s="397" t="n">
        <f aca="false">SQRT(pos_x^2+pos_z^2)</f>
        <v>690.982646233136</v>
      </c>
      <c r="M509" s="396" t="n">
        <f aca="false">IF(AND(L508&gt;L_rampe,G509&gt;0),ATAN2(G509,H509),$M$4)</f>
        <v>-1.47145989094689</v>
      </c>
      <c r="N509" s="397" t="n">
        <f aca="false">DEGREES(Beta)</f>
        <v>-84.3084414740373</v>
      </c>
      <c r="P509" s="399" t="n">
        <f aca="false">MATCH(t-pas/2-T_ini,CdP_t)</f>
        <v>23</v>
      </c>
      <c r="Q509" s="397" t="n">
        <f aca="false">(INDEX(CdP,2,i_P+1)-INDEX(CdP,2,i_P+0))/(INDEX(CdP,1,i_P+1)-INDEX(CdP,1,i_P+0))*(t-pas/2-T_ini-INDEX(CdP,1,i_P+0))+INDEX(CdP,2,i_P+0)</f>
        <v>0</v>
      </c>
      <c r="R509" s="396" t="n">
        <f aca="false">Poussee/(g*ISP)</f>
        <v>0</v>
      </c>
      <c r="S509" s="398" t="n">
        <f aca="false">S508-Débit*pas</f>
        <v>8.45</v>
      </c>
      <c r="T509" s="397" t="n">
        <f aca="false">m*g</f>
        <v>82.8945</v>
      </c>
      <c r="U509" s="400" t="n">
        <f aca="false">IF(pos_xz&lt;L_rampe,Poids*COS(Beta),0)</f>
        <v>0</v>
      </c>
      <c r="V509" s="396" t="n">
        <f aca="false">Rho_moyen*(20000-Alt_rampe-pos_z)/(20000+Alt_rampe+pos_z)</f>
        <v>1.22606017513457</v>
      </c>
      <c r="W509" s="397" t="n">
        <f aca="false">1/2*Rho*Sref*Cx*vit_xz^2</f>
        <v>62.0042495187634</v>
      </c>
      <c r="Y509" s="401" t="str">
        <f aca="false">IF(AND(pos_z&lt;=0,K508&gt;0),"Impact balistique","") &amp; IF(AND(H510&lt;0,vit_z&gt;=0),"Apogée","") &amp; IF(AND(Poussee=0,Q508&gt;0),"Fin de propulsion","") &amp; IF(AND(L510&gt;L_rampe,pos_xz&lt;=L_rampe),"Sortie de rampe","")</f>
        <v/>
      </c>
      <c r="Z509" s="402" t="str">
        <f aca="false">IF(ABS(t-T_para)&lt;pas/2,"Para","")</f>
        <v/>
      </c>
      <c r="AA509" s="403" t="str">
        <f aca="false">IF(ABS(t-T_satellite)&lt;pas/2,"Satellite","")</f>
        <v/>
      </c>
      <c r="AC509" s="399" t="e">
        <f aca="false">IF(ABS(t-ROUND(t,0))&lt;0.001,t,NA())</f>
        <v>#N/A</v>
      </c>
      <c r="AD509" s="404" t="e">
        <f aca="false">IF(ABS(t-ROUND(t,0))&lt;0.001,pos_x,NA())</f>
        <v>#N/A</v>
      </c>
      <c r="AE509" s="405" t="e">
        <f aca="false">IF(t&lt;T_para, pos_z, NA())</f>
        <v>#N/A</v>
      </c>
      <c r="AG509" s="396" t="n">
        <f aca="false">IF(AND(L508&lt;L_rampe,Poussee&lt;Poids*SIN(M508)),0,(-W508+Poussee)/m-Poids*SIN(M508)/m)</f>
        <v>2.42389590878855</v>
      </c>
      <c r="AH509" s="397" t="n">
        <f aca="false">IF(AND(L508&lt;L_rampe,Poussee&lt;Poids*SIN(M508)), g*SIN(M508), (-W508+Poussee)/m)</f>
        <v>-7.33774185915162</v>
      </c>
    </row>
    <row r="510" customFormat="false" ht="12.75" hidden="false" customHeight="false" outlineLevel="0" collapsed="false">
      <c r="A510" s="396" t="n">
        <f aca="false">IF(B509+0.01&lt;=T_ini+ROUNDUP(Temps_fin_propu,0), 0.01, IF(K509&gt;0, 0.1, 0.0001))</f>
        <v>0.0001</v>
      </c>
      <c r="B510" s="397" t="n">
        <f aca="false">B509+pas</f>
        <v>32.1005000000002</v>
      </c>
      <c r="D510" s="396" t="n">
        <f aca="false">IF(AND(L509&lt;L_rampe,Poussee&lt;Poids*SIN(M509)),0,(-W509+Poussee)/m*COS(M509)-U509/m*SIN(M509))</f>
        <v>-0.727710824454484</v>
      </c>
      <c r="E510" s="398" t="n">
        <f aca="false">IF(AND(L509&lt;L_rampe,Poussee&lt;Poids*SIN(M509)),0,(-W509+Poussee)/m*SIN(M509)+U509/m*COS(M509)-Poids/m)</f>
        <v>-2.5083928427121</v>
      </c>
      <c r="F510" s="397" t="n">
        <f aca="false">SQRT(acc_x^2+acc_z^2)</f>
        <v>2.61181884850338</v>
      </c>
      <c r="G510" s="396" t="n">
        <f aca="false">G509+acc_x*pas</f>
        <v>11.4969436030513</v>
      </c>
      <c r="H510" s="398" t="n">
        <f aca="false">H509+acc_z*pas</f>
        <v>-115.357469976103</v>
      </c>
      <c r="I510" s="397" t="n">
        <f aca="false">SQRT(vit_x^2+vit_z^2)</f>
        <v>115.928967870413</v>
      </c>
      <c r="J510" s="396" t="n">
        <f aca="false">J509+0.5*(vit_x+G509)*pas*(K509&gt;=0)</f>
        <v>690.928492655337</v>
      </c>
      <c r="K510" s="398" t="n">
        <f aca="false">K509+0.5*(vit_z+H509)*pas</f>
        <v>-8.66228323809738</v>
      </c>
      <c r="L510" s="397" t="n">
        <f aca="false">SQRT(pos_x^2+pos_z^2)</f>
        <v>690.982790750879</v>
      </c>
      <c r="M510" s="396" t="n">
        <f aca="false">IF(AND(L509&gt;L_rampe,G510&gt;0),ATAN2(G510,H510),$M$4)</f>
        <v>-1.47146073015781</v>
      </c>
      <c r="N510" s="397" t="n">
        <f aca="false">DEGREES(Beta)</f>
        <v>-84.3084895572812</v>
      </c>
      <c r="P510" s="399" t="n">
        <f aca="false">MATCH(t-pas/2-T_ini,CdP_t)</f>
        <v>23</v>
      </c>
      <c r="Q510" s="397" t="n">
        <f aca="false">(INDEX(CdP,2,i_P+1)-INDEX(CdP,2,i_P+0))/(INDEX(CdP,1,i_P+1)-INDEX(CdP,1,i_P+0))*(t-pas/2-T_ini-INDEX(CdP,1,i_P+0))+INDEX(CdP,2,i_P+0)</f>
        <v>0</v>
      </c>
      <c r="R510" s="396" t="n">
        <f aca="false">Poussee/(g*ISP)</f>
        <v>0</v>
      </c>
      <c r="S510" s="398" t="n">
        <f aca="false">S509-Débit*pas</f>
        <v>8.45</v>
      </c>
      <c r="T510" s="397" t="n">
        <f aca="false">m*g</f>
        <v>82.8945</v>
      </c>
      <c r="U510" s="400" t="n">
        <f aca="false">IF(pos_xz&lt;L_rampe,Poids*COS(Beta),0)</f>
        <v>0</v>
      </c>
      <c r="V510" s="396" t="n">
        <f aca="false">Rho_moyen*(20000-Alt_rampe-pos_z)/(20000+Alt_rampe+pos_z)</f>
        <v>1.22606158948611</v>
      </c>
      <c r="W510" s="397" t="n">
        <f aca="false">1/2*Rho*Sref*Cx*vit_xz^2</f>
        <v>62.0045803249737</v>
      </c>
      <c r="Y510" s="401" t="str">
        <f aca="false">IF(AND(pos_z&lt;=0,K509&gt;0),"Impact balistique","") &amp; IF(AND(H511&lt;0,vit_z&gt;=0),"Apogée","") &amp; IF(AND(Poussee=0,Q509&gt;0),"Fin de propulsion","") &amp; IF(AND(L511&gt;L_rampe,pos_xz&lt;=L_rampe),"Sortie de rampe","")</f>
        <v/>
      </c>
      <c r="Z510" s="402" t="str">
        <f aca="false">IF(ABS(t-T_para)&lt;pas/2,"Para","")</f>
        <v/>
      </c>
      <c r="AA510" s="403" t="str">
        <f aca="false">IF(ABS(t-T_satellite)&lt;pas/2,"Satellite","")</f>
        <v/>
      </c>
      <c r="AC510" s="399" t="e">
        <f aca="false">IF(ABS(t-ROUND(t,0))&lt;0.001,t,NA())</f>
        <v>#N/A</v>
      </c>
      <c r="AD510" s="404" t="e">
        <f aca="false">IF(ABS(t-ROUND(t,0))&lt;0.001,pos_x,NA())</f>
        <v>#N/A</v>
      </c>
      <c r="AE510" s="405" t="e">
        <f aca="false">IF(t&lt;T_para, pos_z, NA())</f>
        <v>#N/A</v>
      </c>
      <c r="AG510" s="396" t="n">
        <f aca="false">IF(AND(L509&lt;L_rampe,Poussee&lt;Poids*SIN(M509)),0,(-W509+Poussee)/m-Poids*SIN(M509)/m)</f>
        <v>2.42385757627321</v>
      </c>
      <c r="AH510" s="397" t="n">
        <f aca="false">IF(AND(L509&lt;L_rampe,Poussee&lt;Poids*SIN(M509)), g*SIN(M509), (-W509+Poussee)/m)</f>
        <v>-7.33778100813769</v>
      </c>
    </row>
    <row r="511" customFormat="false" ht="12.75" hidden="false" customHeight="false" outlineLevel="0" collapsed="false">
      <c r="A511" s="396" t="n">
        <f aca="false">IF(B510+0.01&lt;=T_ini+ROUNDUP(Temps_fin_propu,0), 0.01, IF(K510&gt;0, 0.1, 0.0001))</f>
        <v>0.0001</v>
      </c>
      <c r="B511" s="397" t="n">
        <f aca="false">B510+pas</f>
        <v>32.1006000000002</v>
      </c>
      <c r="D511" s="396" t="n">
        <f aca="false">IF(AND(L510&lt;L_rampe,Poussee&lt;Poids*SIN(M510)),0,(-W510+Poussee)/m*COS(M510)-U510/m*SIN(M510))</f>
        <v>-0.727708579329221</v>
      </c>
      <c r="E511" s="398" t="n">
        <f aca="false">IF(AND(L510&lt;L_rampe,Poussee&lt;Poids*SIN(M510)),0,(-W510+Poussee)/m*SIN(M510)+U510/m*COS(M510)-Poids/m)</f>
        <v>-2.50835327634</v>
      </c>
      <c r="F511" s="397" t="n">
        <f aca="false">SQRT(acc_x^2+acc_z^2)</f>
        <v>2.61178022340222</v>
      </c>
      <c r="G511" s="396" t="n">
        <f aca="false">G510+acc_x*pas</f>
        <v>11.4968708321934</v>
      </c>
      <c r="H511" s="398" t="n">
        <f aca="false">H510+acc_z*pas</f>
        <v>-115.357720811431</v>
      </c>
      <c r="I511" s="397" t="n">
        <f aca="false">SQRT(vit_x^2+vit_z^2)</f>
        <v>115.929210252378</v>
      </c>
      <c r="J511" s="396" t="n">
        <f aca="false">J510+0.5*(vit_x+G510)*pas*(K510&gt;=0)</f>
        <v>690.928492655337</v>
      </c>
      <c r="K511" s="398" t="n">
        <f aca="false">K510+0.5*(vit_z+H510)*pas</f>
        <v>-8.67381899763675</v>
      </c>
      <c r="L511" s="397" t="n">
        <f aca="false">SQRT(pos_x^2+pos_z^2)</f>
        <v>690.982935461491</v>
      </c>
      <c r="M511" s="396" t="n">
        <f aca="false">IF(AND(L510&gt;L_rampe,G511&gt;0),ATAN2(G511,H511),$M$4)</f>
        <v>-1.47146156935991</v>
      </c>
      <c r="N511" s="397" t="n">
        <f aca="false">DEGREES(Beta)</f>
        <v>-84.3085376400196</v>
      </c>
      <c r="P511" s="399" t="n">
        <f aca="false">MATCH(t-pas/2-T_ini,CdP_t)</f>
        <v>23</v>
      </c>
      <c r="Q511" s="397" t="n">
        <f aca="false">(INDEX(CdP,2,i_P+1)-INDEX(CdP,2,i_P+0))/(INDEX(CdP,1,i_P+1)-INDEX(CdP,1,i_P+0))*(t-pas/2-T_ini-INDEX(CdP,1,i_P+0))+INDEX(CdP,2,i_P+0)</f>
        <v>0</v>
      </c>
      <c r="R511" s="396" t="n">
        <f aca="false">Poussee/(g*ISP)</f>
        <v>0</v>
      </c>
      <c r="S511" s="398" t="n">
        <f aca="false">S510-Débit*pas</f>
        <v>8.45</v>
      </c>
      <c r="T511" s="397" t="n">
        <f aca="false">m*g</f>
        <v>82.8945</v>
      </c>
      <c r="U511" s="400" t="n">
        <f aca="false">IF(pos_xz&lt;L_rampe,Poids*COS(Beta),0)</f>
        <v>0</v>
      </c>
      <c r="V511" s="396" t="n">
        <f aca="false">Rho_moyen*(20000-Alt_rampe-pos_z)/(20000+Alt_rampe+pos_z)</f>
        <v>1.22606300384236</v>
      </c>
      <c r="W511" s="397" t="n">
        <f aca="false">1/2*Rho*Sref*Cx*vit_xz^2</f>
        <v>62.004911128462</v>
      </c>
      <c r="Y511" s="401" t="str">
        <f aca="false">IF(AND(pos_z&lt;=0,K510&gt;0),"Impact balistique","") &amp; IF(AND(H512&lt;0,vit_z&gt;=0),"Apogée","") &amp; IF(AND(Poussee=0,Q510&gt;0),"Fin de propulsion","") &amp; IF(AND(L512&gt;L_rampe,pos_xz&lt;=L_rampe),"Sortie de rampe","")</f>
        <v/>
      </c>
      <c r="Z511" s="402" t="str">
        <f aca="false">IF(ABS(t-T_para)&lt;pas/2,"Para","")</f>
        <v/>
      </c>
      <c r="AA511" s="403" t="str">
        <f aca="false">IF(ABS(t-T_satellite)&lt;pas/2,"Satellite","")</f>
        <v/>
      </c>
      <c r="AC511" s="399" t="e">
        <f aca="false">IF(ABS(t-ROUND(t,0))&lt;0.001,t,NA())</f>
        <v>#N/A</v>
      </c>
      <c r="AD511" s="404" t="e">
        <f aca="false">IF(ABS(t-ROUND(t,0))&lt;0.001,pos_x,NA())</f>
        <v>#N/A</v>
      </c>
      <c r="AE511" s="405" t="e">
        <f aca="false">IF(t&lt;T_para, pos_z, NA())</f>
        <v>#N/A</v>
      </c>
      <c r="AG511" s="396" t="n">
        <f aca="false">IF(AND(L510&lt;L_rampe,Poussee&lt;Poids*SIN(M510)),0,(-W510+Poussee)/m-Poids*SIN(M510)/m)</f>
        <v>2.42381924406453</v>
      </c>
      <c r="AH511" s="397" t="n">
        <f aca="false">IF(AND(L510&lt;L_rampe,Poussee&lt;Poids*SIN(M510)), g*SIN(M510), (-W510+Poussee)/m)</f>
        <v>-7.33782015680163</v>
      </c>
    </row>
    <row r="512" customFormat="false" ht="12.75" hidden="false" customHeight="false" outlineLevel="0" collapsed="false">
      <c r="A512" s="396" t="n">
        <f aca="false">IF(B511+0.01&lt;=T_ini+ROUNDUP(Temps_fin_propu,0), 0.01, IF(K511&gt;0, 0.1, 0.0001))</f>
        <v>0.0001</v>
      </c>
      <c r="B512" s="397" t="n">
        <f aca="false">B511+pas</f>
        <v>32.1007000000002</v>
      </c>
      <c r="D512" s="396" t="n">
        <f aca="false">IF(AND(L511&lt;L_rampe,Poussee&lt;Poids*SIN(M511)),0,(-W511+Poussee)/m*COS(M511)-U511/m*SIN(M511))</f>
        <v>-0.727706334170524</v>
      </c>
      <c r="E512" s="398" t="n">
        <f aca="false">IF(AND(L511&lt;L_rampe,Poussee&lt;Poids*SIN(M511)),0,(-W511+Poussee)/m*SIN(M511)+U511/m*COS(M511)-Poids/m)</f>
        <v>-2.50831371029348</v>
      </c>
      <c r="F512" s="397" t="n">
        <f aca="false">SQRT(acc_x^2+acc_z^2)</f>
        <v>2.61174159863455</v>
      </c>
      <c r="G512" s="396" t="n">
        <f aca="false">G511+acc_x*pas</f>
        <v>11.4967980615599</v>
      </c>
      <c r="H512" s="398" t="n">
        <f aca="false">H511+acc_z*pas</f>
        <v>-115.357971642802</v>
      </c>
      <c r="I512" s="397" t="n">
        <f aca="false">SQRT(vit_x^2+vit_z^2)</f>
        <v>115.929452630511</v>
      </c>
      <c r="J512" s="396" t="n">
        <f aca="false">J511+0.5*(vit_x+G511)*pas*(K511&gt;=0)</f>
        <v>690.928492655337</v>
      </c>
      <c r="K512" s="398" t="n">
        <f aca="false">K511+0.5*(vit_z+H511)*pas</f>
        <v>-8.68535478225947</v>
      </c>
      <c r="L512" s="397" t="n">
        <f aca="false">SQRT(pos_x^2+pos_z^2)</f>
        <v>690.983080364975</v>
      </c>
      <c r="M512" s="396" t="n">
        <f aca="false">IF(AND(L511&gt;L_rampe,G512&gt;0),ATAN2(G512,H512),$M$4)</f>
        <v>-1.47146240855319</v>
      </c>
      <c r="N512" s="397" t="n">
        <f aca="false">DEGREES(Beta)</f>
        <v>-84.3085857222527</v>
      </c>
      <c r="P512" s="399" t="n">
        <f aca="false">MATCH(t-pas/2-T_ini,CdP_t)</f>
        <v>23</v>
      </c>
      <c r="Q512" s="397" t="n">
        <f aca="false">(INDEX(CdP,2,i_P+1)-INDEX(CdP,2,i_P+0))/(INDEX(CdP,1,i_P+1)-INDEX(CdP,1,i_P+0))*(t-pas/2-T_ini-INDEX(CdP,1,i_P+0))+INDEX(CdP,2,i_P+0)</f>
        <v>0</v>
      </c>
      <c r="R512" s="396" t="n">
        <f aca="false">Poussee/(g*ISP)</f>
        <v>0</v>
      </c>
      <c r="S512" s="398" t="n">
        <f aca="false">S511-Débit*pas</f>
        <v>8.45</v>
      </c>
      <c r="T512" s="397" t="n">
        <f aca="false">m*g</f>
        <v>82.8945</v>
      </c>
      <c r="U512" s="400" t="n">
        <f aca="false">IF(pos_xz&lt;L_rampe,Poids*COS(Beta),0)</f>
        <v>0</v>
      </c>
      <c r="V512" s="396" t="n">
        <f aca="false">Rho_moyen*(20000-Alt_rampe-pos_z)/(20000+Alt_rampe+pos_z)</f>
        <v>1.22606441820331</v>
      </c>
      <c r="W512" s="397" t="n">
        <f aca="false">1/2*Rho*Sref*Cx*vit_xz^2</f>
        <v>62.0052419292283</v>
      </c>
      <c r="Y512" s="401" t="str">
        <f aca="false">IF(AND(pos_z&lt;=0,K511&gt;0),"Impact balistique","") &amp; IF(AND(H513&lt;0,vit_z&gt;=0),"Apogée","") &amp; IF(AND(Poussee=0,Q511&gt;0),"Fin de propulsion","") &amp; IF(AND(L513&gt;L_rampe,pos_xz&lt;=L_rampe),"Sortie de rampe","")</f>
        <v/>
      </c>
      <c r="Z512" s="402" t="str">
        <f aca="false">IF(ABS(t-T_para)&lt;pas/2,"Para","")</f>
        <v/>
      </c>
      <c r="AA512" s="403" t="str">
        <f aca="false">IF(ABS(t-T_satellite)&lt;pas/2,"Satellite","")</f>
        <v/>
      </c>
      <c r="AC512" s="399" t="e">
        <f aca="false">IF(ABS(t-ROUND(t,0))&lt;0.001,t,NA())</f>
        <v>#N/A</v>
      </c>
      <c r="AD512" s="404" t="e">
        <f aca="false">IF(ABS(t-ROUND(t,0))&lt;0.001,pos_x,NA())</f>
        <v>#N/A</v>
      </c>
      <c r="AE512" s="405" t="e">
        <f aca="false">IF(t&lt;T_para, pos_z, NA())</f>
        <v>#N/A</v>
      </c>
      <c r="AG512" s="396" t="n">
        <f aca="false">IF(AND(L511&lt;L_rampe,Poussee&lt;Poids*SIN(M511)),0,(-W511+Poussee)/m-Poids*SIN(M511)/m)</f>
        <v>2.42378091216254</v>
      </c>
      <c r="AH512" s="397" t="n">
        <f aca="false">IF(AND(L511&lt;L_rampe,Poussee&lt;Poids*SIN(M511)), g*SIN(M511), (-W511+Poussee)/m)</f>
        <v>-7.33785930514343</v>
      </c>
    </row>
    <row r="513" customFormat="false" ht="12.75" hidden="false" customHeight="false" outlineLevel="0" collapsed="false">
      <c r="A513" s="396" t="n">
        <f aca="false">IF(B512+0.01&lt;=T_ini+ROUNDUP(Temps_fin_propu,0), 0.01, IF(K512&gt;0, 0.1, 0.0001))</f>
        <v>0.0001</v>
      </c>
      <c r="B513" s="397" t="n">
        <f aca="false">B512+pas</f>
        <v>32.1008000000002</v>
      </c>
      <c r="D513" s="396" t="n">
        <f aca="false">IF(AND(L512&lt;L_rampe,Poussee&lt;Poids*SIN(M512)),0,(-W512+Poussee)/m*COS(M512)-U512/m*SIN(M512))</f>
        <v>-0.727704088978392</v>
      </c>
      <c r="E513" s="398" t="n">
        <f aca="false">IF(AND(L512&lt;L_rampe,Poussee&lt;Poids*SIN(M512)),0,(-W512+Poussee)/m*SIN(M512)+U512/m*COS(M512)-Poids/m)</f>
        <v>-2.50827414457255</v>
      </c>
      <c r="F513" s="397" t="n">
        <f aca="false">SQRT(acc_x^2+acc_z^2)</f>
        <v>2.61170297420037</v>
      </c>
      <c r="G513" s="396" t="n">
        <f aca="false">G512+acc_x*pas</f>
        <v>11.496725291151</v>
      </c>
      <c r="H513" s="398" t="n">
        <f aca="false">H512+acc_z*pas</f>
        <v>-115.358222470216</v>
      </c>
      <c r="I513" s="397" t="n">
        <f aca="false">SQRT(vit_x^2+vit_z^2)</f>
        <v>115.929695004809</v>
      </c>
      <c r="J513" s="396" t="n">
        <f aca="false">J512+0.5*(vit_x+G512)*pas*(K512&gt;=0)</f>
        <v>690.928492655337</v>
      </c>
      <c r="K513" s="398" t="n">
        <f aca="false">K512+0.5*(vit_z+H512)*pas</f>
        <v>-8.69689059196512</v>
      </c>
      <c r="L513" s="397" t="n">
        <f aca="false">SQRT(pos_x^2+pos_z^2)</f>
        <v>690.983225461331</v>
      </c>
      <c r="M513" s="396" t="n">
        <f aca="false">IF(AND(L512&gt;L_rampe,G513&gt;0),ATAN2(G513,H513),$M$4)</f>
        <v>-1.47146324773765</v>
      </c>
      <c r="N513" s="397" t="n">
        <f aca="false">DEGREES(Beta)</f>
        <v>-84.3086338039804</v>
      </c>
      <c r="P513" s="399" t="n">
        <f aca="false">MATCH(t-pas/2-T_ini,CdP_t)</f>
        <v>23</v>
      </c>
      <c r="Q513" s="397" t="n">
        <f aca="false">(INDEX(CdP,2,i_P+1)-INDEX(CdP,2,i_P+0))/(INDEX(CdP,1,i_P+1)-INDEX(CdP,1,i_P+0))*(t-pas/2-T_ini-INDEX(CdP,1,i_P+0))+INDEX(CdP,2,i_P+0)</f>
        <v>0</v>
      </c>
      <c r="R513" s="396" t="n">
        <f aca="false">Poussee/(g*ISP)</f>
        <v>0</v>
      </c>
      <c r="S513" s="398" t="n">
        <f aca="false">S512-Débit*pas</f>
        <v>8.45</v>
      </c>
      <c r="T513" s="397" t="n">
        <f aca="false">m*g</f>
        <v>82.8945</v>
      </c>
      <c r="U513" s="400" t="n">
        <f aca="false">IF(pos_xz&lt;L_rampe,Poids*COS(Beta),0)</f>
        <v>0</v>
      </c>
      <c r="V513" s="396" t="n">
        <f aca="false">Rho_moyen*(20000-Alt_rampe-pos_z)/(20000+Alt_rampe+pos_z)</f>
        <v>1.22606583256898</v>
      </c>
      <c r="W513" s="397" t="n">
        <f aca="false">1/2*Rho*Sref*Cx*vit_xz^2</f>
        <v>62.0055727272724</v>
      </c>
      <c r="Y513" s="401" t="str">
        <f aca="false">IF(AND(pos_z&lt;=0,K512&gt;0),"Impact balistique","") &amp; IF(AND(H514&lt;0,vit_z&gt;=0),"Apogée","") &amp; IF(AND(Poussee=0,Q512&gt;0),"Fin de propulsion","") &amp; IF(AND(L514&gt;L_rampe,pos_xz&lt;=L_rampe),"Sortie de rampe","")</f>
        <v/>
      </c>
      <c r="Z513" s="402" t="str">
        <f aca="false">IF(ABS(t-T_para)&lt;pas/2,"Para","")</f>
        <v/>
      </c>
      <c r="AA513" s="403" t="str">
        <f aca="false">IF(ABS(t-T_satellite)&lt;pas/2,"Satellite","")</f>
        <v/>
      </c>
      <c r="AC513" s="399" t="e">
        <f aca="false">IF(ABS(t-ROUND(t,0))&lt;0.001,t,NA())</f>
        <v>#N/A</v>
      </c>
      <c r="AD513" s="404" t="e">
        <f aca="false">IF(ABS(t-ROUND(t,0))&lt;0.001,pos_x,NA())</f>
        <v>#N/A</v>
      </c>
      <c r="AE513" s="405" t="e">
        <f aca="false">IF(t&lt;T_para, pos_z, NA())</f>
        <v>#N/A</v>
      </c>
      <c r="AG513" s="396" t="n">
        <f aca="false">IF(AND(L512&lt;L_rampe,Poussee&lt;Poids*SIN(M512)),0,(-W512+Poussee)/m-Poids*SIN(M512)/m)</f>
        <v>2.42374258056721</v>
      </c>
      <c r="AH513" s="397" t="n">
        <f aca="false">IF(AND(L512&lt;L_rampe,Poussee&lt;Poids*SIN(M512)), g*SIN(M512), (-W512+Poussee)/m)</f>
        <v>-7.33789845316311</v>
      </c>
    </row>
    <row r="514" customFormat="false" ht="12.75" hidden="false" customHeight="false" outlineLevel="0" collapsed="false">
      <c r="A514" s="396" t="n">
        <f aca="false">IF(B513+0.01&lt;=T_ini+ROUNDUP(Temps_fin_propu,0), 0.01, IF(K513&gt;0, 0.1, 0.0001))</f>
        <v>0.0001</v>
      </c>
      <c r="B514" s="397" t="n">
        <f aca="false">B513+pas</f>
        <v>32.1009000000002</v>
      </c>
      <c r="D514" s="396" t="n">
        <f aca="false">IF(AND(L513&lt;L_rampe,Poussee&lt;Poids*SIN(M513)),0,(-W513+Poussee)/m*COS(M513)-U513/m*SIN(M513))</f>
        <v>-0.727701843752827</v>
      </c>
      <c r="E514" s="398" t="n">
        <f aca="false">IF(AND(L513&lt;L_rampe,Poussee&lt;Poids*SIN(M513)),0,(-W513+Poussee)/m*SIN(M513)+U513/m*COS(M513)-Poids/m)</f>
        <v>-2.50823457917723</v>
      </c>
      <c r="F514" s="397" t="n">
        <f aca="false">SQRT(acc_x^2+acc_z^2)</f>
        <v>2.61166435009969</v>
      </c>
      <c r="G514" s="396" t="n">
        <f aca="false">G513+acc_x*pas</f>
        <v>11.4966525209667</v>
      </c>
      <c r="H514" s="398" t="n">
        <f aca="false">H513+acc_z*pas</f>
        <v>-115.358473293674</v>
      </c>
      <c r="I514" s="397" t="n">
        <f aca="false">SQRT(vit_x^2+vit_z^2)</f>
        <v>115.929937375275</v>
      </c>
      <c r="J514" s="396" t="n">
        <f aca="false">J513+0.5*(vit_x+G513)*pas*(K513&gt;=0)</f>
        <v>690.928492655337</v>
      </c>
      <c r="K514" s="398" t="n">
        <f aca="false">K513+0.5*(vit_z+H513)*pas</f>
        <v>-8.70842642675331</v>
      </c>
      <c r="L514" s="397" t="n">
        <f aca="false">SQRT(pos_x^2+pos_z^2)</f>
        <v>690.98337075056</v>
      </c>
      <c r="M514" s="396" t="n">
        <f aca="false">IF(AND(L513&gt;L_rampe,G514&gt;0),ATAN2(G514,H514),$M$4)</f>
        <v>-1.47146408691329</v>
      </c>
      <c r="N514" s="397" t="n">
        <f aca="false">DEGREES(Beta)</f>
        <v>-84.3086818852027</v>
      </c>
      <c r="P514" s="399" t="n">
        <f aca="false">MATCH(t-pas/2-T_ini,CdP_t)</f>
        <v>23</v>
      </c>
      <c r="Q514" s="397" t="n">
        <f aca="false">(INDEX(CdP,2,i_P+1)-INDEX(CdP,2,i_P+0))/(INDEX(CdP,1,i_P+1)-INDEX(CdP,1,i_P+0))*(t-pas/2-T_ini-INDEX(CdP,1,i_P+0))+INDEX(CdP,2,i_P+0)</f>
        <v>0</v>
      </c>
      <c r="R514" s="396" t="n">
        <f aca="false">Poussee/(g*ISP)</f>
        <v>0</v>
      </c>
      <c r="S514" s="398" t="n">
        <f aca="false">S513-Débit*pas</f>
        <v>8.45</v>
      </c>
      <c r="T514" s="397" t="n">
        <f aca="false">m*g</f>
        <v>82.8945</v>
      </c>
      <c r="U514" s="400" t="n">
        <f aca="false">IF(pos_xz&lt;L_rampe,Poids*COS(Beta),0)</f>
        <v>0</v>
      </c>
      <c r="V514" s="396" t="n">
        <f aca="false">Rho_moyen*(20000-Alt_rampe-pos_z)/(20000+Alt_rampe+pos_z)</f>
        <v>1.22606724693935</v>
      </c>
      <c r="W514" s="397" t="n">
        <f aca="false">1/2*Rho*Sref*Cx*vit_xz^2</f>
        <v>62.0059035225946</v>
      </c>
      <c r="Y514" s="401" t="str">
        <f aca="false">IF(AND(pos_z&lt;=0,K513&gt;0),"Impact balistique","") &amp; IF(AND(H515&lt;0,vit_z&gt;=0),"Apogée","") &amp; IF(AND(Poussee=0,Q513&gt;0),"Fin de propulsion","") &amp; IF(AND(L515&gt;L_rampe,pos_xz&lt;=L_rampe),"Sortie de rampe","")</f>
        <v/>
      </c>
      <c r="Z514" s="402" t="str">
        <f aca="false">IF(ABS(t-T_para)&lt;pas/2,"Para","")</f>
        <v/>
      </c>
      <c r="AA514" s="403" t="str">
        <f aca="false">IF(ABS(t-T_satellite)&lt;pas/2,"Satellite","")</f>
        <v/>
      </c>
      <c r="AC514" s="399" t="e">
        <f aca="false">IF(ABS(t-ROUND(t,0))&lt;0.001,t,NA())</f>
        <v>#N/A</v>
      </c>
      <c r="AD514" s="404" t="e">
        <f aca="false">IF(ABS(t-ROUND(t,0))&lt;0.001,pos_x,NA())</f>
        <v>#N/A</v>
      </c>
      <c r="AE514" s="405" t="e">
        <f aca="false">IF(t&lt;T_para, pos_z, NA())</f>
        <v>#N/A</v>
      </c>
      <c r="AG514" s="396" t="n">
        <f aca="false">IF(AND(L513&lt;L_rampe,Poussee&lt;Poids*SIN(M513)),0,(-W513+Poussee)/m-Poids*SIN(M513)/m)</f>
        <v>2.42370424927857</v>
      </c>
      <c r="AH514" s="397" t="n">
        <f aca="false">IF(AND(L513&lt;L_rampe,Poussee&lt;Poids*SIN(M513)), g*SIN(M513), (-W513+Poussee)/m)</f>
        <v>-7.33793760086064</v>
      </c>
    </row>
    <row r="515" customFormat="false" ht="12.75" hidden="false" customHeight="false" outlineLevel="0" collapsed="false">
      <c r="A515" s="396" t="n">
        <f aca="false">IF(B514+0.01&lt;=T_ini+ROUNDUP(Temps_fin_propu,0), 0.01, IF(K514&gt;0, 0.1, 0.0001))</f>
        <v>0.0001</v>
      </c>
      <c r="B515" s="397" t="n">
        <f aca="false">B514+pas</f>
        <v>32.1010000000002</v>
      </c>
      <c r="D515" s="396" t="n">
        <f aca="false">IF(AND(L514&lt;L_rampe,Poussee&lt;Poids*SIN(M514)),0,(-W514+Poussee)/m*COS(M514)-U514/m*SIN(M514))</f>
        <v>-0.727699598493831</v>
      </c>
      <c r="E515" s="398" t="n">
        <f aca="false">IF(AND(L514&lt;L_rampe,Poussee&lt;Poids*SIN(M514)),0,(-W514+Poussee)/m*SIN(M514)+U514/m*COS(M514)-Poids/m)</f>
        <v>-2.50819501410748</v>
      </c>
      <c r="F515" s="397" t="n">
        <f aca="false">SQRT(acc_x^2+acc_z^2)</f>
        <v>2.61162572633249</v>
      </c>
      <c r="G515" s="396" t="n">
        <f aca="false">G514+acc_x*pas</f>
        <v>11.4965797510068</v>
      </c>
      <c r="H515" s="398" t="n">
        <f aca="false">H514+acc_z*pas</f>
        <v>-115.358724113176</v>
      </c>
      <c r="I515" s="397" t="n">
        <f aca="false">SQRT(vit_x^2+vit_z^2)</f>
        <v>115.930179741908</v>
      </c>
      <c r="J515" s="396" t="n">
        <f aca="false">J514+0.5*(vit_x+G514)*pas*(K514&gt;=0)</f>
        <v>690.928492655337</v>
      </c>
      <c r="K515" s="398" t="n">
        <f aca="false">K514+0.5*(vit_z+H514)*pas</f>
        <v>-8.71996228662365</v>
      </c>
      <c r="L515" s="397" t="n">
        <f aca="false">SQRT(pos_x^2+pos_z^2)</f>
        <v>690.983516232664</v>
      </c>
      <c r="M515" s="396" t="n">
        <f aca="false">IF(AND(L514&gt;L_rampe,G515&gt;0),ATAN2(G515,H515),$M$4)</f>
        <v>-1.4714649260801</v>
      </c>
      <c r="N515" s="397" t="n">
        <f aca="false">DEGREES(Beta)</f>
        <v>-84.3087299659195</v>
      </c>
      <c r="P515" s="399" t="n">
        <f aca="false">MATCH(t-pas/2-T_ini,CdP_t)</f>
        <v>23</v>
      </c>
      <c r="Q515" s="397" t="n">
        <f aca="false">(INDEX(CdP,2,i_P+1)-INDEX(CdP,2,i_P+0))/(INDEX(CdP,1,i_P+1)-INDEX(CdP,1,i_P+0))*(t-pas/2-T_ini-INDEX(CdP,1,i_P+0))+INDEX(CdP,2,i_P+0)</f>
        <v>0</v>
      </c>
      <c r="R515" s="396" t="n">
        <f aca="false">Poussee/(g*ISP)</f>
        <v>0</v>
      </c>
      <c r="S515" s="398" t="n">
        <f aca="false">S514-Débit*pas</f>
        <v>8.45</v>
      </c>
      <c r="T515" s="397" t="n">
        <f aca="false">m*g</f>
        <v>82.8945</v>
      </c>
      <c r="U515" s="400" t="n">
        <f aca="false">IF(pos_xz&lt;L_rampe,Poids*COS(Beta),0)</f>
        <v>0</v>
      </c>
      <c r="V515" s="396" t="n">
        <f aca="false">Rho_moyen*(20000-Alt_rampe-pos_z)/(20000+Alt_rampe+pos_z)</f>
        <v>1.22606866131443</v>
      </c>
      <c r="W515" s="397" t="n">
        <f aca="false">1/2*Rho*Sref*Cx*vit_xz^2</f>
        <v>62.0062343151947</v>
      </c>
      <c r="Y515" s="401" t="str">
        <f aca="false">IF(AND(pos_z&lt;=0,K514&gt;0),"Impact balistique","") &amp; IF(AND(H516&lt;0,vit_z&gt;=0),"Apogée","") &amp; IF(AND(Poussee=0,Q514&gt;0),"Fin de propulsion","") &amp; IF(AND(L516&gt;L_rampe,pos_xz&lt;=L_rampe),"Sortie de rampe","")</f>
        <v/>
      </c>
      <c r="Z515" s="402" t="str">
        <f aca="false">IF(ABS(t-T_para)&lt;pas/2,"Para","")</f>
        <v/>
      </c>
      <c r="AA515" s="403" t="str">
        <f aca="false">IF(ABS(t-T_satellite)&lt;pas/2,"Satellite","")</f>
        <v/>
      </c>
      <c r="AC515" s="399" t="e">
        <f aca="false">IF(ABS(t-ROUND(t,0))&lt;0.001,t,NA())</f>
        <v>#N/A</v>
      </c>
      <c r="AD515" s="404" t="e">
        <f aca="false">IF(ABS(t-ROUND(t,0))&lt;0.001,pos_x,NA())</f>
        <v>#N/A</v>
      </c>
      <c r="AE515" s="405" t="e">
        <f aca="false">IF(t&lt;T_para, pos_z, NA())</f>
        <v>#N/A</v>
      </c>
      <c r="AG515" s="396" t="n">
        <f aca="false">IF(AND(L514&lt;L_rampe,Poussee&lt;Poids*SIN(M514)),0,(-W514+Poussee)/m-Poids*SIN(M514)/m)</f>
        <v>2.42366591829661</v>
      </c>
      <c r="AH515" s="397" t="n">
        <f aca="false">IF(AND(L514&lt;L_rampe,Poussee&lt;Poids*SIN(M514)), g*SIN(M514), (-W514+Poussee)/m)</f>
        <v>-7.33797674823605</v>
      </c>
    </row>
    <row r="516" customFormat="false" ht="12.75" hidden="false" customHeight="false" outlineLevel="0" collapsed="false">
      <c r="A516" s="396" t="n">
        <f aca="false">IF(B515+0.01&lt;=T_ini+ROUNDUP(Temps_fin_propu,0), 0.01, IF(K515&gt;0, 0.1, 0.0001))</f>
        <v>0.0001</v>
      </c>
      <c r="B516" s="397" t="n">
        <f aca="false">B515+pas</f>
        <v>32.1011000000002</v>
      </c>
      <c r="D516" s="396" t="n">
        <f aca="false">IF(AND(L515&lt;L_rampe,Poussee&lt;Poids*SIN(M515)),0,(-W515+Poussee)/m*COS(M515)-U515/m*SIN(M515))</f>
        <v>-0.727697353201405</v>
      </c>
      <c r="E516" s="398" t="n">
        <f aca="false">IF(AND(L515&lt;L_rampe,Poussee&lt;Poids*SIN(M515)),0,(-W515+Poussee)/m*SIN(M515)+U515/m*COS(M515)-Poids/m)</f>
        <v>-2.50815544936334</v>
      </c>
      <c r="F516" s="397" t="n">
        <f aca="false">SQRT(acc_x^2+acc_z^2)</f>
        <v>2.6115871028988</v>
      </c>
      <c r="G516" s="396" t="n">
        <f aca="false">G515+acc_x*pas</f>
        <v>11.4965069812715</v>
      </c>
      <c r="H516" s="398" t="n">
        <f aca="false">H515+acc_z*pas</f>
        <v>-115.358974928721</v>
      </c>
      <c r="I516" s="397" t="n">
        <f aca="false">SQRT(vit_x^2+vit_z^2)</f>
        <v>115.930422104707</v>
      </c>
      <c r="J516" s="396" t="n">
        <f aca="false">J515+0.5*(vit_x+G515)*pas*(K515&gt;=0)</f>
        <v>690.928492655337</v>
      </c>
      <c r="K516" s="398" t="n">
        <f aca="false">K515+0.5*(vit_z+H515)*pas</f>
        <v>-8.73149817157575</v>
      </c>
      <c r="L516" s="397" t="n">
        <f aca="false">SQRT(pos_x^2+pos_z^2)</f>
        <v>690.983661907643</v>
      </c>
      <c r="M516" s="396" t="n">
        <f aca="false">IF(AND(L515&gt;L_rampe,G516&gt;0),ATAN2(G516,H516),$M$4)</f>
        <v>-1.4714657652381</v>
      </c>
      <c r="N516" s="397" t="n">
        <f aca="false">DEGREES(Beta)</f>
        <v>-84.3087780461311</v>
      </c>
      <c r="P516" s="399" t="n">
        <f aca="false">MATCH(t-pas/2-T_ini,CdP_t)</f>
        <v>23</v>
      </c>
      <c r="Q516" s="397" t="n">
        <f aca="false">(INDEX(CdP,2,i_P+1)-INDEX(CdP,2,i_P+0))/(INDEX(CdP,1,i_P+1)-INDEX(CdP,1,i_P+0))*(t-pas/2-T_ini-INDEX(CdP,1,i_P+0))+INDEX(CdP,2,i_P+0)</f>
        <v>0</v>
      </c>
      <c r="R516" s="396" t="n">
        <f aca="false">Poussee/(g*ISP)</f>
        <v>0</v>
      </c>
      <c r="S516" s="398" t="n">
        <f aca="false">S515-Débit*pas</f>
        <v>8.45</v>
      </c>
      <c r="T516" s="397" t="n">
        <f aca="false">m*g</f>
        <v>82.8945</v>
      </c>
      <c r="U516" s="400" t="n">
        <f aca="false">IF(pos_xz&lt;L_rampe,Poids*COS(Beta),0)</f>
        <v>0</v>
      </c>
      <c r="V516" s="396" t="n">
        <f aca="false">Rho_moyen*(20000-Alt_rampe-pos_z)/(20000+Alt_rampe+pos_z)</f>
        <v>1.22607007569422</v>
      </c>
      <c r="W516" s="397" t="n">
        <f aca="false">1/2*Rho*Sref*Cx*vit_xz^2</f>
        <v>62.0065651050728</v>
      </c>
      <c r="Y516" s="401" t="str">
        <f aca="false">IF(AND(pos_z&lt;=0,K515&gt;0),"Impact balistique","") &amp; IF(AND(H517&lt;0,vit_z&gt;=0),"Apogée","") &amp; IF(AND(Poussee=0,Q515&gt;0),"Fin de propulsion","") &amp; IF(AND(L517&gt;L_rampe,pos_xz&lt;=L_rampe),"Sortie de rampe","")</f>
        <v/>
      </c>
      <c r="Z516" s="402" t="str">
        <f aca="false">IF(ABS(t-T_para)&lt;pas/2,"Para","")</f>
        <v/>
      </c>
      <c r="AA516" s="403" t="str">
        <f aca="false">IF(ABS(t-T_satellite)&lt;pas/2,"Satellite","")</f>
        <v/>
      </c>
      <c r="AC516" s="399" t="e">
        <f aca="false">IF(ABS(t-ROUND(t,0))&lt;0.001,t,NA())</f>
        <v>#N/A</v>
      </c>
      <c r="AD516" s="404" t="e">
        <f aca="false">IF(ABS(t-ROUND(t,0))&lt;0.001,pos_x,NA())</f>
        <v>#N/A</v>
      </c>
      <c r="AE516" s="405" t="e">
        <f aca="false">IF(t&lt;T_para, pos_z, NA())</f>
        <v>#N/A</v>
      </c>
      <c r="AG516" s="396" t="n">
        <f aca="false">IF(AND(L515&lt;L_rampe,Poussee&lt;Poids*SIN(M515)),0,(-W515+Poussee)/m-Poids*SIN(M515)/m)</f>
        <v>2.42362758762133</v>
      </c>
      <c r="AH516" s="397" t="n">
        <f aca="false">IF(AND(L515&lt;L_rampe,Poussee&lt;Poids*SIN(M515)), g*SIN(M515), (-W515+Poussee)/m)</f>
        <v>-7.33801589528932</v>
      </c>
    </row>
    <row r="517" customFormat="false" ht="12.75" hidden="false" customHeight="false" outlineLevel="0" collapsed="false">
      <c r="A517" s="396" t="n">
        <f aca="false">IF(B516+0.01&lt;=T_ini+ROUNDUP(Temps_fin_propu,0), 0.01, IF(K516&gt;0, 0.1, 0.0001))</f>
        <v>0.0001</v>
      </c>
      <c r="B517" s="397" t="n">
        <f aca="false">B516+pas</f>
        <v>32.1012000000002</v>
      </c>
      <c r="D517" s="396" t="n">
        <f aca="false">IF(AND(L516&lt;L_rampe,Poussee&lt;Poids*SIN(M516)),0,(-W516+Poussee)/m*COS(M516)-U516/m*SIN(M516))</f>
        <v>-0.727695107875546</v>
      </c>
      <c r="E517" s="398" t="n">
        <f aca="false">IF(AND(L516&lt;L_rampe,Poussee&lt;Poids*SIN(M516)),0,(-W516+Poussee)/m*SIN(M516)+U516/m*COS(M516)-Poids/m)</f>
        <v>-2.50811588494478</v>
      </c>
      <c r="F517" s="397" t="n">
        <f aca="false">SQRT(acc_x^2+acc_z^2)</f>
        <v>2.6115484797986</v>
      </c>
      <c r="G517" s="396" t="n">
        <f aca="false">G516+acc_x*pas</f>
        <v>11.4964342117607</v>
      </c>
      <c r="H517" s="398" t="n">
        <f aca="false">H516+acc_z*pas</f>
        <v>-115.359225740309</v>
      </c>
      <c r="I517" s="397" t="n">
        <f aca="false">SQRT(vit_x^2+vit_z^2)</f>
        <v>115.930664463674</v>
      </c>
      <c r="J517" s="396" t="n">
        <f aca="false">J516+0.5*(vit_x+G516)*pas*(K516&gt;=0)</f>
        <v>690.928492655337</v>
      </c>
      <c r="K517" s="398" t="n">
        <f aca="false">K516+0.5*(vit_z+H516)*pas</f>
        <v>-8.7430340816092</v>
      </c>
      <c r="L517" s="397" t="n">
        <f aca="false">SQRT(pos_x^2+pos_z^2)</f>
        <v>690.983807775499</v>
      </c>
      <c r="M517" s="396" t="n">
        <f aca="false">IF(AND(L516&gt;L_rampe,G517&gt;0),ATAN2(G517,H517),$M$4)</f>
        <v>-1.47146660438728</v>
      </c>
      <c r="N517" s="397" t="n">
        <f aca="false">DEGREES(Beta)</f>
        <v>-84.3088261258373</v>
      </c>
      <c r="P517" s="399" t="n">
        <f aca="false">MATCH(t-pas/2-T_ini,CdP_t)</f>
        <v>23</v>
      </c>
      <c r="Q517" s="397" t="n">
        <f aca="false">(INDEX(CdP,2,i_P+1)-INDEX(CdP,2,i_P+0))/(INDEX(CdP,1,i_P+1)-INDEX(CdP,1,i_P+0))*(t-pas/2-T_ini-INDEX(CdP,1,i_P+0))+INDEX(CdP,2,i_P+0)</f>
        <v>0</v>
      </c>
      <c r="R517" s="396" t="n">
        <f aca="false">Poussee/(g*ISP)</f>
        <v>0</v>
      </c>
      <c r="S517" s="398" t="n">
        <f aca="false">S516-Débit*pas</f>
        <v>8.45</v>
      </c>
      <c r="T517" s="397" t="n">
        <f aca="false">m*g</f>
        <v>82.8945</v>
      </c>
      <c r="U517" s="400" t="n">
        <f aca="false">IF(pos_xz&lt;L_rampe,Poids*COS(Beta),0)</f>
        <v>0</v>
      </c>
      <c r="V517" s="396" t="n">
        <f aca="false">Rho_moyen*(20000-Alt_rampe-pos_z)/(20000+Alt_rampe+pos_z)</f>
        <v>1.22607149007871</v>
      </c>
      <c r="W517" s="397" t="n">
        <f aca="false">1/2*Rho*Sref*Cx*vit_xz^2</f>
        <v>62.0068958922288</v>
      </c>
      <c r="Y517" s="401" t="str">
        <f aca="false">IF(AND(pos_z&lt;=0,K516&gt;0),"Impact balistique","") &amp; IF(AND(H518&lt;0,vit_z&gt;=0),"Apogée","") &amp; IF(AND(Poussee=0,Q516&gt;0),"Fin de propulsion","") &amp; IF(AND(L518&gt;L_rampe,pos_xz&lt;=L_rampe),"Sortie de rampe","")</f>
        <v/>
      </c>
      <c r="Z517" s="402" t="str">
        <f aca="false">IF(ABS(t-T_para)&lt;pas/2,"Para","")</f>
        <v/>
      </c>
      <c r="AA517" s="403" t="str">
        <f aca="false">IF(ABS(t-T_satellite)&lt;pas/2,"Satellite","")</f>
        <v/>
      </c>
      <c r="AC517" s="399" t="e">
        <f aca="false">IF(ABS(t-ROUND(t,0))&lt;0.001,t,NA())</f>
        <v>#N/A</v>
      </c>
      <c r="AD517" s="404" t="e">
        <f aca="false">IF(ABS(t-ROUND(t,0))&lt;0.001,pos_x,NA())</f>
        <v>#N/A</v>
      </c>
      <c r="AE517" s="405" t="e">
        <f aca="false">IF(t&lt;T_para, pos_z, NA())</f>
        <v>#N/A</v>
      </c>
      <c r="AG517" s="396" t="n">
        <f aca="false">IF(AND(L516&lt;L_rampe,Poussee&lt;Poids*SIN(M516)),0,(-W516+Poussee)/m-Poids*SIN(M516)/m)</f>
        <v>2.42358925725273</v>
      </c>
      <c r="AH517" s="397" t="n">
        <f aca="false">IF(AND(L516&lt;L_rampe,Poussee&lt;Poids*SIN(M516)), g*SIN(M516), (-W516+Poussee)/m)</f>
        <v>-7.33805504202045</v>
      </c>
    </row>
    <row r="518" customFormat="false" ht="12.75" hidden="false" customHeight="false" outlineLevel="0" collapsed="false">
      <c r="A518" s="396" t="n">
        <f aca="false">IF(B517+0.01&lt;=T_ini+ROUNDUP(Temps_fin_propu,0), 0.01, IF(K517&gt;0, 0.1, 0.0001))</f>
        <v>0.0001</v>
      </c>
      <c r="B518" s="397" t="n">
        <f aca="false">B517+pas</f>
        <v>32.1013000000002</v>
      </c>
      <c r="D518" s="396" t="n">
        <f aca="false">IF(AND(L517&lt;L_rampe,Poussee&lt;Poids*SIN(M517)),0,(-W517+Poussee)/m*COS(M517)-U517/m*SIN(M517))</f>
        <v>-0.727692862516258</v>
      </c>
      <c r="E518" s="398" t="n">
        <f aca="false">IF(AND(L517&lt;L_rampe,Poussee&lt;Poids*SIN(M517)),0,(-W517+Poussee)/m*SIN(M517)+U517/m*COS(M517)-Poids/m)</f>
        <v>-2.50807632085182</v>
      </c>
      <c r="F518" s="397" t="n">
        <f aca="false">SQRT(acc_x^2+acc_z^2)</f>
        <v>2.61150985703189</v>
      </c>
      <c r="G518" s="396" t="n">
        <f aca="false">G517+acc_x*pas</f>
        <v>11.4963614424745</v>
      </c>
      <c r="H518" s="398" t="n">
        <f aca="false">H517+acc_z*pas</f>
        <v>-115.359476547941</v>
      </c>
      <c r="I518" s="397" t="n">
        <f aca="false">SQRT(vit_x^2+vit_z^2)</f>
        <v>115.930906818807</v>
      </c>
      <c r="J518" s="396" t="n">
        <f aca="false">J517+0.5*(vit_x+G517)*pas*(K517&gt;=0)</f>
        <v>690.928492655337</v>
      </c>
      <c r="K518" s="398" t="n">
        <f aca="false">K517+0.5*(vit_z+H517)*pas</f>
        <v>-8.75457001672361</v>
      </c>
      <c r="L518" s="397" t="n">
        <f aca="false">SQRT(pos_x^2+pos_z^2)</f>
        <v>690.983953836233</v>
      </c>
      <c r="M518" s="396" t="n">
        <f aca="false">IF(AND(L517&gt;L_rampe,G518&gt;0),ATAN2(G518,H518),$M$4)</f>
        <v>-1.47146744352763</v>
      </c>
      <c r="N518" s="397" t="n">
        <f aca="false">DEGREES(Beta)</f>
        <v>-84.3088742050381</v>
      </c>
      <c r="P518" s="399" t="n">
        <f aca="false">MATCH(t-pas/2-T_ini,CdP_t)</f>
        <v>23</v>
      </c>
      <c r="Q518" s="397" t="n">
        <f aca="false">(INDEX(CdP,2,i_P+1)-INDEX(CdP,2,i_P+0))/(INDEX(CdP,1,i_P+1)-INDEX(CdP,1,i_P+0))*(t-pas/2-T_ini-INDEX(CdP,1,i_P+0))+INDEX(CdP,2,i_P+0)</f>
        <v>0</v>
      </c>
      <c r="R518" s="396" t="n">
        <f aca="false">Poussee/(g*ISP)</f>
        <v>0</v>
      </c>
      <c r="S518" s="398" t="n">
        <f aca="false">S517-Débit*pas</f>
        <v>8.45</v>
      </c>
      <c r="T518" s="397" t="n">
        <f aca="false">m*g</f>
        <v>82.8945</v>
      </c>
      <c r="U518" s="400" t="n">
        <f aca="false">IF(pos_xz&lt;L_rampe,Poids*COS(Beta),0)</f>
        <v>0</v>
      </c>
      <c r="V518" s="396" t="n">
        <f aca="false">Rho_moyen*(20000-Alt_rampe-pos_z)/(20000+Alt_rampe+pos_z)</f>
        <v>1.22607290446791</v>
      </c>
      <c r="W518" s="397" t="n">
        <f aca="false">1/2*Rho*Sref*Cx*vit_xz^2</f>
        <v>62.0072266766628</v>
      </c>
      <c r="Y518" s="401" t="str">
        <f aca="false">IF(AND(pos_z&lt;=0,K517&gt;0),"Impact balistique","") &amp; IF(AND(H519&lt;0,vit_z&gt;=0),"Apogée","") &amp; IF(AND(Poussee=0,Q517&gt;0),"Fin de propulsion","") &amp; IF(AND(L519&gt;L_rampe,pos_xz&lt;=L_rampe),"Sortie de rampe","")</f>
        <v/>
      </c>
      <c r="Z518" s="402" t="str">
        <f aca="false">IF(ABS(t-T_para)&lt;pas/2,"Para","")</f>
        <v/>
      </c>
      <c r="AA518" s="403" t="str">
        <f aca="false">IF(ABS(t-T_satellite)&lt;pas/2,"Satellite","")</f>
        <v/>
      </c>
      <c r="AC518" s="399" t="e">
        <f aca="false">IF(ABS(t-ROUND(t,0))&lt;0.001,t,NA())</f>
        <v>#N/A</v>
      </c>
      <c r="AD518" s="404" t="e">
        <f aca="false">IF(ABS(t-ROUND(t,0))&lt;0.001,pos_x,NA())</f>
        <v>#N/A</v>
      </c>
      <c r="AE518" s="405" t="e">
        <f aca="false">IF(t&lt;T_para, pos_z, NA())</f>
        <v>#N/A</v>
      </c>
      <c r="AG518" s="396" t="n">
        <f aca="false">IF(AND(L517&lt;L_rampe,Poussee&lt;Poids*SIN(M517)),0,(-W517+Poussee)/m-Poids*SIN(M517)/m)</f>
        <v>2.4235509271908</v>
      </c>
      <c r="AH518" s="397" t="n">
        <f aca="false">IF(AND(L517&lt;L_rampe,Poussee&lt;Poids*SIN(M517)), g*SIN(M517), (-W517+Poussee)/m)</f>
        <v>-7.33809418842945</v>
      </c>
    </row>
    <row r="519" customFormat="false" ht="12.75" hidden="false" customHeight="false" outlineLevel="0" collapsed="false">
      <c r="A519" s="396" t="n">
        <f aca="false">IF(B518+0.01&lt;=T_ini+ROUNDUP(Temps_fin_propu,0), 0.01, IF(K518&gt;0, 0.1, 0.0001))</f>
        <v>0.0001</v>
      </c>
      <c r="B519" s="397" t="n">
        <f aca="false">B518+pas</f>
        <v>32.1014000000002</v>
      </c>
      <c r="D519" s="396" t="n">
        <f aca="false">IF(AND(L518&lt;L_rampe,Poussee&lt;Poids*SIN(M518)),0,(-W518+Poussee)/m*COS(M518)-U518/m*SIN(M518))</f>
        <v>-0.727690617123541</v>
      </c>
      <c r="E519" s="398" t="n">
        <f aca="false">IF(AND(L518&lt;L_rampe,Poussee&lt;Poids*SIN(M518)),0,(-W518+Poussee)/m*SIN(M518)+U518/m*COS(M518)-Poids/m)</f>
        <v>-2.50803675708445</v>
      </c>
      <c r="F519" s="397" t="n">
        <f aca="false">SQRT(acc_x^2+acc_z^2)</f>
        <v>2.61147123459867</v>
      </c>
      <c r="G519" s="396" t="n">
        <f aca="false">G518+acc_x*pas</f>
        <v>11.4962886734127</v>
      </c>
      <c r="H519" s="398" t="n">
        <f aca="false">H518+acc_z*pas</f>
        <v>-115.359727351617</v>
      </c>
      <c r="I519" s="397" t="n">
        <f aca="false">SQRT(vit_x^2+vit_z^2)</f>
        <v>115.931149170108</v>
      </c>
      <c r="J519" s="396" t="n">
        <f aca="false">J518+0.5*(vit_x+G518)*pas*(K518&gt;=0)</f>
        <v>690.928492655337</v>
      </c>
      <c r="K519" s="398" t="n">
        <f aca="false">K518+0.5*(vit_z+H518)*pas</f>
        <v>-8.76610597691859</v>
      </c>
      <c r="L519" s="397" t="n">
        <f aca="false">SQRT(pos_x^2+pos_z^2)</f>
        <v>690.984100089846</v>
      </c>
      <c r="M519" s="396" t="n">
        <f aca="false">IF(AND(L518&gt;L_rampe,G519&gt;0),ATAN2(G519,H519),$M$4)</f>
        <v>-1.47146828265917</v>
      </c>
      <c r="N519" s="397" t="n">
        <f aca="false">DEGREES(Beta)</f>
        <v>-84.3089222837336</v>
      </c>
      <c r="P519" s="399" t="n">
        <f aca="false">MATCH(t-pas/2-T_ini,CdP_t)</f>
        <v>23</v>
      </c>
      <c r="Q519" s="397" t="n">
        <f aca="false">(INDEX(CdP,2,i_P+1)-INDEX(CdP,2,i_P+0))/(INDEX(CdP,1,i_P+1)-INDEX(CdP,1,i_P+0))*(t-pas/2-T_ini-INDEX(CdP,1,i_P+0))+INDEX(CdP,2,i_P+0)</f>
        <v>0</v>
      </c>
      <c r="R519" s="396" t="n">
        <f aca="false">Poussee/(g*ISP)</f>
        <v>0</v>
      </c>
      <c r="S519" s="398" t="n">
        <f aca="false">S518-Débit*pas</f>
        <v>8.45</v>
      </c>
      <c r="T519" s="397" t="n">
        <f aca="false">m*g</f>
        <v>82.8945</v>
      </c>
      <c r="U519" s="400" t="n">
        <f aca="false">IF(pos_xz&lt;L_rampe,Poids*COS(Beta),0)</f>
        <v>0</v>
      </c>
      <c r="V519" s="396" t="n">
        <f aca="false">Rho_moyen*(20000-Alt_rampe-pos_z)/(20000+Alt_rampe+pos_z)</f>
        <v>1.22607431886182</v>
      </c>
      <c r="W519" s="397" t="n">
        <f aca="false">1/2*Rho*Sref*Cx*vit_xz^2</f>
        <v>62.0075574583747</v>
      </c>
      <c r="Y519" s="401" t="str">
        <f aca="false">IF(AND(pos_z&lt;=0,K518&gt;0),"Impact balistique","") &amp; IF(AND(H520&lt;0,vit_z&gt;=0),"Apogée","") &amp; IF(AND(Poussee=0,Q518&gt;0),"Fin de propulsion","") &amp; IF(AND(L520&gt;L_rampe,pos_xz&lt;=L_rampe),"Sortie de rampe","")</f>
        <v/>
      </c>
      <c r="Z519" s="402" t="str">
        <f aca="false">IF(ABS(t-T_para)&lt;pas/2,"Para","")</f>
        <v/>
      </c>
      <c r="AA519" s="403" t="str">
        <f aca="false">IF(ABS(t-T_satellite)&lt;pas/2,"Satellite","")</f>
        <v/>
      </c>
      <c r="AC519" s="399" t="e">
        <f aca="false">IF(ABS(t-ROUND(t,0))&lt;0.001,t,NA())</f>
        <v>#N/A</v>
      </c>
      <c r="AD519" s="404" t="e">
        <f aca="false">IF(ABS(t-ROUND(t,0))&lt;0.001,pos_x,NA())</f>
        <v>#N/A</v>
      </c>
      <c r="AE519" s="405" t="e">
        <f aca="false">IF(t&lt;T_para, pos_z, NA())</f>
        <v>#N/A</v>
      </c>
      <c r="AG519" s="396" t="n">
        <f aca="false">IF(AND(L518&lt;L_rampe,Poussee&lt;Poids*SIN(M518)),0,(-W518+Poussee)/m-Poids*SIN(M518)/m)</f>
        <v>2.42351259743557</v>
      </c>
      <c r="AH519" s="397" t="n">
        <f aca="false">IF(AND(L518&lt;L_rampe,Poussee&lt;Poids*SIN(M518)), g*SIN(M518), (-W518+Poussee)/m)</f>
        <v>-7.33813333451631</v>
      </c>
    </row>
    <row r="520" customFormat="false" ht="12.75" hidden="false" customHeight="false" outlineLevel="0" collapsed="false">
      <c r="A520" s="396" t="n">
        <f aca="false">IF(B519+0.01&lt;=T_ini+ROUNDUP(Temps_fin_propu,0), 0.01, IF(K519&gt;0, 0.1, 0.0001))</f>
        <v>0.0001</v>
      </c>
      <c r="B520" s="397" t="n">
        <f aca="false">B519+pas</f>
        <v>32.1015000000002</v>
      </c>
      <c r="D520" s="396" t="n">
        <f aca="false">IF(AND(L519&lt;L_rampe,Poussee&lt;Poids*SIN(M519)),0,(-W519+Poussee)/m*COS(M519)-U519/m*SIN(M519))</f>
        <v>-0.727688371697398</v>
      </c>
      <c r="E520" s="398" t="n">
        <f aca="false">IF(AND(L519&lt;L_rampe,Poussee&lt;Poids*SIN(M519)),0,(-W519+Poussee)/m*SIN(M519)+U519/m*COS(M519)-Poids/m)</f>
        <v>-2.50799719364268</v>
      </c>
      <c r="F520" s="397" t="n">
        <f aca="false">SQRT(acc_x^2+acc_z^2)</f>
        <v>2.61143261249896</v>
      </c>
      <c r="G520" s="396" t="n">
        <f aca="false">G519+acc_x*pas</f>
        <v>11.4962159045756</v>
      </c>
      <c r="H520" s="398" t="n">
        <f aca="false">H519+acc_z*pas</f>
        <v>-115.359978151336</v>
      </c>
      <c r="I520" s="397" t="n">
        <f aca="false">SQRT(vit_x^2+vit_z^2)</f>
        <v>115.931391517576</v>
      </c>
      <c r="J520" s="396" t="n">
        <f aca="false">J519+0.5*(vit_x+G519)*pas*(K519&gt;=0)</f>
        <v>690.928492655337</v>
      </c>
      <c r="K520" s="398" t="n">
        <f aca="false">K519+0.5*(vit_z+H519)*pas</f>
        <v>-8.77764196219374</v>
      </c>
      <c r="L520" s="397" t="n">
        <f aca="false">SQRT(pos_x^2+pos_z^2)</f>
        <v>690.984246536339</v>
      </c>
      <c r="M520" s="396" t="n">
        <f aca="false">IF(AND(L519&gt;L_rampe,G520&gt;0),ATAN2(G520,H520),$M$4)</f>
        <v>-1.47146912178188</v>
      </c>
      <c r="N520" s="397" t="n">
        <f aca="false">DEGREES(Beta)</f>
        <v>-84.3089703619237</v>
      </c>
      <c r="P520" s="399" t="n">
        <f aca="false">MATCH(t-pas/2-T_ini,CdP_t)</f>
        <v>23</v>
      </c>
      <c r="Q520" s="397" t="n">
        <f aca="false">(INDEX(CdP,2,i_P+1)-INDEX(CdP,2,i_P+0))/(INDEX(CdP,1,i_P+1)-INDEX(CdP,1,i_P+0))*(t-pas/2-T_ini-INDEX(CdP,1,i_P+0))+INDEX(CdP,2,i_P+0)</f>
        <v>0</v>
      </c>
      <c r="R520" s="396" t="n">
        <f aca="false">Poussee/(g*ISP)</f>
        <v>0</v>
      </c>
      <c r="S520" s="398" t="n">
        <f aca="false">S519-Débit*pas</f>
        <v>8.45</v>
      </c>
      <c r="T520" s="397" t="n">
        <f aca="false">m*g</f>
        <v>82.8945</v>
      </c>
      <c r="U520" s="400" t="n">
        <f aca="false">IF(pos_xz&lt;L_rampe,Poids*COS(Beta),0)</f>
        <v>0</v>
      </c>
      <c r="V520" s="396" t="n">
        <f aca="false">Rho_moyen*(20000-Alt_rampe-pos_z)/(20000+Alt_rampe+pos_z)</f>
        <v>1.22607573326044</v>
      </c>
      <c r="W520" s="397" t="n">
        <f aca="false">1/2*Rho*Sref*Cx*vit_xz^2</f>
        <v>62.0078882373645</v>
      </c>
      <c r="Y520" s="401" t="str">
        <f aca="false">IF(AND(pos_z&lt;=0,K519&gt;0),"Impact balistique","") &amp; IF(AND(H521&lt;0,vit_z&gt;=0),"Apogée","") &amp; IF(AND(Poussee=0,Q519&gt;0),"Fin de propulsion","") &amp; IF(AND(L521&gt;L_rampe,pos_xz&lt;=L_rampe),"Sortie de rampe","")</f>
        <v/>
      </c>
      <c r="Z520" s="402" t="str">
        <f aca="false">IF(ABS(t-T_para)&lt;pas/2,"Para","")</f>
        <v/>
      </c>
      <c r="AA520" s="403" t="str">
        <f aca="false">IF(ABS(t-T_satellite)&lt;pas/2,"Satellite","")</f>
        <v/>
      </c>
      <c r="AC520" s="399" t="e">
        <f aca="false">IF(ABS(t-ROUND(t,0))&lt;0.001,t,NA())</f>
        <v>#N/A</v>
      </c>
      <c r="AD520" s="404" t="e">
        <f aca="false">IF(ABS(t-ROUND(t,0))&lt;0.001,pos_x,NA())</f>
        <v>#N/A</v>
      </c>
      <c r="AE520" s="405" t="e">
        <f aca="false">IF(t&lt;T_para, pos_z, NA())</f>
        <v>#N/A</v>
      </c>
      <c r="AG520" s="396" t="n">
        <f aca="false">IF(AND(L519&lt;L_rampe,Poussee&lt;Poids*SIN(M519)),0,(-W519+Poussee)/m-Poids*SIN(M519)/m)</f>
        <v>2.42347426798701</v>
      </c>
      <c r="AH520" s="397" t="n">
        <f aca="false">IF(AND(L519&lt;L_rampe,Poussee&lt;Poids*SIN(M519)), g*SIN(M519), (-W519+Poussee)/m)</f>
        <v>-7.33817248028103</v>
      </c>
    </row>
    <row r="521" customFormat="false" ht="12.75" hidden="false" customHeight="false" outlineLevel="0" collapsed="false">
      <c r="A521" s="396" t="n">
        <f aca="false">IF(B520+0.01&lt;=T_ini+ROUNDUP(Temps_fin_propu,0), 0.01, IF(K520&gt;0, 0.1, 0.0001))</f>
        <v>0.0001</v>
      </c>
      <c r="B521" s="397" t="n">
        <f aca="false">B520+pas</f>
        <v>32.1016000000002</v>
      </c>
      <c r="D521" s="396" t="n">
        <f aca="false">IF(AND(L520&lt;L_rampe,Poussee&lt;Poids*SIN(M520)),0,(-W520+Poussee)/m*COS(M520)-U520/m*SIN(M520))</f>
        <v>-0.727686126237825</v>
      </c>
      <c r="E521" s="398" t="n">
        <f aca="false">IF(AND(L520&lt;L_rampe,Poussee&lt;Poids*SIN(M520)),0,(-W520+Poussee)/m*SIN(M520)+U520/m*COS(M520)-Poids/m)</f>
        <v>-2.5079576305265</v>
      </c>
      <c r="F521" s="397" t="n">
        <f aca="false">SQRT(acc_x^2+acc_z^2)</f>
        <v>2.61139399073275</v>
      </c>
      <c r="G521" s="396" t="n">
        <f aca="false">G520+acc_x*pas</f>
        <v>11.496143135963</v>
      </c>
      <c r="H521" s="398" t="n">
        <f aca="false">H520+acc_z*pas</f>
        <v>-115.360228947099</v>
      </c>
      <c r="I521" s="397" t="n">
        <f aca="false">SQRT(vit_x^2+vit_z^2)</f>
        <v>115.93163386121</v>
      </c>
      <c r="J521" s="396" t="n">
        <f aca="false">J520+0.5*(vit_x+G520)*pas*(K520&gt;=0)</f>
        <v>690.928492655337</v>
      </c>
      <c r="K521" s="398" t="n">
        <f aca="false">K520+0.5*(vit_z+H520)*pas</f>
        <v>-8.78917797254866</v>
      </c>
      <c r="L521" s="397" t="n">
        <f aca="false">SQRT(pos_x^2+pos_z^2)</f>
        <v>690.984393175713</v>
      </c>
      <c r="M521" s="396" t="n">
        <f aca="false">IF(AND(L520&gt;L_rampe,G521&gt;0),ATAN2(G521,H521),$M$4)</f>
        <v>-1.47146996089578</v>
      </c>
      <c r="N521" s="397" t="n">
        <f aca="false">DEGREES(Beta)</f>
        <v>-84.3090184396085</v>
      </c>
      <c r="P521" s="399" t="n">
        <f aca="false">MATCH(t-pas/2-T_ini,CdP_t)</f>
        <v>23</v>
      </c>
      <c r="Q521" s="397" t="n">
        <f aca="false">(INDEX(CdP,2,i_P+1)-INDEX(CdP,2,i_P+0))/(INDEX(CdP,1,i_P+1)-INDEX(CdP,1,i_P+0))*(t-pas/2-T_ini-INDEX(CdP,1,i_P+0))+INDEX(CdP,2,i_P+0)</f>
        <v>0</v>
      </c>
      <c r="R521" s="396" t="n">
        <f aca="false">Poussee/(g*ISP)</f>
        <v>0</v>
      </c>
      <c r="S521" s="398" t="n">
        <f aca="false">S520-Débit*pas</f>
        <v>8.45</v>
      </c>
      <c r="T521" s="397" t="n">
        <f aca="false">m*g</f>
        <v>82.8945</v>
      </c>
      <c r="U521" s="400" t="n">
        <f aca="false">IF(pos_xz&lt;L_rampe,Poids*COS(Beta),0)</f>
        <v>0</v>
      </c>
      <c r="V521" s="396" t="n">
        <f aca="false">Rho_moyen*(20000-Alt_rampe-pos_z)/(20000+Alt_rampe+pos_z)</f>
        <v>1.22607714766376</v>
      </c>
      <c r="W521" s="397" t="n">
        <f aca="false">1/2*Rho*Sref*Cx*vit_xz^2</f>
        <v>62.0082190136323</v>
      </c>
      <c r="Y521" s="401" t="str">
        <f aca="false">IF(AND(pos_z&lt;=0,K520&gt;0),"Impact balistique","") &amp; IF(AND(H522&lt;0,vit_z&gt;=0),"Apogée","") &amp; IF(AND(Poussee=0,Q520&gt;0),"Fin de propulsion","") &amp; IF(AND(L522&gt;L_rampe,pos_xz&lt;=L_rampe),"Sortie de rampe","")</f>
        <v/>
      </c>
      <c r="Z521" s="402" t="str">
        <f aca="false">IF(ABS(t-T_para)&lt;pas/2,"Para","")</f>
        <v/>
      </c>
      <c r="AA521" s="403" t="str">
        <f aca="false">IF(ABS(t-T_satellite)&lt;pas/2,"Satellite","")</f>
        <v/>
      </c>
      <c r="AC521" s="399" t="e">
        <f aca="false">IF(ABS(t-ROUND(t,0))&lt;0.001,t,NA())</f>
        <v>#N/A</v>
      </c>
      <c r="AD521" s="404" t="e">
        <f aca="false">IF(ABS(t-ROUND(t,0))&lt;0.001,pos_x,NA())</f>
        <v>#N/A</v>
      </c>
      <c r="AE521" s="405" t="e">
        <f aca="false">IF(t&lt;T_para, pos_z, NA())</f>
        <v>#N/A</v>
      </c>
      <c r="AG521" s="396" t="n">
        <f aca="false">IF(AND(L520&lt;L_rampe,Poussee&lt;Poids*SIN(M520)),0,(-W520+Poussee)/m-Poids*SIN(M520)/m)</f>
        <v>2.42343593884515</v>
      </c>
      <c r="AH521" s="397" t="n">
        <f aca="false">IF(AND(L520&lt;L_rampe,Poussee&lt;Poids*SIN(M520)), g*SIN(M520), (-W520+Poussee)/m)</f>
        <v>-7.33821162572361</v>
      </c>
    </row>
    <row r="522" customFormat="false" ht="12.75" hidden="false" customHeight="false" outlineLevel="0" collapsed="false">
      <c r="A522" s="396" t="n">
        <f aca="false">IF(B521+0.01&lt;=T_ini+ROUNDUP(Temps_fin_propu,0), 0.01, IF(K521&gt;0, 0.1, 0.0001))</f>
        <v>0.0001</v>
      </c>
      <c r="B522" s="397" t="n">
        <f aca="false">B521+pas</f>
        <v>32.1017000000002</v>
      </c>
      <c r="D522" s="396" t="n">
        <f aca="false">IF(AND(L521&lt;L_rampe,Poussee&lt;Poids*SIN(M521)),0,(-W521+Poussee)/m*COS(M521)-U521/m*SIN(M521))</f>
        <v>-0.727683880744825</v>
      </c>
      <c r="E522" s="398" t="n">
        <f aca="false">IF(AND(L521&lt;L_rampe,Poussee&lt;Poids*SIN(M521)),0,(-W521+Poussee)/m*SIN(M521)+U521/m*COS(M521)-Poids/m)</f>
        <v>-2.50791806773592</v>
      </c>
      <c r="F522" s="397" t="n">
        <f aca="false">SQRT(acc_x^2+acc_z^2)</f>
        <v>2.61135536930003</v>
      </c>
      <c r="G522" s="396" t="n">
        <f aca="false">G521+acc_x*pas</f>
        <v>11.4960703675749</v>
      </c>
      <c r="H522" s="398" t="n">
        <f aca="false">H521+acc_z*pas</f>
        <v>-115.360479738906</v>
      </c>
      <c r="I522" s="397" t="n">
        <f aca="false">SQRT(vit_x^2+vit_z^2)</f>
        <v>115.931876201012</v>
      </c>
      <c r="J522" s="396" t="n">
        <f aca="false">J521+0.5*(vit_x+G521)*pas*(K521&gt;=0)</f>
        <v>690.928492655337</v>
      </c>
      <c r="K522" s="398" t="n">
        <f aca="false">K521+0.5*(vit_z+H521)*pas</f>
        <v>-8.80071400798296</v>
      </c>
      <c r="L522" s="397" t="n">
        <f aca="false">SQRT(pos_x^2+pos_z^2)</f>
        <v>690.98454000797</v>
      </c>
      <c r="M522" s="396" t="n">
        <f aca="false">IF(AND(L521&gt;L_rampe,G522&gt;0),ATAN2(G522,H522),$M$4)</f>
        <v>-1.47147080000086</v>
      </c>
      <c r="N522" s="397" t="n">
        <f aca="false">DEGREES(Beta)</f>
        <v>-84.309066516788</v>
      </c>
      <c r="P522" s="399" t="n">
        <f aca="false">MATCH(t-pas/2-T_ini,CdP_t)</f>
        <v>23</v>
      </c>
      <c r="Q522" s="397" t="n">
        <f aca="false">(INDEX(CdP,2,i_P+1)-INDEX(CdP,2,i_P+0))/(INDEX(CdP,1,i_P+1)-INDEX(CdP,1,i_P+0))*(t-pas/2-T_ini-INDEX(CdP,1,i_P+0))+INDEX(CdP,2,i_P+0)</f>
        <v>0</v>
      </c>
      <c r="R522" s="396" t="n">
        <f aca="false">Poussee/(g*ISP)</f>
        <v>0</v>
      </c>
      <c r="S522" s="398" t="n">
        <f aca="false">S521-Débit*pas</f>
        <v>8.45</v>
      </c>
      <c r="T522" s="397" t="n">
        <f aca="false">m*g</f>
        <v>82.8945</v>
      </c>
      <c r="U522" s="400" t="n">
        <f aca="false">IF(pos_xz&lt;L_rampe,Poids*COS(Beta),0)</f>
        <v>0</v>
      </c>
      <c r="V522" s="396" t="n">
        <f aca="false">Rho_moyen*(20000-Alt_rampe-pos_z)/(20000+Alt_rampe+pos_z)</f>
        <v>1.22607856207179</v>
      </c>
      <c r="W522" s="397" t="n">
        <f aca="false">1/2*Rho*Sref*Cx*vit_xz^2</f>
        <v>62.008549787178</v>
      </c>
      <c r="Y522" s="401" t="str">
        <f aca="false">IF(AND(pos_z&lt;=0,K521&gt;0),"Impact balistique","") &amp; IF(AND(H523&lt;0,vit_z&gt;=0),"Apogée","") &amp; IF(AND(Poussee=0,Q521&gt;0),"Fin de propulsion","") &amp; IF(AND(L523&gt;L_rampe,pos_xz&lt;=L_rampe),"Sortie de rampe","")</f>
        <v/>
      </c>
      <c r="Z522" s="402" t="str">
        <f aca="false">IF(ABS(t-T_para)&lt;pas/2,"Para","")</f>
        <v/>
      </c>
      <c r="AA522" s="403" t="str">
        <f aca="false">IF(ABS(t-T_satellite)&lt;pas/2,"Satellite","")</f>
        <v/>
      </c>
      <c r="AC522" s="399" t="e">
        <f aca="false">IF(ABS(t-ROUND(t,0))&lt;0.001,t,NA())</f>
        <v>#N/A</v>
      </c>
      <c r="AD522" s="404" t="e">
        <f aca="false">IF(ABS(t-ROUND(t,0))&lt;0.001,pos_x,NA())</f>
        <v>#N/A</v>
      </c>
      <c r="AE522" s="405" t="e">
        <f aca="false">IF(t&lt;T_para, pos_z, NA())</f>
        <v>#N/A</v>
      </c>
      <c r="AG522" s="396" t="n">
        <f aca="false">IF(AND(L521&lt;L_rampe,Poussee&lt;Poids*SIN(M521)),0,(-W521+Poussee)/m-Poids*SIN(M521)/m)</f>
        <v>2.42339761000996</v>
      </c>
      <c r="AH522" s="397" t="n">
        <f aca="false">IF(AND(L521&lt;L_rampe,Poussee&lt;Poids*SIN(M521)), g*SIN(M521), (-W521+Poussee)/m)</f>
        <v>-7.33825077084406</v>
      </c>
    </row>
    <row r="523" customFormat="false" ht="12.75" hidden="false" customHeight="false" outlineLevel="0" collapsed="false">
      <c r="A523" s="396" t="n">
        <f aca="false">IF(B522+0.01&lt;=T_ini+ROUNDUP(Temps_fin_propu,0), 0.01, IF(K522&gt;0, 0.1, 0.0001))</f>
        <v>0.0001</v>
      </c>
      <c r="B523" s="397" t="n">
        <f aca="false">B522+pas</f>
        <v>32.1018000000002</v>
      </c>
      <c r="D523" s="396" t="n">
        <f aca="false">IF(AND(L522&lt;L_rampe,Poussee&lt;Poids*SIN(M522)),0,(-W522+Poussee)/m*COS(M522)-U522/m*SIN(M522))</f>
        <v>-0.727681635218401</v>
      </c>
      <c r="E523" s="398" t="n">
        <f aca="false">IF(AND(L522&lt;L_rampe,Poussee&lt;Poids*SIN(M522)),0,(-W522+Poussee)/m*SIN(M522)+U522/m*COS(M522)-Poids/m)</f>
        <v>-2.50787850527093</v>
      </c>
      <c r="F523" s="397" t="n">
        <f aca="false">SQRT(acc_x^2+acc_z^2)</f>
        <v>2.61131674820082</v>
      </c>
      <c r="G523" s="396" t="n">
        <f aca="false">G522+acc_x*pas</f>
        <v>11.4959975994114</v>
      </c>
      <c r="H523" s="398" t="n">
        <f aca="false">H522+acc_z*pas</f>
        <v>-115.360730526757</v>
      </c>
      <c r="I523" s="397" t="n">
        <f aca="false">SQRT(vit_x^2+vit_z^2)</f>
        <v>115.932118536981</v>
      </c>
      <c r="J523" s="396" t="n">
        <f aca="false">J522+0.5*(vit_x+G522)*pas*(K522&gt;=0)</f>
        <v>690.928492655337</v>
      </c>
      <c r="K523" s="398" t="n">
        <f aca="false">K522+0.5*(vit_z+H522)*pas</f>
        <v>-8.81225006849624</v>
      </c>
      <c r="L523" s="397" t="n">
        <f aca="false">SQRT(pos_x^2+pos_z^2)</f>
        <v>690.98468703311</v>
      </c>
      <c r="M523" s="396" t="n">
        <f aca="false">IF(AND(L522&gt;L_rampe,G523&gt;0),ATAN2(G523,H523),$M$4)</f>
        <v>-1.47147163909712</v>
      </c>
      <c r="N523" s="397" t="n">
        <f aca="false">DEGREES(Beta)</f>
        <v>-84.3091145934622</v>
      </c>
      <c r="P523" s="399" t="n">
        <f aca="false">MATCH(t-pas/2-T_ini,CdP_t)</f>
        <v>23</v>
      </c>
      <c r="Q523" s="397" t="n">
        <f aca="false">(INDEX(CdP,2,i_P+1)-INDEX(CdP,2,i_P+0))/(INDEX(CdP,1,i_P+1)-INDEX(CdP,1,i_P+0))*(t-pas/2-T_ini-INDEX(CdP,1,i_P+0))+INDEX(CdP,2,i_P+0)</f>
        <v>0</v>
      </c>
      <c r="R523" s="396" t="n">
        <f aca="false">Poussee/(g*ISP)</f>
        <v>0</v>
      </c>
      <c r="S523" s="398" t="n">
        <f aca="false">S522-Débit*pas</f>
        <v>8.45</v>
      </c>
      <c r="T523" s="397" t="n">
        <f aca="false">m*g</f>
        <v>82.8945</v>
      </c>
      <c r="U523" s="400" t="n">
        <f aca="false">IF(pos_xz&lt;L_rampe,Poids*COS(Beta),0)</f>
        <v>0</v>
      </c>
      <c r="V523" s="396" t="n">
        <f aca="false">Rho_moyen*(20000-Alt_rampe-pos_z)/(20000+Alt_rampe+pos_z)</f>
        <v>1.22607997648453</v>
      </c>
      <c r="W523" s="397" t="n">
        <f aca="false">1/2*Rho*Sref*Cx*vit_xz^2</f>
        <v>62.0088805580016</v>
      </c>
      <c r="Y523" s="401" t="str">
        <f aca="false">IF(AND(pos_z&lt;=0,K522&gt;0),"Impact balistique","") &amp; IF(AND(H524&lt;0,vit_z&gt;=0),"Apogée","") &amp; IF(AND(Poussee=0,Q522&gt;0),"Fin de propulsion","") &amp; IF(AND(L524&gt;L_rampe,pos_xz&lt;=L_rampe),"Sortie de rampe","")</f>
        <v/>
      </c>
      <c r="Z523" s="402" t="str">
        <f aca="false">IF(ABS(t-T_para)&lt;pas/2,"Para","")</f>
        <v/>
      </c>
      <c r="AA523" s="403" t="str">
        <f aca="false">IF(ABS(t-T_satellite)&lt;pas/2,"Satellite","")</f>
        <v/>
      </c>
      <c r="AC523" s="399" t="e">
        <f aca="false">IF(ABS(t-ROUND(t,0))&lt;0.001,t,NA())</f>
        <v>#N/A</v>
      </c>
      <c r="AD523" s="404" t="e">
        <f aca="false">IF(ABS(t-ROUND(t,0))&lt;0.001,pos_x,NA())</f>
        <v>#N/A</v>
      </c>
      <c r="AE523" s="405" t="e">
        <f aca="false">IF(t&lt;T_para, pos_z, NA())</f>
        <v>#N/A</v>
      </c>
      <c r="AG523" s="396" t="n">
        <f aca="false">IF(AND(L522&lt;L_rampe,Poussee&lt;Poids*SIN(M522)),0,(-W522+Poussee)/m-Poids*SIN(M522)/m)</f>
        <v>2.42335928148146</v>
      </c>
      <c r="AH523" s="397" t="n">
        <f aca="false">IF(AND(L522&lt;L_rampe,Poussee&lt;Poids*SIN(M522)), g*SIN(M522), (-W522+Poussee)/m)</f>
        <v>-7.33828991564237</v>
      </c>
    </row>
    <row r="524" customFormat="false" ht="12.75" hidden="false" customHeight="false" outlineLevel="0" collapsed="false">
      <c r="A524" s="396" t="n">
        <f aca="false">IF(B523+0.01&lt;=T_ini+ROUNDUP(Temps_fin_propu,0), 0.01, IF(K523&gt;0, 0.1, 0.0001))</f>
        <v>0.0001</v>
      </c>
      <c r="B524" s="397" t="n">
        <f aca="false">B523+pas</f>
        <v>32.1019000000003</v>
      </c>
      <c r="D524" s="396" t="n">
        <f aca="false">IF(AND(L523&lt;L_rampe,Poussee&lt;Poids*SIN(M523)),0,(-W523+Poussee)/m*COS(M523)-U523/m*SIN(M523))</f>
        <v>-0.727679389658551</v>
      </c>
      <c r="E524" s="398" t="n">
        <f aca="false">IF(AND(L523&lt;L_rampe,Poussee&lt;Poids*SIN(M523)),0,(-W523+Poussee)/m*SIN(M523)+U523/m*COS(M523)-Poids/m)</f>
        <v>-2.50783894313154</v>
      </c>
      <c r="F524" s="397" t="n">
        <f aca="false">SQRT(acc_x^2+acc_z^2)</f>
        <v>2.6112781274351</v>
      </c>
      <c r="G524" s="396" t="n">
        <f aca="false">G523+acc_x*pas</f>
        <v>11.4959248314724</v>
      </c>
      <c r="H524" s="398" t="n">
        <f aca="false">H523+acc_z*pas</f>
        <v>-115.360981310651</v>
      </c>
      <c r="I524" s="397" t="n">
        <f aca="false">SQRT(vit_x^2+vit_z^2)</f>
        <v>115.932360869117</v>
      </c>
      <c r="J524" s="396" t="n">
        <f aca="false">J523+0.5*(vit_x+G523)*pas*(K523&gt;=0)</f>
        <v>690.928492655337</v>
      </c>
      <c r="K524" s="398" t="n">
        <f aca="false">K523+0.5*(vit_z+H523)*pas</f>
        <v>-8.82378615408811</v>
      </c>
      <c r="L524" s="397" t="n">
        <f aca="false">SQRT(pos_x^2+pos_z^2)</f>
        <v>690.984834251135</v>
      </c>
      <c r="M524" s="396" t="n">
        <f aca="false">IF(AND(L523&gt;L_rampe,G524&gt;0),ATAN2(G524,H524),$M$4)</f>
        <v>-1.47147247818455</v>
      </c>
      <c r="N524" s="397" t="n">
        <f aca="false">DEGREES(Beta)</f>
        <v>-84.3091626696311</v>
      </c>
      <c r="P524" s="399" t="n">
        <f aca="false">MATCH(t-pas/2-T_ini,CdP_t)</f>
        <v>23</v>
      </c>
      <c r="Q524" s="397" t="n">
        <f aca="false">(INDEX(CdP,2,i_P+1)-INDEX(CdP,2,i_P+0))/(INDEX(CdP,1,i_P+1)-INDEX(CdP,1,i_P+0))*(t-pas/2-T_ini-INDEX(CdP,1,i_P+0))+INDEX(CdP,2,i_P+0)</f>
        <v>0</v>
      </c>
      <c r="R524" s="396" t="n">
        <f aca="false">Poussee/(g*ISP)</f>
        <v>0</v>
      </c>
      <c r="S524" s="398" t="n">
        <f aca="false">S523-Débit*pas</f>
        <v>8.45</v>
      </c>
      <c r="T524" s="397" t="n">
        <f aca="false">m*g</f>
        <v>82.8945</v>
      </c>
      <c r="U524" s="400" t="n">
        <f aca="false">IF(pos_xz&lt;L_rampe,Poids*COS(Beta),0)</f>
        <v>0</v>
      </c>
      <c r="V524" s="396" t="n">
        <f aca="false">Rho_moyen*(20000-Alt_rampe-pos_z)/(20000+Alt_rampe+pos_z)</f>
        <v>1.22608139090198</v>
      </c>
      <c r="W524" s="397" t="n">
        <f aca="false">1/2*Rho*Sref*Cx*vit_xz^2</f>
        <v>62.0092113261032</v>
      </c>
      <c r="Y524" s="401" t="str">
        <f aca="false">IF(AND(pos_z&lt;=0,K523&gt;0),"Impact balistique","") &amp; IF(AND(H525&lt;0,vit_z&gt;=0),"Apogée","") &amp; IF(AND(Poussee=0,Q523&gt;0),"Fin de propulsion","") &amp; IF(AND(L525&gt;L_rampe,pos_xz&lt;=L_rampe),"Sortie de rampe","")</f>
        <v/>
      </c>
      <c r="Z524" s="402" t="str">
        <f aca="false">IF(ABS(t-T_para)&lt;pas/2,"Para","")</f>
        <v/>
      </c>
      <c r="AA524" s="403" t="str">
        <f aca="false">IF(ABS(t-T_satellite)&lt;pas/2,"Satellite","")</f>
        <v/>
      </c>
      <c r="AC524" s="399" t="e">
        <f aca="false">IF(ABS(t-ROUND(t,0))&lt;0.001,t,NA())</f>
        <v>#N/A</v>
      </c>
      <c r="AD524" s="404" t="e">
        <f aca="false">IF(ABS(t-ROUND(t,0))&lt;0.001,pos_x,NA())</f>
        <v>#N/A</v>
      </c>
      <c r="AE524" s="405" t="e">
        <f aca="false">IF(t&lt;T_para, pos_z, NA())</f>
        <v>#N/A</v>
      </c>
      <c r="AG524" s="396" t="n">
        <f aca="false">IF(AND(L523&lt;L_rampe,Poussee&lt;Poids*SIN(M523)),0,(-W523+Poussee)/m-Poids*SIN(M523)/m)</f>
        <v>2.42332095325965</v>
      </c>
      <c r="AH524" s="397" t="n">
        <f aca="false">IF(AND(L523&lt;L_rampe,Poussee&lt;Poids*SIN(M523)), g*SIN(M523), (-W523+Poussee)/m)</f>
        <v>-7.33832906011854</v>
      </c>
    </row>
    <row r="525" customFormat="false" ht="12.75" hidden="false" customHeight="false" outlineLevel="0" collapsed="false">
      <c r="A525" s="396" t="n">
        <f aca="false">IF(B524+0.01&lt;=T_ini+ROUNDUP(Temps_fin_propu,0), 0.01, IF(K524&gt;0, 0.1, 0.0001))</f>
        <v>0.0001</v>
      </c>
      <c r="B525" s="397" t="n">
        <f aca="false">B524+pas</f>
        <v>32.1020000000003</v>
      </c>
      <c r="D525" s="396" t="n">
        <f aca="false">IF(AND(L524&lt;L_rampe,Poussee&lt;Poids*SIN(M524)),0,(-W524+Poussee)/m*COS(M524)-U524/m*SIN(M524))</f>
        <v>-0.727677144065279</v>
      </c>
      <c r="E525" s="398" t="n">
        <f aca="false">IF(AND(L524&lt;L_rampe,Poussee&lt;Poids*SIN(M524)),0,(-W524+Poussee)/m*SIN(M524)+U524/m*COS(M524)-Poids/m)</f>
        <v>-2.50779938131774</v>
      </c>
      <c r="F525" s="397" t="n">
        <f aca="false">SQRT(acc_x^2+acc_z^2)</f>
        <v>2.61123950700288</v>
      </c>
      <c r="G525" s="396" t="n">
        <f aca="false">G524+acc_x*pas</f>
        <v>11.495852063758</v>
      </c>
      <c r="H525" s="398" t="n">
        <f aca="false">H524+acc_z*pas</f>
        <v>-115.361232090589</v>
      </c>
      <c r="I525" s="397" t="n">
        <f aca="false">SQRT(vit_x^2+vit_z^2)</f>
        <v>115.932603197421</v>
      </c>
      <c r="J525" s="396" t="n">
        <f aca="false">J524+0.5*(vit_x+G524)*pas*(K524&gt;=0)</f>
        <v>690.928492655337</v>
      </c>
      <c r="K525" s="398" t="n">
        <f aca="false">K524+0.5*(vit_z+H524)*pas</f>
        <v>-8.83532226475818</v>
      </c>
      <c r="L525" s="397" t="n">
        <f aca="false">SQRT(pos_x^2+pos_z^2)</f>
        <v>690.984981662046</v>
      </c>
      <c r="M525" s="396" t="n">
        <f aca="false">IF(AND(L524&gt;L_rampe,G525&gt;0),ATAN2(G525,H525),$M$4)</f>
        <v>-1.47147331726317</v>
      </c>
      <c r="N525" s="397" t="n">
        <f aca="false">DEGREES(Beta)</f>
        <v>-84.3092107452946</v>
      </c>
      <c r="P525" s="399" t="n">
        <f aca="false">MATCH(t-pas/2-T_ini,CdP_t)</f>
        <v>23</v>
      </c>
      <c r="Q525" s="397" t="n">
        <f aca="false">(INDEX(CdP,2,i_P+1)-INDEX(CdP,2,i_P+0))/(INDEX(CdP,1,i_P+1)-INDEX(CdP,1,i_P+0))*(t-pas/2-T_ini-INDEX(CdP,1,i_P+0))+INDEX(CdP,2,i_P+0)</f>
        <v>0</v>
      </c>
      <c r="R525" s="396" t="n">
        <f aca="false">Poussee/(g*ISP)</f>
        <v>0</v>
      </c>
      <c r="S525" s="398" t="n">
        <f aca="false">S524-Débit*pas</f>
        <v>8.45</v>
      </c>
      <c r="T525" s="397" t="n">
        <f aca="false">m*g</f>
        <v>82.8945</v>
      </c>
      <c r="U525" s="400" t="n">
        <f aca="false">IF(pos_xz&lt;L_rampe,Poids*COS(Beta),0)</f>
        <v>0</v>
      </c>
      <c r="V525" s="396" t="n">
        <f aca="false">Rho_moyen*(20000-Alt_rampe-pos_z)/(20000+Alt_rampe+pos_z)</f>
        <v>1.22608280532413</v>
      </c>
      <c r="W525" s="397" t="n">
        <f aca="false">1/2*Rho*Sref*Cx*vit_xz^2</f>
        <v>62.0095420914826</v>
      </c>
      <c r="Y525" s="401" t="str">
        <f aca="false">IF(AND(pos_z&lt;=0,K524&gt;0),"Impact balistique","") &amp; IF(AND(H526&lt;0,vit_z&gt;=0),"Apogée","") &amp; IF(AND(Poussee=0,Q524&gt;0),"Fin de propulsion","") &amp; IF(AND(L526&gt;L_rampe,pos_xz&lt;=L_rampe),"Sortie de rampe","")</f>
        <v/>
      </c>
      <c r="Z525" s="402" t="str">
        <f aca="false">IF(ABS(t-T_para)&lt;pas/2,"Para","")</f>
        <v/>
      </c>
      <c r="AA525" s="403" t="str">
        <f aca="false">IF(ABS(t-T_satellite)&lt;pas/2,"Satellite","")</f>
        <v/>
      </c>
      <c r="AC525" s="399" t="e">
        <f aca="false">IF(ABS(t-ROUND(t,0))&lt;0.001,t,NA())</f>
        <v>#N/A</v>
      </c>
      <c r="AD525" s="404" t="e">
        <f aca="false">IF(ABS(t-ROUND(t,0))&lt;0.001,pos_x,NA())</f>
        <v>#N/A</v>
      </c>
      <c r="AE525" s="405" t="e">
        <f aca="false">IF(t&lt;T_para, pos_z, NA())</f>
        <v>#N/A</v>
      </c>
      <c r="AG525" s="396" t="n">
        <f aca="false">IF(AND(L524&lt;L_rampe,Poussee&lt;Poids*SIN(M524)),0,(-W524+Poussee)/m-Poids*SIN(M524)/m)</f>
        <v>2.42328262534452</v>
      </c>
      <c r="AH525" s="397" t="n">
        <f aca="false">IF(AND(L524&lt;L_rampe,Poussee&lt;Poids*SIN(M524)), g*SIN(M524), (-W524+Poussee)/m)</f>
        <v>-7.33836820427257</v>
      </c>
    </row>
    <row r="526" customFormat="false" ht="12.75" hidden="false" customHeight="false" outlineLevel="0" collapsed="false">
      <c r="A526" s="396" t="n">
        <f aca="false">IF(B525+0.01&lt;=T_ini+ROUNDUP(Temps_fin_propu,0), 0.01, IF(K525&gt;0, 0.1, 0.0001))</f>
        <v>0.0001</v>
      </c>
      <c r="B526" s="397" t="n">
        <f aca="false">B525+pas</f>
        <v>32.1021000000003</v>
      </c>
      <c r="D526" s="396" t="n">
        <f aca="false">IF(AND(L525&lt;L_rampe,Poussee&lt;Poids*SIN(M525)),0,(-W525+Poussee)/m*COS(M525)-U525/m*SIN(M525))</f>
        <v>-0.727674898438581</v>
      </c>
      <c r="E526" s="398" t="n">
        <f aca="false">IF(AND(L525&lt;L_rampe,Poussee&lt;Poids*SIN(M525)),0,(-W525+Poussee)/m*SIN(M525)+U525/m*COS(M525)-Poids/m)</f>
        <v>-2.50775981982955</v>
      </c>
      <c r="F526" s="397" t="n">
        <f aca="false">SQRT(acc_x^2+acc_z^2)</f>
        <v>2.61120088690417</v>
      </c>
      <c r="G526" s="396" t="n">
        <f aca="false">G525+acc_x*pas</f>
        <v>11.4957792962681</v>
      </c>
      <c r="H526" s="398" t="n">
        <f aca="false">H525+acc_z*pas</f>
        <v>-115.361482866571</v>
      </c>
      <c r="I526" s="397" t="n">
        <f aca="false">SQRT(vit_x^2+vit_z^2)</f>
        <v>115.932845521891</v>
      </c>
      <c r="J526" s="396" t="n">
        <f aca="false">J525+0.5*(vit_x+G525)*pas*(K525&gt;=0)</f>
        <v>690.928492655337</v>
      </c>
      <c r="K526" s="398" t="n">
        <f aca="false">K525+0.5*(vit_z+H525)*pas</f>
        <v>-8.84685840050604</v>
      </c>
      <c r="L526" s="397" t="n">
        <f aca="false">SQRT(pos_x^2+pos_z^2)</f>
        <v>690.985129265843</v>
      </c>
      <c r="M526" s="396" t="n">
        <f aca="false">IF(AND(L525&gt;L_rampe,G526&gt;0),ATAN2(G526,H526),$M$4)</f>
        <v>-1.47147415633297</v>
      </c>
      <c r="N526" s="397" t="n">
        <f aca="false">DEGREES(Beta)</f>
        <v>-84.3092588204529</v>
      </c>
      <c r="P526" s="399" t="n">
        <f aca="false">MATCH(t-pas/2-T_ini,CdP_t)</f>
        <v>23</v>
      </c>
      <c r="Q526" s="397" t="n">
        <f aca="false">(INDEX(CdP,2,i_P+1)-INDEX(CdP,2,i_P+0))/(INDEX(CdP,1,i_P+1)-INDEX(CdP,1,i_P+0))*(t-pas/2-T_ini-INDEX(CdP,1,i_P+0))+INDEX(CdP,2,i_P+0)</f>
        <v>0</v>
      </c>
      <c r="R526" s="396" t="n">
        <f aca="false">Poussee/(g*ISP)</f>
        <v>0</v>
      </c>
      <c r="S526" s="398" t="n">
        <f aca="false">S525-Débit*pas</f>
        <v>8.45</v>
      </c>
      <c r="T526" s="397" t="n">
        <f aca="false">m*g</f>
        <v>82.8945</v>
      </c>
      <c r="U526" s="400" t="n">
        <f aca="false">IF(pos_xz&lt;L_rampe,Poids*COS(Beta),0)</f>
        <v>0</v>
      </c>
      <c r="V526" s="396" t="n">
        <f aca="false">Rho_moyen*(20000-Alt_rampe-pos_z)/(20000+Alt_rampe+pos_z)</f>
        <v>1.22608421975099</v>
      </c>
      <c r="W526" s="397" t="n">
        <f aca="false">1/2*Rho*Sref*Cx*vit_xz^2</f>
        <v>62.00987285414</v>
      </c>
      <c r="Y526" s="401" t="str">
        <f aca="false">IF(AND(pos_z&lt;=0,K525&gt;0),"Impact balistique","") &amp; IF(AND(H527&lt;0,vit_z&gt;=0),"Apogée","") &amp; IF(AND(Poussee=0,Q525&gt;0),"Fin de propulsion","") &amp; IF(AND(L527&gt;L_rampe,pos_xz&lt;=L_rampe),"Sortie de rampe","")</f>
        <v/>
      </c>
      <c r="Z526" s="402" t="str">
        <f aca="false">IF(ABS(t-T_para)&lt;pas/2,"Para","")</f>
        <v/>
      </c>
      <c r="AA526" s="403" t="str">
        <f aca="false">IF(ABS(t-T_satellite)&lt;pas/2,"Satellite","")</f>
        <v/>
      </c>
      <c r="AC526" s="399" t="e">
        <f aca="false">IF(ABS(t-ROUND(t,0))&lt;0.001,t,NA())</f>
        <v>#N/A</v>
      </c>
      <c r="AD526" s="404" t="e">
        <f aca="false">IF(ABS(t-ROUND(t,0))&lt;0.001,pos_x,NA())</f>
        <v>#N/A</v>
      </c>
      <c r="AE526" s="405" t="e">
        <f aca="false">IF(t&lt;T_para, pos_z, NA())</f>
        <v>#N/A</v>
      </c>
      <c r="AG526" s="396" t="n">
        <f aca="false">IF(AND(L525&lt;L_rampe,Poussee&lt;Poids*SIN(M525)),0,(-W525+Poussee)/m-Poids*SIN(M525)/m)</f>
        <v>2.42324429773609</v>
      </c>
      <c r="AH526" s="397" t="n">
        <f aca="false">IF(AND(L525&lt;L_rampe,Poussee&lt;Poids*SIN(M525)), g*SIN(M525), (-W525+Poussee)/m)</f>
        <v>-7.33840734810445</v>
      </c>
    </row>
    <row r="527" customFormat="false" ht="12.75" hidden="false" customHeight="false" outlineLevel="0" collapsed="false">
      <c r="A527" s="396" t="n">
        <f aca="false">IF(B526+0.01&lt;=T_ini+ROUNDUP(Temps_fin_propu,0), 0.01, IF(K526&gt;0, 0.1, 0.0001))</f>
        <v>0.0001</v>
      </c>
      <c r="B527" s="397" t="n">
        <f aca="false">B526+pas</f>
        <v>32.1022000000003</v>
      </c>
      <c r="D527" s="396" t="n">
        <f aca="false">IF(AND(L526&lt;L_rampe,Poussee&lt;Poids*SIN(M526)),0,(-W526+Poussee)/m*COS(M526)-U526/m*SIN(M526))</f>
        <v>-0.727672652778462</v>
      </c>
      <c r="E527" s="398" t="n">
        <f aca="false">IF(AND(L526&lt;L_rampe,Poussee&lt;Poids*SIN(M526)),0,(-W526+Poussee)/m*SIN(M526)+U526/m*COS(M526)-Poids/m)</f>
        <v>-2.50772025866694</v>
      </c>
      <c r="F527" s="397" t="n">
        <f aca="false">SQRT(acc_x^2+acc_z^2)</f>
        <v>2.61116226713895</v>
      </c>
      <c r="G527" s="396" t="n">
        <f aca="false">G526+acc_x*pas</f>
        <v>11.4957065290029</v>
      </c>
      <c r="H527" s="398" t="n">
        <f aca="false">H526+acc_z*pas</f>
        <v>-115.361733638597</v>
      </c>
      <c r="I527" s="397" t="n">
        <f aca="false">SQRT(vit_x^2+vit_z^2)</f>
        <v>115.933087842529</v>
      </c>
      <c r="J527" s="396" t="n">
        <f aca="false">J526+0.5*(vit_x+G526)*pas*(K526&gt;=0)</f>
        <v>690.928492655337</v>
      </c>
      <c r="K527" s="398" t="n">
        <f aca="false">K526+0.5*(vit_z+H526)*pas</f>
        <v>-8.85839456133129</v>
      </c>
      <c r="L527" s="397" t="n">
        <f aca="false">SQRT(pos_x^2+pos_z^2)</f>
        <v>690.985277062529</v>
      </c>
      <c r="M527" s="396" t="n">
        <f aca="false">IF(AND(L526&gt;L_rampe,G527&gt;0),ATAN2(G527,H527),$M$4)</f>
        <v>-1.47147499539396</v>
      </c>
      <c r="N527" s="397" t="n">
        <f aca="false">DEGREES(Beta)</f>
        <v>-84.3093068951059</v>
      </c>
      <c r="P527" s="399" t="n">
        <f aca="false">MATCH(t-pas/2-T_ini,CdP_t)</f>
        <v>23</v>
      </c>
      <c r="Q527" s="397" t="n">
        <f aca="false">(INDEX(CdP,2,i_P+1)-INDEX(CdP,2,i_P+0))/(INDEX(CdP,1,i_P+1)-INDEX(CdP,1,i_P+0))*(t-pas/2-T_ini-INDEX(CdP,1,i_P+0))+INDEX(CdP,2,i_P+0)</f>
        <v>0</v>
      </c>
      <c r="R527" s="396" t="n">
        <f aca="false">Poussee/(g*ISP)</f>
        <v>0</v>
      </c>
      <c r="S527" s="398" t="n">
        <f aca="false">S526-Débit*pas</f>
        <v>8.45</v>
      </c>
      <c r="T527" s="397" t="n">
        <f aca="false">m*g</f>
        <v>82.8945</v>
      </c>
      <c r="U527" s="400" t="n">
        <f aca="false">IF(pos_xz&lt;L_rampe,Poids*COS(Beta),0)</f>
        <v>0</v>
      </c>
      <c r="V527" s="396" t="n">
        <f aca="false">Rho_moyen*(20000-Alt_rampe-pos_z)/(20000+Alt_rampe+pos_z)</f>
        <v>1.22608563418256</v>
      </c>
      <c r="W527" s="397" t="n">
        <f aca="false">1/2*Rho*Sref*Cx*vit_xz^2</f>
        <v>62.0102036140753</v>
      </c>
      <c r="Y527" s="401" t="str">
        <f aca="false">IF(AND(pos_z&lt;=0,K526&gt;0),"Impact balistique","") &amp; IF(AND(H528&lt;0,vit_z&gt;=0),"Apogée","") &amp; IF(AND(Poussee=0,Q526&gt;0),"Fin de propulsion","") &amp; IF(AND(L528&gt;L_rampe,pos_xz&lt;=L_rampe),"Sortie de rampe","")</f>
        <v/>
      </c>
      <c r="Z527" s="402" t="str">
        <f aca="false">IF(ABS(t-T_para)&lt;pas/2,"Para","")</f>
        <v/>
      </c>
      <c r="AA527" s="403" t="str">
        <f aca="false">IF(ABS(t-T_satellite)&lt;pas/2,"Satellite","")</f>
        <v/>
      </c>
      <c r="AC527" s="399" t="e">
        <f aca="false">IF(ABS(t-ROUND(t,0))&lt;0.001,t,NA())</f>
        <v>#N/A</v>
      </c>
      <c r="AD527" s="404" t="e">
        <f aca="false">IF(ABS(t-ROUND(t,0))&lt;0.001,pos_x,NA())</f>
        <v>#N/A</v>
      </c>
      <c r="AE527" s="405" t="e">
        <f aca="false">IF(t&lt;T_para, pos_z, NA())</f>
        <v>#N/A</v>
      </c>
      <c r="AG527" s="396" t="n">
        <f aca="false">IF(AND(L526&lt;L_rampe,Poussee&lt;Poids*SIN(M526)),0,(-W526+Poussee)/m-Poids*SIN(M526)/m)</f>
        <v>2.42320597043434</v>
      </c>
      <c r="AH527" s="397" t="n">
        <f aca="false">IF(AND(L526&lt;L_rampe,Poussee&lt;Poids*SIN(M526)), g*SIN(M526), (-W526+Poussee)/m)</f>
        <v>-7.3384464916142</v>
      </c>
    </row>
    <row r="528" customFormat="false" ht="12.75" hidden="false" customHeight="false" outlineLevel="0" collapsed="false">
      <c r="A528" s="396" t="n">
        <f aca="false">IF(B527+0.01&lt;=T_ini+ROUNDUP(Temps_fin_propu,0), 0.01, IF(K527&gt;0, 0.1, 0.0001))</f>
        <v>0.0001</v>
      </c>
      <c r="B528" s="397" t="n">
        <f aca="false">B527+pas</f>
        <v>32.1023000000003</v>
      </c>
      <c r="D528" s="396" t="n">
        <f aca="false">IF(AND(L527&lt;L_rampe,Poussee&lt;Poids*SIN(M527)),0,(-W527+Poussee)/m*COS(M527)-U527/m*SIN(M527))</f>
        <v>-0.727670407084921</v>
      </c>
      <c r="E528" s="398" t="n">
        <f aca="false">IF(AND(L527&lt;L_rampe,Poussee&lt;Poids*SIN(M527)),0,(-W527+Poussee)/m*SIN(M527)+U527/m*COS(M527)-Poids/m)</f>
        <v>-2.50768069782994</v>
      </c>
      <c r="F528" s="397" t="n">
        <f aca="false">SQRT(acc_x^2+acc_z^2)</f>
        <v>2.61112364770725</v>
      </c>
      <c r="G528" s="396" t="n">
        <f aca="false">G527+acc_x*pas</f>
        <v>11.4956337619622</v>
      </c>
      <c r="H528" s="398" t="n">
        <f aca="false">H527+acc_z*pas</f>
        <v>-115.361984406667</v>
      </c>
      <c r="I528" s="397" t="n">
        <f aca="false">SQRT(vit_x^2+vit_z^2)</f>
        <v>115.933330159334</v>
      </c>
      <c r="J528" s="396" t="n">
        <f aca="false">J527+0.5*(vit_x+G527)*pas*(K527&gt;=0)</f>
        <v>690.928492655337</v>
      </c>
      <c r="K528" s="398" t="n">
        <f aca="false">K527+0.5*(vit_z+H527)*pas</f>
        <v>-8.86993074723356</v>
      </c>
      <c r="L528" s="397" t="n">
        <f aca="false">SQRT(pos_x^2+pos_z^2)</f>
        <v>690.985425052104</v>
      </c>
      <c r="M528" s="396" t="n">
        <f aca="false">IF(AND(L527&gt;L_rampe,G528&gt;0),ATAN2(G528,H528),$M$4)</f>
        <v>-1.47147583444612</v>
      </c>
      <c r="N528" s="397" t="n">
        <f aca="false">DEGREES(Beta)</f>
        <v>-84.3093549692537</v>
      </c>
      <c r="P528" s="399" t="n">
        <f aca="false">MATCH(t-pas/2-T_ini,CdP_t)</f>
        <v>23</v>
      </c>
      <c r="Q528" s="397" t="n">
        <f aca="false">(INDEX(CdP,2,i_P+1)-INDEX(CdP,2,i_P+0))/(INDEX(CdP,1,i_P+1)-INDEX(CdP,1,i_P+0))*(t-pas/2-T_ini-INDEX(CdP,1,i_P+0))+INDEX(CdP,2,i_P+0)</f>
        <v>0</v>
      </c>
      <c r="R528" s="396" t="n">
        <f aca="false">Poussee/(g*ISP)</f>
        <v>0</v>
      </c>
      <c r="S528" s="398" t="n">
        <f aca="false">S527-Débit*pas</f>
        <v>8.45</v>
      </c>
      <c r="T528" s="397" t="n">
        <f aca="false">m*g</f>
        <v>82.8945</v>
      </c>
      <c r="U528" s="400" t="n">
        <f aca="false">IF(pos_xz&lt;L_rampe,Poids*COS(Beta),0)</f>
        <v>0</v>
      </c>
      <c r="V528" s="396" t="n">
        <f aca="false">Rho_moyen*(20000-Alt_rampe-pos_z)/(20000+Alt_rampe+pos_z)</f>
        <v>1.22608704861883</v>
      </c>
      <c r="W528" s="397" t="n">
        <f aca="false">1/2*Rho*Sref*Cx*vit_xz^2</f>
        <v>62.0105343712885</v>
      </c>
      <c r="Y528" s="401" t="str">
        <f aca="false">IF(AND(pos_z&lt;=0,K527&gt;0),"Impact balistique","") &amp; IF(AND(H529&lt;0,vit_z&gt;=0),"Apogée","") &amp; IF(AND(Poussee=0,Q527&gt;0),"Fin de propulsion","") &amp; IF(AND(L529&gt;L_rampe,pos_xz&lt;=L_rampe),"Sortie de rampe","")</f>
        <v/>
      </c>
      <c r="Z528" s="402" t="str">
        <f aca="false">IF(ABS(t-T_para)&lt;pas/2,"Para","")</f>
        <v/>
      </c>
      <c r="AA528" s="403" t="str">
        <f aca="false">IF(ABS(t-T_satellite)&lt;pas/2,"Satellite","")</f>
        <v/>
      </c>
      <c r="AC528" s="399" t="e">
        <f aca="false">IF(ABS(t-ROUND(t,0))&lt;0.001,t,NA())</f>
        <v>#N/A</v>
      </c>
      <c r="AD528" s="404" t="e">
        <f aca="false">IF(ABS(t-ROUND(t,0))&lt;0.001,pos_x,NA())</f>
        <v>#N/A</v>
      </c>
      <c r="AE528" s="405" t="e">
        <f aca="false">IF(t&lt;T_para, pos_z, NA())</f>
        <v>#N/A</v>
      </c>
      <c r="AG528" s="396" t="n">
        <f aca="false">IF(AND(L527&lt;L_rampe,Poussee&lt;Poids*SIN(M527)),0,(-W527+Poussee)/m-Poids*SIN(M527)/m)</f>
        <v>2.42316764343928</v>
      </c>
      <c r="AH528" s="397" t="n">
        <f aca="false">IF(AND(L527&lt;L_rampe,Poussee&lt;Poids*SIN(M527)), g*SIN(M527), (-W527+Poussee)/m)</f>
        <v>-7.33848563480181</v>
      </c>
    </row>
    <row r="529" customFormat="false" ht="12.75" hidden="false" customHeight="false" outlineLevel="0" collapsed="false">
      <c r="A529" s="396" t="n">
        <f aca="false">IF(B528+0.01&lt;=T_ini+ROUNDUP(Temps_fin_propu,0), 0.01, IF(K528&gt;0, 0.1, 0.0001))</f>
        <v>0.0001</v>
      </c>
      <c r="B529" s="397" t="n">
        <f aca="false">B528+pas</f>
        <v>32.1024000000003</v>
      </c>
      <c r="D529" s="396" t="n">
        <f aca="false">IF(AND(L528&lt;L_rampe,Poussee&lt;Poids*SIN(M528)),0,(-W528+Poussee)/m*COS(M528)-U528/m*SIN(M528))</f>
        <v>-0.727668161357957</v>
      </c>
      <c r="E529" s="398" t="n">
        <f aca="false">IF(AND(L528&lt;L_rampe,Poussee&lt;Poids*SIN(M528)),0,(-W528+Poussee)/m*SIN(M528)+U528/m*COS(M528)-Poids/m)</f>
        <v>-2.50764113731854</v>
      </c>
      <c r="F529" s="397" t="n">
        <f aca="false">SQRT(acc_x^2+acc_z^2)</f>
        <v>2.61108502860904</v>
      </c>
      <c r="G529" s="396" t="n">
        <f aca="false">G528+acc_x*pas</f>
        <v>11.495560995146</v>
      </c>
      <c r="H529" s="398" t="n">
        <f aca="false">H528+acc_z*pas</f>
        <v>-115.36223517078</v>
      </c>
      <c r="I529" s="397" t="n">
        <f aca="false">SQRT(vit_x^2+vit_z^2)</f>
        <v>115.933572472307</v>
      </c>
      <c r="J529" s="396" t="n">
        <f aca="false">J528+0.5*(vit_x+G528)*pas*(K528&gt;=0)</f>
        <v>690.928492655337</v>
      </c>
      <c r="K529" s="398" t="n">
        <f aca="false">K528+0.5*(vit_z+H528)*pas</f>
        <v>-8.88146695821243</v>
      </c>
      <c r="L529" s="397" t="n">
        <f aca="false">SQRT(pos_x^2+pos_z^2)</f>
        <v>690.985573234569</v>
      </c>
      <c r="M529" s="396" t="n">
        <f aca="false">IF(AND(L528&gt;L_rampe,G529&gt;0),ATAN2(G529,H529),$M$4)</f>
        <v>-1.47147667348946</v>
      </c>
      <c r="N529" s="397" t="n">
        <f aca="false">DEGREES(Beta)</f>
        <v>-84.3094030428961</v>
      </c>
      <c r="P529" s="399" t="n">
        <f aca="false">MATCH(t-pas/2-T_ini,CdP_t)</f>
        <v>23</v>
      </c>
      <c r="Q529" s="397" t="n">
        <f aca="false">(INDEX(CdP,2,i_P+1)-INDEX(CdP,2,i_P+0))/(INDEX(CdP,1,i_P+1)-INDEX(CdP,1,i_P+0))*(t-pas/2-T_ini-INDEX(CdP,1,i_P+0))+INDEX(CdP,2,i_P+0)</f>
        <v>0</v>
      </c>
      <c r="R529" s="396" t="n">
        <f aca="false">Poussee/(g*ISP)</f>
        <v>0</v>
      </c>
      <c r="S529" s="398" t="n">
        <f aca="false">S528-Débit*pas</f>
        <v>8.45</v>
      </c>
      <c r="T529" s="397" t="n">
        <f aca="false">m*g</f>
        <v>82.8945</v>
      </c>
      <c r="U529" s="400" t="n">
        <f aca="false">IF(pos_xz&lt;L_rampe,Poids*COS(Beta),0)</f>
        <v>0</v>
      </c>
      <c r="V529" s="396" t="n">
        <f aca="false">Rho_moyen*(20000-Alt_rampe-pos_z)/(20000+Alt_rampe+pos_z)</f>
        <v>1.22608846305982</v>
      </c>
      <c r="W529" s="397" t="n">
        <f aca="false">1/2*Rho*Sref*Cx*vit_xz^2</f>
        <v>62.0108651257796</v>
      </c>
      <c r="Y529" s="401" t="str">
        <f aca="false">IF(AND(pos_z&lt;=0,K528&gt;0),"Impact balistique","") &amp; IF(AND(H530&lt;0,vit_z&gt;=0),"Apogée","") &amp; IF(AND(Poussee=0,Q528&gt;0),"Fin de propulsion","") &amp; IF(AND(L530&gt;L_rampe,pos_xz&lt;=L_rampe),"Sortie de rampe","")</f>
        <v/>
      </c>
      <c r="Z529" s="402" t="str">
        <f aca="false">IF(ABS(t-T_para)&lt;pas/2,"Para","")</f>
        <v/>
      </c>
      <c r="AA529" s="403" t="str">
        <f aca="false">IF(ABS(t-T_satellite)&lt;pas/2,"Satellite","")</f>
        <v/>
      </c>
      <c r="AC529" s="399" t="e">
        <f aca="false">IF(ABS(t-ROUND(t,0))&lt;0.001,t,NA())</f>
        <v>#N/A</v>
      </c>
      <c r="AD529" s="404" t="e">
        <f aca="false">IF(ABS(t-ROUND(t,0))&lt;0.001,pos_x,NA())</f>
        <v>#N/A</v>
      </c>
      <c r="AE529" s="405" t="e">
        <f aca="false">IF(t&lt;T_para, pos_z, NA())</f>
        <v>#N/A</v>
      </c>
      <c r="AG529" s="396" t="n">
        <f aca="false">IF(AND(L528&lt;L_rampe,Poussee&lt;Poids*SIN(M528)),0,(-W528+Poussee)/m-Poids*SIN(M528)/m)</f>
        <v>2.42312931675091</v>
      </c>
      <c r="AH529" s="397" t="n">
        <f aca="false">IF(AND(L528&lt;L_rampe,Poussee&lt;Poids*SIN(M528)), g*SIN(M528), (-W528+Poussee)/m)</f>
        <v>-7.33852477766728</v>
      </c>
    </row>
    <row r="530" customFormat="false" ht="12.75" hidden="false" customHeight="false" outlineLevel="0" collapsed="false">
      <c r="A530" s="396" t="n">
        <f aca="false">IF(B529+0.01&lt;=T_ini+ROUNDUP(Temps_fin_propu,0), 0.01, IF(K529&gt;0, 0.1, 0.0001))</f>
        <v>0.0001</v>
      </c>
      <c r="B530" s="397" t="n">
        <f aca="false">B529+pas</f>
        <v>32.1025000000003</v>
      </c>
      <c r="D530" s="396" t="n">
        <f aca="false">IF(AND(L529&lt;L_rampe,Poussee&lt;Poids*SIN(M529)),0,(-W529+Poussee)/m*COS(M529)-U529/m*SIN(M529))</f>
        <v>-0.727665915597575</v>
      </c>
      <c r="E530" s="398" t="n">
        <f aca="false">IF(AND(L529&lt;L_rampe,Poussee&lt;Poids*SIN(M529)),0,(-W529+Poussee)/m*SIN(M529)+U529/m*COS(M529)-Poids/m)</f>
        <v>-2.50760157713273</v>
      </c>
      <c r="F530" s="397" t="n">
        <f aca="false">SQRT(acc_x^2+acc_z^2)</f>
        <v>2.61104640984434</v>
      </c>
      <c r="G530" s="396" t="n">
        <f aca="false">G529+acc_x*pas</f>
        <v>11.4954882285545</v>
      </c>
      <c r="H530" s="398" t="n">
        <f aca="false">H529+acc_z*pas</f>
        <v>-115.362485930938</v>
      </c>
      <c r="I530" s="397" t="n">
        <f aca="false">SQRT(vit_x^2+vit_z^2)</f>
        <v>115.933814781446</v>
      </c>
      <c r="J530" s="396" t="n">
        <f aca="false">J529+0.5*(vit_x+G529)*pas*(K529&gt;=0)</f>
        <v>690.928492655337</v>
      </c>
      <c r="K530" s="398" t="n">
        <f aca="false">K529+0.5*(vit_z+H529)*pas</f>
        <v>-8.89300319426752</v>
      </c>
      <c r="L530" s="397" t="n">
        <f aca="false">SQRT(pos_x^2+pos_z^2)</f>
        <v>690.985721609925</v>
      </c>
      <c r="M530" s="396" t="n">
        <f aca="false">IF(AND(L529&gt;L_rampe,G530&gt;0),ATAN2(G530,H530),$M$4)</f>
        <v>-1.47147751252399</v>
      </c>
      <c r="N530" s="397" t="n">
        <f aca="false">DEGREES(Beta)</f>
        <v>-84.3094511160333</v>
      </c>
      <c r="P530" s="399" t="n">
        <f aca="false">MATCH(t-pas/2-T_ini,CdP_t)</f>
        <v>23</v>
      </c>
      <c r="Q530" s="397" t="n">
        <f aca="false">(INDEX(CdP,2,i_P+1)-INDEX(CdP,2,i_P+0))/(INDEX(CdP,1,i_P+1)-INDEX(CdP,1,i_P+0))*(t-pas/2-T_ini-INDEX(CdP,1,i_P+0))+INDEX(CdP,2,i_P+0)</f>
        <v>0</v>
      </c>
      <c r="R530" s="396" t="n">
        <f aca="false">Poussee/(g*ISP)</f>
        <v>0</v>
      </c>
      <c r="S530" s="398" t="n">
        <f aca="false">S529-Débit*pas</f>
        <v>8.45</v>
      </c>
      <c r="T530" s="397" t="n">
        <f aca="false">m*g</f>
        <v>82.8945</v>
      </c>
      <c r="U530" s="400" t="n">
        <f aca="false">IF(pos_xz&lt;L_rampe,Poids*COS(Beta),0)</f>
        <v>0</v>
      </c>
      <c r="V530" s="396" t="n">
        <f aca="false">Rho_moyen*(20000-Alt_rampe-pos_z)/(20000+Alt_rampe+pos_z)</f>
        <v>1.22608987750551</v>
      </c>
      <c r="W530" s="397" t="n">
        <f aca="false">1/2*Rho*Sref*Cx*vit_xz^2</f>
        <v>62.0111958775486</v>
      </c>
      <c r="Y530" s="401" t="str">
        <f aca="false">IF(AND(pos_z&lt;=0,K529&gt;0),"Impact balistique","") &amp; IF(AND(H531&lt;0,vit_z&gt;=0),"Apogée","") &amp; IF(AND(Poussee=0,Q529&gt;0),"Fin de propulsion","") &amp; IF(AND(L531&gt;L_rampe,pos_xz&lt;=L_rampe),"Sortie de rampe","")</f>
        <v/>
      </c>
      <c r="Z530" s="402" t="str">
        <f aca="false">IF(ABS(t-T_para)&lt;pas/2,"Para","")</f>
        <v/>
      </c>
      <c r="AA530" s="403" t="str">
        <f aca="false">IF(ABS(t-T_satellite)&lt;pas/2,"Satellite","")</f>
        <v/>
      </c>
      <c r="AC530" s="399" t="e">
        <f aca="false">IF(ABS(t-ROUND(t,0))&lt;0.001,t,NA())</f>
        <v>#N/A</v>
      </c>
      <c r="AD530" s="404" t="e">
        <f aca="false">IF(ABS(t-ROUND(t,0))&lt;0.001,pos_x,NA())</f>
        <v>#N/A</v>
      </c>
      <c r="AE530" s="405" t="e">
        <f aca="false">IF(t&lt;T_para, pos_z, NA())</f>
        <v>#N/A</v>
      </c>
      <c r="AG530" s="396" t="n">
        <f aca="false">IF(AND(L529&lt;L_rampe,Poussee&lt;Poids*SIN(M529)),0,(-W529+Poussee)/m-Poids*SIN(M529)/m)</f>
        <v>2.42309099036924</v>
      </c>
      <c r="AH530" s="397" t="n">
        <f aca="false">IF(AND(L529&lt;L_rampe,Poussee&lt;Poids*SIN(M529)), g*SIN(M529), (-W529+Poussee)/m)</f>
        <v>-7.3385639202106</v>
      </c>
    </row>
    <row r="531" customFormat="false" ht="12.75" hidden="false" customHeight="false" outlineLevel="0" collapsed="false">
      <c r="A531" s="396" t="n">
        <f aca="false">IF(B530+0.01&lt;=T_ini+ROUNDUP(Temps_fin_propu,0), 0.01, IF(K530&gt;0, 0.1, 0.0001))</f>
        <v>0.0001</v>
      </c>
      <c r="B531" s="397" t="n">
        <f aca="false">B530+pas</f>
        <v>32.1026000000003</v>
      </c>
      <c r="D531" s="396" t="n">
        <f aca="false">IF(AND(L530&lt;L_rampe,Poussee&lt;Poids*SIN(M530)),0,(-W530+Poussee)/m*COS(M530)-U530/m*SIN(M530))</f>
        <v>-0.727663669803773</v>
      </c>
      <c r="E531" s="398" t="n">
        <f aca="false">IF(AND(L530&lt;L_rampe,Poussee&lt;Poids*SIN(M530)),0,(-W530+Poussee)/m*SIN(M530)+U530/m*COS(M530)-Poids/m)</f>
        <v>-2.50756201727253</v>
      </c>
      <c r="F531" s="397" t="n">
        <f aca="false">SQRT(acc_x^2+acc_z^2)</f>
        <v>2.61100779141315</v>
      </c>
      <c r="G531" s="396" t="n">
        <f aca="false">G530+acc_x*pas</f>
        <v>11.4954154621875</v>
      </c>
      <c r="H531" s="398" t="n">
        <f aca="false">H530+acc_z*pas</f>
        <v>-115.36273668714</v>
      </c>
      <c r="I531" s="397" t="n">
        <f aca="false">SQRT(vit_x^2+vit_z^2)</f>
        <v>115.934057086754</v>
      </c>
      <c r="J531" s="396" t="n">
        <f aca="false">J530+0.5*(vit_x+G530)*pas*(K530&gt;=0)</f>
        <v>690.928492655337</v>
      </c>
      <c r="K531" s="398" t="n">
        <f aca="false">K530+0.5*(vit_z+H530)*pas</f>
        <v>-8.90453945539842</v>
      </c>
      <c r="L531" s="397" t="n">
        <f aca="false">SQRT(pos_x^2+pos_z^2)</f>
        <v>690.985870178174</v>
      </c>
      <c r="M531" s="396" t="n">
        <f aca="false">IF(AND(L530&gt;L_rampe,G531&gt;0),ATAN2(G531,H531),$M$4)</f>
        <v>-1.4714783515497</v>
      </c>
      <c r="N531" s="397" t="n">
        <f aca="false">DEGREES(Beta)</f>
        <v>-84.3094991886653</v>
      </c>
      <c r="P531" s="399" t="n">
        <f aca="false">MATCH(t-pas/2-T_ini,CdP_t)</f>
        <v>23</v>
      </c>
      <c r="Q531" s="397" t="n">
        <f aca="false">(INDEX(CdP,2,i_P+1)-INDEX(CdP,2,i_P+0))/(INDEX(CdP,1,i_P+1)-INDEX(CdP,1,i_P+0))*(t-pas/2-T_ini-INDEX(CdP,1,i_P+0))+INDEX(CdP,2,i_P+0)</f>
        <v>0</v>
      </c>
      <c r="R531" s="396" t="n">
        <f aca="false">Poussee/(g*ISP)</f>
        <v>0</v>
      </c>
      <c r="S531" s="398" t="n">
        <f aca="false">S530-Débit*pas</f>
        <v>8.45</v>
      </c>
      <c r="T531" s="397" t="n">
        <f aca="false">m*g</f>
        <v>82.8945</v>
      </c>
      <c r="U531" s="400" t="n">
        <f aca="false">IF(pos_xz&lt;L_rampe,Poids*COS(Beta),0)</f>
        <v>0</v>
      </c>
      <c r="V531" s="396" t="n">
        <f aca="false">Rho_moyen*(20000-Alt_rampe-pos_z)/(20000+Alt_rampe+pos_z)</f>
        <v>1.2260912919559</v>
      </c>
      <c r="W531" s="397" t="n">
        <f aca="false">1/2*Rho*Sref*Cx*vit_xz^2</f>
        <v>62.0115266265954</v>
      </c>
      <c r="Y531" s="401" t="str">
        <f aca="false">IF(AND(pos_z&lt;=0,K530&gt;0),"Impact balistique","") &amp; IF(AND(H532&lt;0,vit_z&gt;=0),"Apogée","") &amp; IF(AND(Poussee=0,Q530&gt;0),"Fin de propulsion","") &amp; IF(AND(L532&gt;L_rampe,pos_xz&lt;=L_rampe),"Sortie de rampe","")</f>
        <v/>
      </c>
      <c r="Z531" s="402" t="str">
        <f aca="false">IF(ABS(t-T_para)&lt;pas/2,"Para","")</f>
        <v/>
      </c>
      <c r="AA531" s="403" t="str">
        <f aca="false">IF(ABS(t-T_satellite)&lt;pas/2,"Satellite","")</f>
        <v/>
      </c>
      <c r="AC531" s="399" t="e">
        <f aca="false">IF(ABS(t-ROUND(t,0))&lt;0.001,t,NA())</f>
        <v>#N/A</v>
      </c>
      <c r="AD531" s="404" t="e">
        <f aca="false">IF(ABS(t-ROUND(t,0))&lt;0.001,pos_x,NA())</f>
        <v>#N/A</v>
      </c>
      <c r="AE531" s="405" t="e">
        <f aca="false">IF(t&lt;T_para, pos_z, NA())</f>
        <v>#N/A</v>
      </c>
      <c r="AG531" s="396" t="n">
        <f aca="false">IF(AND(L530&lt;L_rampe,Poussee&lt;Poids*SIN(M530)),0,(-W530+Poussee)/m-Poids*SIN(M530)/m)</f>
        <v>2.42305266429426</v>
      </c>
      <c r="AH531" s="397" t="n">
        <f aca="false">IF(AND(L530&lt;L_rampe,Poussee&lt;Poids*SIN(M530)), g*SIN(M530), (-W530+Poussee)/m)</f>
        <v>-7.33860306243178</v>
      </c>
    </row>
    <row r="532" customFormat="false" ht="12.75" hidden="false" customHeight="false" outlineLevel="0" collapsed="false">
      <c r="A532" s="396" t="n">
        <f aca="false">IF(B531+0.01&lt;=T_ini+ROUNDUP(Temps_fin_propu,0), 0.01, IF(K531&gt;0, 0.1, 0.0001))</f>
        <v>0.0001</v>
      </c>
      <c r="B532" s="397" t="n">
        <f aca="false">B531+pas</f>
        <v>32.1027000000003</v>
      </c>
      <c r="D532" s="396" t="n">
        <f aca="false">IF(AND(L531&lt;L_rampe,Poussee&lt;Poids*SIN(M531)),0,(-W531+Poussee)/m*COS(M531)-U531/m*SIN(M531))</f>
        <v>-0.727661423976552</v>
      </c>
      <c r="E532" s="398" t="n">
        <f aca="false">IF(AND(L531&lt;L_rampe,Poussee&lt;Poids*SIN(M531)),0,(-W531+Poussee)/m*SIN(M531)+U531/m*COS(M531)-Poids/m)</f>
        <v>-2.50752245773793</v>
      </c>
      <c r="F532" s="397" t="n">
        <f aca="false">SQRT(acc_x^2+acc_z^2)</f>
        <v>2.61096917331547</v>
      </c>
      <c r="G532" s="396" t="n">
        <f aca="false">G531+acc_x*pas</f>
        <v>11.4953426960451</v>
      </c>
      <c r="H532" s="398" t="n">
        <f aca="false">H531+acc_z*pas</f>
        <v>-115.362987439386</v>
      </c>
      <c r="I532" s="397" t="n">
        <f aca="false">SQRT(vit_x^2+vit_z^2)</f>
        <v>115.934299388228</v>
      </c>
      <c r="J532" s="396" t="n">
        <f aca="false">J531+0.5*(vit_x+G531)*pas*(K531&gt;=0)</f>
        <v>690.928492655337</v>
      </c>
      <c r="K532" s="398" t="n">
        <f aca="false">K531+0.5*(vit_z+H531)*pas</f>
        <v>-8.91607574160475</v>
      </c>
      <c r="L532" s="397" t="n">
        <f aca="false">SQRT(pos_x^2+pos_z^2)</f>
        <v>690.986018939317</v>
      </c>
      <c r="M532" s="396" t="n">
        <f aca="false">IF(AND(L531&gt;L_rampe,G532&gt;0),ATAN2(G532,H532),$M$4)</f>
        <v>-1.47147919056659</v>
      </c>
      <c r="N532" s="397" t="n">
        <f aca="false">DEGREES(Beta)</f>
        <v>-84.309547260792</v>
      </c>
      <c r="P532" s="399" t="n">
        <f aca="false">MATCH(t-pas/2-T_ini,CdP_t)</f>
        <v>23</v>
      </c>
      <c r="Q532" s="397" t="n">
        <f aca="false">(INDEX(CdP,2,i_P+1)-INDEX(CdP,2,i_P+0))/(INDEX(CdP,1,i_P+1)-INDEX(CdP,1,i_P+0))*(t-pas/2-T_ini-INDEX(CdP,1,i_P+0))+INDEX(CdP,2,i_P+0)</f>
        <v>0</v>
      </c>
      <c r="R532" s="396" t="n">
        <f aca="false">Poussee/(g*ISP)</f>
        <v>0</v>
      </c>
      <c r="S532" s="398" t="n">
        <f aca="false">S531-Débit*pas</f>
        <v>8.45</v>
      </c>
      <c r="T532" s="397" t="n">
        <f aca="false">m*g</f>
        <v>82.8945</v>
      </c>
      <c r="U532" s="400" t="n">
        <f aca="false">IF(pos_xz&lt;L_rampe,Poids*COS(Beta),0)</f>
        <v>0</v>
      </c>
      <c r="V532" s="396" t="n">
        <f aca="false">Rho_moyen*(20000-Alt_rampe-pos_z)/(20000+Alt_rampe+pos_z)</f>
        <v>1.226092706411</v>
      </c>
      <c r="W532" s="397" t="n">
        <f aca="false">1/2*Rho*Sref*Cx*vit_xz^2</f>
        <v>62.0118573729202</v>
      </c>
      <c r="Y532" s="401" t="str">
        <f aca="false">IF(AND(pos_z&lt;=0,K531&gt;0),"Impact balistique","") &amp; IF(AND(H533&lt;0,vit_z&gt;=0),"Apogée","") &amp; IF(AND(Poussee=0,Q531&gt;0),"Fin de propulsion","") &amp; IF(AND(L533&gt;L_rampe,pos_xz&lt;=L_rampe),"Sortie de rampe","")</f>
        <v/>
      </c>
      <c r="Z532" s="402" t="str">
        <f aca="false">IF(ABS(t-T_para)&lt;pas/2,"Para","")</f>
        <v/>
      </c>
      <c r="AA532" s="403" t="str">
        <f aca="false">IF(ABS(t-T_satellite)&lt;pas/2,"Satellite","")</f>
        <v/>
      </c>
      <c r="AC532" s="399" t="e">
        <f aca="false">IF(ABS(t-ROUND(t,0))&lt;0.001,t,NA())</f>
        <v>#N/A</v>
      </c>
      <c r="AD532" s="404" t="e">
        <f aca="false">IF(ABS(t-ROUND(t,0))&lt;0.001,pos_x,NA())</f>
        <v>#N/A</v>
      </c>
      <c r="AE532" s="405" t="e">
        <f aca="false">IF(t&lt;T_para, pos_z, NA())</f>
        <v>#N/A</v>
      </c>
      <c r="AG532" s="396" t="n">
        <f aca="false">IF(AND(L531&lt;L_rampe,Poussee&lt;Poids*SIN(M531)),0,(-W531+Poussee)/m-Poids*SIN(M531)/m)</f>
        <v>2.42301433852597</v>
      </c>
      <c r="AH532" s="397" t="n">
        <f aca="false">IF(AND(L531&lt;L_rampe,Poussee&lt;Poids*SIN(M531)), g*SIN(M531), (-W531+Poussee)/m)</f>
        <v>-7.33864220433082</v>
      </c>
    </row>
    <row r="533" customFormat="false" ht="12.75" hidden="false" customHeight="false" outlineLevel="0" collapsed="false">
      <c r="A533" s="396" t="n">
        <f aca="false">IF(B532+0.01&lt;=T_ini+ROUNDUP(Temps_fin_propu,0), 0.01, IF(K532&gt;0, 0.1, 0.0001))</f>
        <v>0.0001</v>
      </c>
      <c r="B533" s="397" t="n">
        <f aca="false">B532+pas</f>
        <v>32.1028000000003</v>
      </c>
      <c r="D533" s="396" t="n">
        <f aca="false">IF(AND(L532&lt;L_rampe,Poussee&lt;Poids*SIN(M532)),0,(-W532+Poussee)/m*COS(M532)-U532/m*SIN(M532))</f>
        <v>-0.727659178115914</v>
      </c>
      <c r="E533" s="398" t="n">
        <f aca="false">IF(AND(L532&lt;L_rampe,Poussee&lt;Poids*SIN(M532)),0,(-W532+Poussee)/m*SIN(M532)+U532/m*COS(M532)-Poids/m)</f>
        <v>-2.50748289852892</v>
      </c>
      <c r="F533" s="397" t="n">
        <f aca="false">SQRT(acc_x^2+acc_z^2)</f>
        <v>2.61093055555128</v>
      </c>
      <c r="G533" s="396" t="n">
        <f aca="false">G532+acc_x*pas</f>
        <v>11.4952699301273</v>
      </c>
      <c r="H533" s="398" t="n">
        <f aca="false">H532+acc_z*pas</f>
        <v>-115.363238187676</v>
      </c>
      <c r="I533" s="397" t="n">
        <f aca="false">SQRT(vit_x^2+vit_z^2)</f>
        <v>115.934541685871</v>
      </c>
      <c r="J533" s="396" t="n">
        <f aca="false">J532+0.5*(vit_x+G532)*pas*(K532&gt;=0)</f>
        <v>690.928492655337</v>
      </c>
      <c r="K533" s="398" t="n">
        <f aca="false">K532+0.5*(vit_z+H532)*pas</f>
        <v>-8.9276120528861</v>
      </c>
      <c r="L533" s="397" t="n">
        <f aca="false">SQRT(pos_x^2+pos_z^2)</f>
        <v>690.986167893354</v>
      </c>
      <c r="M533" s="396" t="n">
        <f aca="false">IF(AND(L532&gt;L_rampe,G533&gt;0),ATAN2(G533,H533),$M$4)</f>
        <v>-1.47148002957466</v>
      </c>
      <c r="N533" s="397" t="n">
        <f aca="false">DEGREES(Beta)</f>
        <v>-84.3095953324135</v>
      </c>
      <c r="P533" s="399" t="n">
        <f aca="false">MATCH(t-pas/2-T_ini,CdP_t)</f>
        <v>23</v>
      </c>
      <c r="Q533" s="397" t="n">
        <f aca="false">(INDEX(CdP,2,i_P+1)-INDEX(CdP,2,i_P+0))/(INDEX(CdP,1,i_P+1)-INDEX(CdP,1,i_P+0))*(t-pas/2-T_ini-INDEX(CdP,1,i_P+0))+INDEX(CdP,2,i_P+0)</f>
        <v>0</v>
      </c>
      <c r="R533" s="396" t="n">
        <f aca="false">Poussee/(g*ISP)</f>
        <v>0</v>
      </c>
      <c r="S533" s="398" t="n">
        <f aca="false">S532-Débit*pas</f>
        <v>8.45</v>
      </c>
      <c r="T533" s="397" t="n">
        <f aca="false">m*g</f>
        <v>82.8945</v>
      </c>
      <c r="U533" s="400" t="n">
        <f aca="false">IF(pos_xz&lt;L_rampe,Poids*COS(Beta),0)</f>
        <v>0</v>
      </c>
      <c r="V533" s="396" t="n">
        <f aca="false">Rho_moyen*(20000-Alt_rampe-pos_z)/(20000+Alt_rampe+pos_z)</f>
        <v>1.22609412087081</v>
      </c>
      <c r="W533" s="397" t="n">
        <f aca="false">1/2*Rho*Sref*Cx*vit_xz^2</f>
        <v>62.0121881165229</v>
      </c>
      <c r="Y533" s="401" t="str">
        <f aca="false">IF(AND(pos_z&lt;=0,K532&gt;0),"Impact balistique","") &amp; IF(AND(H534&lt;0,vit_z&gt;=0),"Apogée","") &amp; IF(AND(Poussee=0,Q532&gt;0),"Fin de propulsion","") &amp; IF(AND(L534&gt;L_rampe,pos_xz&lt;=L_rampe),"Sortie de rampe","")</f>
        <v/>
      </c>
      <c r="Z533" s="402" t="str">
        <f aca="false">IF(ABS(t-T_para)&lt;pas/2,"Para","")</f>
        <v/>
      </c>
      <c r="AA533" s="403" t="str">
        <f aca="false">IF(ABS(t-T_satellite)&lt;pas/2,"Satellite","")</f>
        <v/>
      </c>
      <c r="AC533" s="399" t="e">
        <f aca="false">IF(ABS(t-ROUND(t,0))&lt;0.001,t,NA())</f>
        <v>#N/A</v>
      </c>
      <c r="AD533" s="404" t="e">
        <f aca="false">IF(ABS(t-ROUND(t,0))&lt;0.001,pos_x,NA())</f>
        <v>#N/A</v>
      </c>
      <c r="AE533" s="405" t="e">
        <f aca="false">IF(t&lt;T_para, pos_z, NA())</f>
        <v>#N/A</v>
      </c>
      <c r="AG533" s="396" t="n">
        <f aca="false">IF(AND(L532&lt;L_rampe,Poussee&lt;Poids*SIN(M532)),0,(-W532+Poussee)/m-Poids*SIN(M532)/m)</f>
        <v>2.42297601306437</v>
      </c>
      <c r="AH533" s="397" t="n">
        <f aca="false">IF(AND(L532&lt;L_rampe,Poussee&lt;Poids*SIN(M532)), g*SIN(M532), (-W532+Poussee)/m)</f>
        <v>-7.33868134590772</v>
      </c>
    </row>
    <row r="534" customFormat="false" ht="12.75" hidden="false" customHeight="false" outlineLevel="0" collapsed="false">
      <c r="A534" s="396" t="n">
        <f aca="false">IF(B533+0.01&lt;=T_ini+ROUNDUP(Temps_fin_propu,0), 0.01, IF(K533&gt;0, 0.1, 0.0001))</f>
        <v>0.0001</v>
      </c>
      <c r="B534" s="397" t="n">
        <f aca="false">B533+pas</f>
        <v>32.1029000000003</v>
      </c>
      <c r="D534" s="396" t="n">
        <f aca="false">IF(AND(L533&lt;L_rampe,Poussee&lt;Poids*SIN(M533)),0,(-W533+Poussee)/m*COS(M533)-U533/m*SIN(M533))</f>
        <v>-0.727656932221859</v>
      </c>
      <c r="E534" s="398" t="n">
        <f aca="false">IF(AND(L533&lt;L_rampe,Poussee&lt;Poids*SIN(M533)),0,(-W533+Poussee)/m*SIN(M533)+U533/m*COS(M533)-Poids/m)</f>
        <v>-2.50744333964552</v>
      </c>
      <c r="F534" s="397" t="n">
        <f aca="false">SQRT(acc_x^2+acc_z^2)</f>
        <v>2.61089193812061</v>
      </c>
      <c r="G534" s="396" t="n">
        <f aca="false">G533+acc_x*pas</f>
        <v>11.4951971644341</v>
      </c>
      <c r="H534" s="398" t="n">
        <f aca="false">H533+acc_z*pas</f>
        <v>-115.363488932009</v>
      </c>
      <c r="I534" s="397" t="n">
        <f aca="false">SQRT(vit_x^2+vit_z^2)</f>
        <v>115.93478397968</v>
      </c>
      <c r="J534" s="396" t="n">
        <f aca="false">J533+0.5*(vit_x+G533)*pas*(K533&gt;=0)</f>
        <v>690.928492655337</v>
      </c>
      <c r="K534" s="398" t="n">
        <f aca="false">K533+0.5*(vit_z+H533)*pas</f>
        <v>-8.93914838924208</v>
      </c>
      <c r="L534" s="397" t="n">
        <f aca="false">SQRT(pos_x^2+pos_z^2)</f>
        <v>690.986317040287</v>
      </c>
      <c r="M534" s="396" t="n">
        <f aca="false">IF(AND(L533&gt;L_rampe,G534&gt;0),ATAN2(G534,H534),$M$4)</f>
        <v>-1.47148086857391</v>
      </c>
      <c r="N534" s="397" t="n">
        <f aca="false">DEGREES(Beta)</f>
        <v>-84.3096434035297</v>
      </c>
      <c r="P534" s="399" t="n">
        <f aca="false">MATCH(t-pas/2-T_ini,CdP_t)</f>
        <v>23</v>
      </c>
      <c r="Q534" s="397" t="n">
        <f aca="false">(INDEX(CdP,2,i_P+1)-INDEX(CdP,2,i_P+0))/(INDEX(CdP,1,i_P+1)-INDEX(CdP,1,i_P+0))*(t-pas/2-T_ini-INDEX(CdP,1,i_P+0))+INDEX(CdP,2,i_P+0)</f>
        <v>0</v>
      </c>
      <c r="R534" s="396" t="n">
        <f aca="false">Poussee/(g*ISP)</f>
        <v>0</v>
      </c>
      <c r="S534" s="398" t="n">
        <f aca="false">S533-Débit*pas</f>
        <v>8.45</v>
      </c>
      <c r="T534" s="397" t="n">
        <f aca="false">m*g</f>
        <v>82.8945</v>
      </c>
      <c r="U534" s="400" t="n">
        <f aca="false">IF(pos_xz&lt;L_rampe,Poids*COS(Beta),0)</f>
        <v>0</v>
      </c>
      <c r="V534" s="396" t="n">
        <f aca="false">Rho_moyen*(20000-Alt_rampe-pos_z)/(20000+Alt_rampe+pos_z)</f>
        <v>1.22609553533533</v>
      </c>
      <c r="W534" s="397" t="n">
        <f aca="false">1/2*Rho*Sref*Cx*vit_xz^2</f>
        <v>62.0125188574034</v>
      </c>
      <c r="Y534" s="401" t="str">
        <f aca="false">IF(AND(pos_z&lt;=0,K533&gt;0),"Impact balistique","") &amp; IF(AND(H535&lt;0,vit_z&gt;=0),"Apogée","") &amp; IF(AND(Poussee=0,Q533&gt;0),"Fin de propulsion","") &amp; IF(AND(L535&gt;L_rampe,pos_xz&lt;=L_rampe),"Sortie de rampe","")</f>
        <v/>
      </c>
      <c r="Z534" s="402" t="str">
        <f aca="false">IF(ABS(t-T_para)&lt;pas/2,"Para","")</f>
        <v/>
      </c>
      <c r="AA534" s="403" t="str">
        <f aca="false">IF(ABS(t-T_satellite)&lt;pas/2,"Satellite","")</f>
        <v/>
      </c>
      <c r="AC534" s="399" t="e">
        <f aca="false">IF(ABS(t-ROUND(t,0))&lt;0.001,t,NA())</f>
        <v>#N/A</v>
      </c>
      <c r="AD534" s="404" t="e">
        <f aca="false">IF(ABS(t-ROUND(t,0))&lt;0.001,pos_x,NA())</f>
        <v>#N/A</v>
      </c>
      <c r="AE534" s="405" t="e">
        <f aca="false">IF(t&lt;T_para, pos_z, NA())</f>
        <v>#N/A</v>
      </c>
      <c r="AG534" s="396" t="n">
        <f aca="false">IF(AND(L533&lt;L_rampe,Poussee&lt;Poids*SIN(M533)),0,(-W533+Poussee)/m-Poids*SIN(M533)/m)</f>
        <v>2.42293768790947</v>
      </c>
      <c r="AH534" s="397" t="n">
        <f aca="false">IF(AND(L533&lt;L_rampe,Poussee&lt;Poids*SIN(M533)), g*SIN(M533), (-W533+Poussee)/m)</f>
        <v>-7.33872048716247</v>
      </c>
    </row>
    <row r="535" customFormat="false" ht="12.75" hidden="false" customHeight="false" outlineLevel="0" collapsed="false">
      <c r="A535" s="396" t="n">
        <f aca="false">IF(B534+0.01&lt;=T_ini+ROUNDUP(Temps_fin_propu,0), 0.01, IF(K534&gt;0, 0.1, 0.0001))</f>
        <v>0.0001</v>
      </c>
      <c r="B535" s="397" t="n">
        <f aca="false">B534+pas</f>
        <v>32.1030000000003</v>
      </c>
      <c r="D535" s="396" t="n">
        <f aca="false">IF(AND(L534&lt;L_rampe,Poussee&lt;Poids*SIN(M534)),0,(-W534+Poussee)/m*COS(M534)-U534/m*SIN(M534))</f>
        <v>-0.727654686294388</v>
      </c>
      <c r="E535" s="398" t="n">
        <f aca="false">IF(AND(L534&lt;L_rampe,Poussee&lt;Poids*SIN(M534)),0,(-W534+Poussee)/m*SIN(M534)+U534/m*COS(M534)-Poids/m)</f>
        <v>-2.50740378108771</v>
      </c>
      <c r="F535" s="397" t="n">
        <f aca="false">SQRT(acc_x^2+acc_z^2)</f>
        <v>2.61085332102344</v>
      </c>
      <c r="G535" s="396" t="n">
        <f aca="false">G534+acc_x*pas</f>
        <v>11.4951243989654</v>
      </c>
      <c r="H535" s="398" t="n">
        <f aca="false">H534+acc_z*pas</f>
        <v>-115.363739672388</v>
      </c>
      <c r="I535" s="397" t="n">
        <f aca="false">SQRT(vit_x^2+vit_z^2)</f>
        <v>115.935026269657</v>
      </c>
      <c r="J535" s="396" t="n">
        <f aca="false">J534+0.5*(vit_x+G534)*pas*(K534&gt;=0)</f>
        <v>690.928492655337</v>
      </c>
      <c r="K535" s="398" t="n">
        <f aca="false">K534+0.5*(vit_z+H534)*pas</f>
        <v>-8.9506847506723</v>
      </c>
      <c r="L535" s="397" t="n">
        <f aca="false">SQRT(pos_x^2+pos_z^2)</f>
        <v>690.986466380118</v>
      </c>
      <c r="M535" s="396" t="n">
        <f aca="false">IF(AND(L534&gt;L_rampe,G535&gt;0),ATAN2(G535,H535),$M$4)</f>
        <v>-1.47148170756435</v>
      </c>
      <c r="N535" s="397" t="n">
        <f aca="false">DEGREES(Beta)</f>
        <v>-84.3096914741408</v>
      </c>
      <c r="P535" s="399" t="n">
        <f aca="false">MATCH(t-pas/2-T_ini,CdP_t)</f>
        <v>23</v>
      </c>
      <c r="Q535" s="397" t="n">
        <f aca="false">(INDEX(CdP,2,i_P+1)-INDEX(CdP,2,i_P+0))/(INDEX(CdP,1,i_P+1)-INDEX(CdP,1,i_P+0))*(t-pas/2-T_ini-INDEX(CdP,1,i_P+0))+INDEX(CdP,2,i_P+0)</f>
        <v>0</v>
      </c>
      <c r="R535" s="396" t="n">
        <f aca="false">Poussee/(g*ISP)</f>
        <v>0</v>
      </c>
      <c r="S535" s="398" t="n">
        <f aca="false">S534-Débit*pas</f>
        <v>8.45</v>
      </c>
      <c r="T535" s="397" t="n">
        <f aca="false">m*g</f>
        <v>82.8945</v>
      </c>
      <c r="U535" s="400" t="n">
        <f aca="false">IF(pos_xz&lt;L_rampe,Poids*COS(Beta),0)</f>
        <v>0</v>
      </c>
      <c r="V535" s="396" t="n">
        <f aca="false">Rho_moyen*(20000-Alt_rampe-pos_z)/(20000+Alt_rampe+pos_z)</f>
        <v>1.22609694980455</v>
      </c>
      <c r="W535" s="397" t="n">
        <f aca="false">1/2*Rho*Sref*Cx*vit_xz^2</f>
        <v>62.0128495955618</v>
      </c>
      <c r="Y535" s="401" t="str">
        <f aca="false">IF(AND(pos_z&lt;=0,K534&gt;0),"Impact balistique","") &amp; IF(AND(H536&lt;0,vit_z&gt;=0),"Apogée","") &amp; IF(AND(Poussee=0,Q534&gt;0),"Fin de propulsion","") &amp; IF(AND(L536&gt;L_rampe,pos_xz&lt;=L_rampe),"Sortie de rampe","")</f>
        <v/>
      </c>
      <c r="Z535" s="402" t="str">
        <f aca="false">IF(ABS(t-T_para)&lt;pas/2,"Para","")</f>
        <v/>
      </c>
      <c r="AA535" s="403" t="str">
        <f aca="false">IF(ABS(t-T_satellite)&lt;pas/2,"Satellite","")</f>
        <v/>
      </c>
      <c r="AC535" s="399" t="e">
        <f aca="false">IF(ABS(t-ROUND(t,0))&lt;0.001,t,NA())</f>
        <v>#N/A</v>
      </c>
      <c r="AD535" s="404" t="e">
        <f aca="false">IF(ABS(t-ROUND(t,0))&lt;0.001,pos_x,NA())</f>
        <v>#N/A</v>
      </c>
      <c r="AE535" s="405" t="e">
        <f aca="false">IF(t&lt;T_para, pos_z, NA())</f>
        <v>#N/A</v>
      </c>
      <c r="AG535" s="396" t="n">
        <f aca="false">IF(AND(L534&lt;L_rampe,Poussee&lt;Poids*SIN(M534)),0,(-W534+Poussee)/m-Poids*SIN(M534)/m)</f>
        <v>2.42289936306127</v>
      </c>
      <c r="AH535" s="397" t="n">
        <f aca="false">IF(AND(L534&lt;L_rampe,Poussee&lt;Poids*SIN(M534)), g*SIN(M534), (-W534+Poussee)/m)</f>
        <v>-7.33875962809508</v>
      </c>
    </row>
    <row r="536" customFormat="false" ht="12.75" hidden="false" customHeight="false" outlineLevel="0" collapsed="false">
      <c r="A536" s="396" t="n">
        <f aca="false">IF(B535+0.01&lt;=T_ini+ROUNDUP(Temps_fin_propu,0), 0.01, IF(K535&gt;0, 0.1, 0.0001))</f>
        <v>0.0001</v>
      </c>
      <c r="B536" s="397" t="n">
        <f aca="false">B535+pas</f>
        <v>32.1031000000003</v>
      </c>
      <c r="D536" s="396" t="n">
        <f aca="false">IF(AND(L535&lt;L_rampe,Poussee&lt;Poids*SIN(M535)),0,(-W535+Poussee)/m*COS(M535)-U535/m*SIN(M535))</f>
        <v>-0.7276524403335</v>
      </c>
      <c r="E536" s="398" t="n">
        <f aca="false">IF(AND(L535&lt;L_rampe,Poussee&lt;Poids*SIN(M535)),0,(-W535+Poussee)/m*SIN(M535)+U535/m*COS(M535)-Poids/m)</f>
        <v>-2.50736422285552</v>
      </c>
      <c r="F536" s="397" t="n">
        <f aca="false">SQRT(acc_x^2+acc_z^2)</f>
        <v>2.61081470425979</v>
      </c>
      <c r="G536" s="396" t="n">
        <f aca="false">G535+acc_x*pas</f>
        <v>11.4950516337214</v>
      </c>
      <c r="H536" s="398" t="n">
        <f aca="false">H535+acc_z*pas</f>
        <v>-115.36399040881</v>
      </c>
      <c r="I536" s="397" t="n">
        <f aca="false">SQRT(vit_x^2+vit_z^2)</f>
        <v>115.935268555802</v>
      </c>
      <c r="J536" s="396" t="n">
        <f aca="false">J535+0.5*(vit_x+G535)*pas*(K535&gt;=0)</f>
        <v>690.928492655337</v>
      </c>
      <c r="K536" s="398" t="n">
        <f aca="false">K535+0.5*(vit_z+H535)*pas</f>
        <v>-8.96222113717636</v>
      </c>
      <c r="L536" s="397" t="n">
        <f aca="false">SQRT(pos_x^2+pos_z^2)</f>
        <v>690.986615912846</v>
      </c>
      <c r="M536" s="396" t="n">
        <f aca="false">IF(AND(L535&gt;L_rampe,G536&gt;0),ATAN2(G536,H536),$M$4)</f>
        <v>-1.47148254654597</v>
      </c>
      <c r="N536" s="397" t="n">
        <f aca="false">DEGREES(Beta)</f>
        <v>-84.3097395442466</v>
      </c>
      <c r="P536" s="399" t="n">
        <f aca="false">MATCH(t-pas/2-T_ini,CdP_t)</f>
        <v>23</v>
      </c>
      <c r="Q536" s="397" t="n">
        <f aca="false">(INDEX(CdP,2,i_P+1)-INDEX(CdP,2,i_P+0))/(INDEX(CdP,1,i_P+1)-INDEX(CdP,1,i_P+0))*(t-pas/2-T_ini-INDEX(CdP,1,i_P+0))+INDEX(CdP,2,i_P+0)</f>
        <v>0</v>
      </c>
      <c r="R536" s="396" t="n">
        <f aca="false">Poussee/(g*ISP)</f>
        <v>0</v>
      </c>
      <c r="S536" s="398" t="n">
        <f aca="false">S535-Débit*pas</f>
        <v>8.45</v>
      </c>
      <c r="T536" s="397" t="n">
        <f aca="false">m*g</f>
        <v>82.8945</v>
      </c>
      <c r="U536" s="400" t="n">
        <f aca="false">IF(pos_xz&lt;L_rampe,Poids*COS(Beta),0)</f>
        <v>0</v>
      </c>
      <c r="V536" s="396" t="n">
        <f aca="false">Rho_moyen*(20000-Alt_rampe-pos_z)/(20000+Alt_rampe+pos_z)</f>
        <v>1.22609836427848</v>
      </c>
      <c r="W536" s="397" t="n">
        <f aca="false">1/2*Rho*Sref*Cx*vit_xz^2</f>
        <v>62.0131803309981</v>
      </c>
      <c r="Y536" s="401" t="str">
        <f aca="false">IF(AND(pos_z&lt;=0,K535&gt;0),"Impact balistique","") &amp; IF(AND(H537&lt;0,vit_z&gt;=0),"Apogée","") &amp; IF(AND(Poussee=0,Q535&gt;0),"Fin de propulsion","") &amp; IF(AND(L537&gt;L_rampe,pos_xz&lt;=L_rampe),"Sortie de rampe","")</f>
        <v/>
      </c>
      <c r="Z536" s="402" t="str">
        <f aca="false">IF(ABS(t-T_para)&lt;pas/2,"Para","")</f>
        <v/>
      </c>
      <c r="AA536" s="403" t="str">
        <f aca="false">IF(ABS(t-T_satellite)&lt;pas/2,"Satellite","")</f>
        <v/>
      </c>
      <c r="AC536" s="399" t="e">
        <f aca="false">IF(ABS(t-ROUND(t,0))&lt;0.001,t,NA())</f>
        <v>#N/A</v>
      </c>
      <c r="AD536" s="404" t="e">
        <f aca="false">IF(ABS(t-ROUND(t,0))&lt;0.001,pos_x,NA())</f>
        <v>#N/A</v>
      </c>
      <c r="AE536" s="405" t="e">
        <f aca="false">IF(t&lt;T_para, pos_z, NA())</f>
        <v>#N/A</v>
      </c>
      <c r="AG536" s="396" t="n">
        <f aca="false">IF(AND(L535&lt;L_rampe,Poussee&lt;Poids*SIN(M535)),0,(-W535+Poussee)/m-Poids*SIN(M535)/m)</f>
        <v>2.42286103851976</v>
      </c>
      <c r="AH536" s="397" t="n">
        <f aca="false">IF(AND(L535&lt;L_rampe,Poussee&lt;Poids*SIN(M535)), g*SIN(M535), (-W535+Poussee)/m)</f>
        <v>-7.33879876870554</v>
      </c>
    </row>
    <row r="537" customFormat="false" ht="12.75" hidden="false" customHeight="false" outlineLevel="0" collapsed="false">
      <c r="A537" s="396" t="n">
        <f aca="false">IF(B536+0.01&lt;=T_ini+ROUNDUP(Temps_fin_propu,0), 0.01, IF(K536&gt;0, 0.1, 0.0001))</f>
        <v>0.0001</v>
      </c>
      <c r="B537" s="397" t="n">
        <f aca="false">B536+pas</f>
        <v>32.1032000000003</v>
      </c>
      <c r="D537" s="396" t="n">
        <f aca="false">IF(AND(L536&lt;L_rampe,Poussee&lt;Poids*SIN(M536)),0,(-W536+Poussee)/m*COS(M536)-U536/m*SIN(M536))</f>
        <v>-0.727650194339198</v>
      </c>
      <c r="E537" s="398" t="n">
        <f aca="false">IF(AND(L536&lt;L_rampe,Poussee&lt;Poids*SIN(M536)),0,(-W536+Poussee)/m*SIN(M536)+U536/m*COS(M536)-Poids/m)</f>
        <v>-2.50732466494891</v>
      </c>
      <c r="F537" s="397" t="n">
        <f aca="false">SQRT(acc_x^2+acc_z^2)</f>
        <v>2.61077608782964</v>
      </c>
      <c r="G537" s="396" t="n">
        <f aca="false">G536+acc_x*pas</f>
        <v>11.494978868702</v>
      </c>
      <c r="H537" s="398" t="n">
        <f aca="false">H536+acc_z*pas</f>
        <v>-115.364241141276</v>
      </c>
      <c r="I537" s="397" t="n">
        <f aca="false">SQRT(vit_x^2+vit_z^2)</f>
        <v>115.935510838114</v>
      </c>
      <c r="J537" s="396" t="n">
        <f aca="false">J536+0.5*(vit_x+G536)*pas*(K536&gt;=0)</f>
        <v>690.928492655337</v>
      </c>
      <c r="K537" s="398" t="n">
        <f aca="false">K536+0.5*(vit_z+H536)*pas</f>
        <v>-8.97375754875387</v>
      </c>
      <c r="L537" s="397" t="n">
        <f aca="false">SQRT(pos_x^2+pos_z^2)</f>
        <v>690.986765638474</v>
      </c>
      <c r="M537" s="396" t="n">
        <f aca="false">IF(AND(L536&gt;L_rampe,G537&gt;0),ATAN2(G537,H537),$M$4)</f>
        <v>-1.47148338551877</v>
      </c>
      <c r="N537" s="397" t="n">
        <f aca="false">DEGREES(Beta)</f>
        <v>-84.3097876138472</v>
      </c>
      <c r="P537" s="399" t="n">
        <f aca="false">MATCH(t-pas/2-T_ini,CdP_t)</f>
        <v>23</v>
      </c>
      <c r="Q537" s="397" t="n">
        <f aca="false">(INDEX(CdP,2,i_P+1)-INDEX(CdP,2,i_P+0))/(INDEX(CdP,1,i_P+1)-INDEX(CdP,1,i_P+0))*(t-pas/2-T_ini-INDEX(CdP,1,i_P+0))+INDEX(CdP,2,i_P+0)</f>
        <v>0</v>
      </c>
      <c r="R537" s="396" t="n">
        <f aca="false">Poussee/(g*ISP)</f>
        <v>0</v>
      </c>
      <c r="S537" s="398" t="n">
        <f aca="false">S536-Débit*pas</f>
        <v>8.45</v>
      </c>
      <c r="T537" s="397" t="n">
        <f aca="false">m*g</f>
        <v>82.8945</v>
      </c>
      <c r="U537" s="400" t="n">
        <f aca="false">IF(pos_xz&lt;L_rampe,Poids*COS(Beta),0)</f>
        <v>0</v>
      </c>
      <c r="V537" s="396" t="n">
        <f aca="false">Rho_moyen*(20000-Alt_rampe-pos_z)/(20000+Alt_rampe+pos_z)</f>
        <v>1.22609977875712</v>
      </c>
      <c r="W537" s="397" t="n">
        <f aca="false">1/2*Rho*Sref*Cx*vit_xz^2</f>
        <v>62.0135110637122</v>
      </c>
      <c r="Y537" s="401" t="str">
        <f aca="false">IF(AND(pos_z&lt;=0,K536&gt;0),"Impact balistique","") &amp; IF(AND(H538&lt;0,vit_z&gt;=0),"Apogée","") &amp; IF(AND(Poussee=0,Q536&gt;0),"Fin de propulsion","") &amp; IF(AND(L538&gt;L_rampe,pos_xz&lt;=L_rampe),"Sortie de rampe","")</f>
        <v/>
      </c>
      <c r="Z537" s="402" t="str">
        <f aca="false">IF(ABS(t-T_para)&lt;pas/2,"Para","")</f>
        <v/>
      </c>
      <c r="AA537" s="403" t="str">
        <f aca="false">IF(ABS(t-T_satellite)&lt;pas/2,"Satellite","")</f>
        <v/>
      </c>
      <c r="AC537" s="399" t="e">
        <f aca="false">IF(ABS(t-ROUND(t,0))&lt;0.001,t,NA())</f>
        <v>#N/A</v>
      </c>
      <c r="AD537" s="404" t="e">
        <f aca="false">IF(ABS(t-ROUND(t,0))&lt;0.001,pos_x,NA())</f>
        <v>#N/A</v>
      </c>
      <c r="AE537" s="405" t="e">
        <f aca="false">IF(t&lt;T_para, pos_z, NA())</f>
        <v>#N/A</v>
      </c>
      <c r="AG537" s="396" t="n">
        <f aca="false">IF(AND(L536&lt;L_rampe,Poussee&lt;Poids*SIN(M536)),0,(-W536+Poussee)/m-Poids*SIN(M536)/m)</f>
        <v>2.42282271428495</v>
      </c>
      <c r="AH537" s="397" t="n">
        <f aca="false">IF(AND(L536&lt;L_rampe,Poussee&lt;Poids*SIN(M536)), g*SIN(M536), (-W536+Poussee)/m)</f>
        <v>-7.33883790899386</v>
      </c>
    </row>
    <row r="538" customFormat="false" ht="12.75" hidden="false" customHeight="false" outlineLevel="0" collapsed="false">
      <c r="A538" s="396" t="n">
        <f aca="false">IF(B537+0.01&lt;=T_ini+ROUNDUP(Temps_fin_propu,0), 0.01, IF(K537&gt;0, 0.1, 0.0001))</f>
        <v>0.0001</v>
      </c>
      <c r="B538" s="397" t="n">
        <f aca="false">B537+pas</f>
        <v>32.1033000000003</v>
      </c>
      <c r="D538" s="396" t="n">
        <f aca="false">IF(AND(L537&lt;L_rampe,Poussee&lt;Poids*SIN(M537)),0,(-W537+Poussee)/m*COS(M537)-U537/m*SIN(M537))</f>
        <v>-0.727647948311483</v>
      </c>
      <c r="E538" s="398" t="n">
        <f aca="false">IF(AND(L537&lt;L_rampe,Poussee&lt;Poids*SIN(M537)),0,(-W537+Poussee)/m*SIN(M537)+U537/m*COS(M537)-Poids/m)</f>
        <v>-2.50728510736792</v>
      </c>
      <c r="F538" s="397" t="n">
        <f aca="false">SQRT(acc_x^2+acc_z^2)</f>
        <v>2.61073747173301</v>
      </c>
      <c r="G538" s="396" t="n">
        <f aca="false">G537+acc_x*pas</f>
        <v>11.4949061039071</v>
      </c>
      <c r="H538" s="398" t="n">
        <f aca="false">H537+acc_z*pas</f>
        <v>-115.364491869787</v>
      </c>
      <c r="I538" s="397" t="n">
        <f aca="false">SQRT(vit_x^2+vit_z^2)</f>
        <v>115.935753116594</v>
      </c>
      <c r="J538" s="396" t="n">
        <f aca="false">J537+0.5*(vit_x+G537)*pas*(K537&gt;=0)</f>
        <v>690.928492655337</v>
      </c>
      <c r="K538" s="398" t="n">
        <f aca="false">K537+0.5*(vit_z+H537)*pas</f>
        <v>-8.98529398540442</v>
      </c>
      <c r="L538" s="397" t="n">
        <f aca="false">SQRT(pos_x^2+pos_z^2)</f>
        <v>690.986915557002</v>
      </c>
      <c r="M538" s="396" t="n">
        <f aca="false">IF(AND(L537&gt;L_rampe,G538&gt;0),ATAN2(G538,H538),$M$4)</f>
        <v>-1.47148422448275</v>
      </c>
      <c r="N538" s="397" t="n">
        <f aca="false">DEGREES(Beta)</f>
        <v>-84.3098356829426</v>
      </c>
      <c r="P538" s="399" t="n">
        <f aca="false">MATCH(t-pas/2-T_ini,CdP_t)</f>
        <v>23</v>
      </c>
      <c r="Q538" s="397" t="n">
        <f aca="false">(INDEX(CdP,2,i_P+1)-INDEX(CdP,2,i_P+0))/(INDEX(CdP,1,i_P+1)-INDEX(CdP,1,i_P+0))*(t-pas/2-T_ini-INDEX(CdP,1,i_P+0))+INDEX(CdP,2,i_P+0)</f>
        <v>0</v>
      </c>
      <c r="R538" s="396" t="n">
        <f aca="false">Poussee/(g*ISP)</f>
        <v>0</v>
      </c>
      <c r="S538" s="398" t="n">
        <f aca="false">S537-Débit*pas</f>
        <v>8.45</v>
      </c>
      <c r="T538" s="397" t="n">
        <f aca="false">m*g</f>
        <v>82.8945</v>
      </c>
      <c r="U538" s="400" t="n">
        <f aca="false">IF(pos_xz&lt;L_rampe,Poids*COS(Beta),0)</f>
        <v>0</v>
      </c>
      <c r="V538" s="396" t="n">
        <f aca="false">Rho_moyen*(20000-Alt_rampe-pos_z)/(20000+Alt_rampe+pos_z)</f>
        <v>1.22610119324046</v>
      </c>
      <c r="W538" s="397" t="n">
        <f aca="false">1/2*Rho*Sref*Cx*vit_xz^2</f>
        <v>62.0138417937043</v>
      </c>
      <c r="Y538" s="401" t="str">
        <f aca="false">IF(AND(pos_z&lt;=0,K537&gt;0),"Impact balistique","") &amp; IF(AND(H539&lt;0,vit_z&gt;=0),"Apogée","") &amp; IF(AND(Poussee=0,Q537&gt;0),"Fin de propulsion","") &amp; IF(AND(L539&gt;L_rampe,pos_xz&lt;=L_rampe),"Sortie de rampe","")</f>
        <v/>
      </c>
      <c r="Z538" s="402" t="str">
        <f aca="false">IF(ABS(t-T_para)&lt;pas/2,"Para","")</f>
        <v/>
      </c>
      <c r="AA538" s="403" t="str">
        <f aca="false">IF(ABS(t-T_satellite)&lt;pas/2,"Satellite","")</f>
        <v/>
      </c>
      <c r="AC538" s="399" t="e">
        <f aca="false">IF(ABS(t-ROUND(t,0))&lt;0.001,t,NA())</f>
        <v>#N/A</v>
      </c>
      <c r="AD538" s="404" t="e">
        <f aca="false">IF(ABS(t-ROUND(t,0))&lt;0.001,pos_x,NA())</f>
        <v>#N/A</v>
      </c>
      <c r="AE538" s="405" t="e">
        <f aca="false">IF(t&lt;T_para, pos_z, NA())</f>
        <v>#N/A</v>
      </c>
      <c r="AG538" s="396" t="n">
        <f aca="false">IF(AND(L537&lt;L_rampe,Poussee&lt;Poids*SIN(M537)),0,(-W537+Poussee)/m-Poids*SIN(M537)/m)</f>
        <v>2.42278439035684</v>
      </c>
      <c r="AH538" s="397" t="n">
        <f aca="false">IF(AND(L537&lt;L_rampe,Poussee&lt;Poids*SIN(M537)), g*SIN(M537), (-W537+Poussee)/m)</f>
        <v>-7.33887704896003</v>
      </c>
    </row>
    <row r="539" customFormat="false" ht="12.75" hidden="false" customHeight="false" outlineLevel="0" collapsed="false">
      <c r="A539" s="396" t="n">
        <f aca="false">IF(B538+0.01&lt;=T_ini+ROUNDUP(Temps_fin_propu,0), 0.01, IF(K538&gt;0, 0.1, 0.0001))</f>
        <v>0.0001</v>
      </c>
      <c r="B539" s="397" t="n">
        <f aca="false">B538+pas</f>
        <v>32.1034000000003</v>
      </c>
      <c r="D539" s="396" t="n">
        <f aca="false">IF(AND(L538&lt;L_rampe,Poussee&lt;Poids*SIN(M538)),0,(-W538+Poussee)/m*COS(M538)-U538/m*SIN(M538))</f>
        <v>-0.727645702250354</v>
      </c>
      <c r="E539" s="398" t="n">
        <f aca="false">IF(AND(L538&lt;L_rampe,Poussee&lt;Poids*SIN(M538)),0,(-W538+Poussee)/m*SIN(M538)+U538/m*COS(M538)-Poids/m)</f>
        <v>-2.50724555011253</v>
      </c>
      <c r="F539" s="397" t="n">
        <f aca="false">SQRT(acc_x^2+acc_z^2)</f>
        <v>2.61069885596989</v>
      </c>
      <c r="G539" s="396" t="n">
        <f aca="false">G538+acc_x*pas</f>
        <v>11.4948333393369</v>
      </c>
      <c r="H539" s="398" t="n">
        <f aca="false">H538+acc_z*pas</f>
        <v>-115.364742594342</v>
      </c>
      <c r="I539" s="397" t="n">
        <f aca="false">SQRT(vit_x^2+vit_z^2)</f>
        <v>115.935995391241</v>
      </c>
      <c r="J539" s="396" t="n">
        <f aca="false">J538+0.5*(vit_x+G538)*pas*(K538&gt;=0)</f>
        <v>690.928492655337</v>
      </c>
      <c r="K539" s="398" t="n">
        <f aca="false">K538+0.5*(vit_z+H538)*pas</f>
        <v>-8.99683044712763</v>
      </c>
      <c r="L539" s="397" t="n">
        <f aca="false">SQRT(pos_x^2+pos_z^2)</f>
        <v>690.987065668432</v>
      </c>
      <c r="M539" s="396" t="n">
        <f aca="false">IF(AND(L538&gt;L_rampe,G539&gt;0),ATAN2(G539,H539),$M$4)</f>
        <v>-1.47148506343792</v>
      </c>
      <c r="N539" s="397" t="n">
        <f aca="false">DEGREES(Beta)</f>
        <v>-84.3098837515328</v>
      </c>
      <c r="P539" s="399" t="n">
        <f aca="false">MATCH(t-pas/2-T_ini,CdP_t)</f>
        <v>23</v>
      </c>
      <c r="Q539" s="397" t="n">
        <f aca="false">(INDEX(CdP,2,i_P+1)-INDEX(CdP,2,i_P+0))/(INDEX(CdP,1,i_P+1)-INDEX(CdP,1,i_P+0))*(t-pas/2-T_ini-INDEX(CdP,1,i_P+0))+INDEX(CdP,2,i_P+0)</f>
        <v>0</v>
      </c>
      <c r="R539" s="396" t="n">
        <f aca="false">Poussee/(g*ISP)</f>
        <v>0</v>
      </c>
      <c r="S539" s="398" t="n">
        <f aca="false">S538-Débit*pas</f>
        <v>8.45</v>
      </c>
      <c r="T539" s="397" t="n">
        <f aca="false">m*g</f>
        <v>82.8945</v>
      </c>
      <c r="U539" s="400" t="n">
        <f aca="false">IF(pos_xz&lt;L_rampe,Poids*COS(Beta),0)</f>
        <v>0</v>
      </c>
      <c r="V539" s="396" t="n">
        <f aca="false">Rho_moyen*(20000-Alt_rampe-pos_z)/(20000+Alt_rampe+pos_z)</f>
        <v>1.22610260772851</v>
      </c>
      <c r="W539" s="397" t="n">
        <f aca="false">1/2*Rho*Sref*Cx*vit_xz^2</f>
        <v>62.0141725209742</v>
      </c>
      <c r="Y539" s="401" t="str">
        <f aca="false">IF(AND(pos_z&lt;=0,K538&gt;0),"Impact balistique","") &amp; IF(AND(H540&lt;0,vit_z&gt;=0),"Apogée","") &amp; IF(AND(Poussee=0,Q538&gt;0),"Fin de propulsion","") &amp; IF(AND(L540&gt;L_rampe,pos_xz&lt;=L_rampe),"Sortie de rampe","")</f>
        <v/>
      </c>
      <c r="Z539" s="402" t="str">
        <f aca="false">IF(ABS(t-T_para)&lt;pas/2,"Para","")</f>
        <v/>
      </c>
      <c r="AA539" s="403" t="str">
        <f aca="false">IF(ABS(t-T_satellite)&lt;pas/2,"Satellite","")</f>
        <v/>
      </c>
      <c r="AC539" s="399" t="e">
        <f aca="false">IF(ABS(t-ROUND(t,0))&lt;0.001,t,NA())</f>
        <v>#N/A</v>
      </c>
      <c r="AD539" s="404" t="e">
        <f aca="false">IF(ABS(t-ROUND(t,0))&lt;0.001,pos_x,NA())</f>
        <v>#N/A</v>
      </c>
      <c r="AE539" s="405" t="e">
        <f aca="false">IF(t&lt;T_para, pos_z, NA())</f>
        <v>#N/A</v>
      </c>
      <c r="AG539" s="396" t="n">
        <f aca="false">IF(AND(L538&lt;L_rampe,Poussee&lt;Poids*SIN(M538)),0,(-W538+Poussee)/m-Poids*SIN(M538)/m)</f>
        <v>2.42274606673542</v>
      </c>
      <c r="AH539" s="397" t="n">
        <f aca="false">IF(AND(L538&lt;L_rampe,Poussee&lt;Poids*SIN(M538)), g*SIN(M538), (-W538+Poussee)/m)</f>
        <v>-7.33891618860406</v>
      </c>
    </row>
    <row r="540" customFormat="false" ht="12.75" hidden="false" customHeight="false" outlineLevel="0" collapsed="false">
      <c r="A540" s="396" t="n">
        <f aca="false">IF(B539+0.01&lt;=T_ini+ROUNDUP(Temps_fin_propu,0), 0.01, IF(K539&gt;0, 0.1, 0.0001))</f>
        <v>0.0001</v>
      </c>
      <c r="B540" s="397" t="n">
        <f aca="false">B539+pas</f>
        <v>32.1035000000003</v>
      </c>
      <c r="D540" s="396" t="n">
        <f aca="false">IF(AND(L539&lt;L_rampe,Poussee&lt;Poids*SIN(M539)),0,(-W539+Poussee)/m*COS(M539)-U539/m*SIN(M539))</f>
        <v>-0.727643456155813</v>
      </c>
      <c r="E540" s="398" t="n">
        <f aca="false">IF(AND(L539&lt;L_rampe,Poussee&lt;Poids*SIN(M539)),0,(-W539+Poussee)/m*SIN(M539)+U539/m*COS(M539)-Poids/m)</f>
        <v>-2.50720599318274</v>
      </c>
      <c r="F540" s="397" t="n">
        <f aca="false">SQRT(acc_x^2+acc_z^2)</f>
        <v>2.61066024054028</v>
      </c>
      <c r="G540" s="396" t="n">
        <f aca="false">G539+acc_x*pas</f>
        <v>11.4947605749913</v>
      </c>
      <c r="H540" s="398" t="n">
        <f aca="false">H539+acc_z*pas</f>
        <v>-115.364993314941</v>
      </c>
      <c r="I540" s="397" t="n">
        <f aca="false">SQRT(vit_x^2+vit_z^2)</f>
        <v>115.936237662057</v>
      </c>
      <c r="J540" s="396" t="n">
        <f aca="false">J539+0.5*(vit_x+G539)*pas*(K539&gt;=0)</f>
        <v>690.928492655337</v>
      </c>
      <c r="K540" s="398" t="n">
        <f aca="false">K539+0.5*(vit_z+H539)*pas</f>
        <v>-9.00836693392309</v>
      </c>
      <c r="L540" s="397" t="n">
        <f aca="false">SQRT(pos_x^2+pos_z^2)</f>
        <v>690.987215972765</v>
      </c>
      <c r="M540" s="396" t="n">
        <f aca="false">IF(AND(L539&gt;L_rampe,G540&gt;0),ATAN2(G540,H540),$M$4)</f>
        <v>-1.47148590238427</v>
      </c>
      <c r="N540" s="397" t="n">
        <f aca="false">DEGREES(Beta)</f>
        <v>-84.3099318196179</v>
      </c>
      <c r="P540" s="399" t="n">
        <f aca="false">MATCH(t-pas/2-T_ini,CdP_t)</f>
        <v>23</v>
      </c>
      <c r="Q540" s="397" t="n">
        <f aca="false">(INDEX(CdP,2,i_P+1)-INDEX(CdP,2,i_P+0))/(INDEX(CdP,1,i_P+1)-INDEX(CdP,1,i_P+0))*(t-pas/2-T_ini-INDEX(CdP,1,i_P+0))+INDEX(CdP,2,i_P+0)</f>
        <v>0</v>
      </c>
      <c r="R540" s="396" t="n">
        <f aca="false">Poussee/(g*ISP)</f>
        <v>0</v>
      </c>
      <c r="S540" s="398" t="n">
        <f aca="false">S539-Débit*pas</f>
        <v>8.45</v>
      </c>
      <c r="T540" s="397" t="n">
        <f aca="false">m*g</f>
        <v>82.8945</v>
      </c>
      <c r="U540" s="400" t="n">
        <f aca="false">IF(pos_xz&lt;L_rampe,Poids*COS(Beta),0)</f>
        <v>0</v>
      </c>
      <c r="V540" s="396" t="n">
        <f aca="false">Rho_moyen*(20000-Alt_rampe-pos_z)/(20000+Alt_rampe+pos_z)</f>
        <v>1.22610402222127</v>
      </c>
      <c r="W540" s="397" t="n">
        <f aca="false">1/2*Rho*Sref*Cx*vit_xz^2</f>
        <v>62.0145032455219</v>
      </c>
      <c r="Y540" s="401" t="str">
        <f aca="false">IF(AND(pos_z&lt;=0,K539&gt;0),"Impact balistique","") &amp; IF(AND(H541&lt;0,vit_z&gt;=0),"Apogée","") &amp; IF(AND(Poussee=0,Q539&gt;0),"Fin de propulsion","") &amp; IF(AND(L541&gt;L_rampe,pos_xz&lt;=L_rampe),"Sortie de rampe","")</f>
        <v/>
      </c>
      <c r="Z540" s="402" t="str">
        <f aca="false">IF(ABS(t-T_para)&lt;pas/2,"Para","")</f>
        <v/>
      </c>
      <c r="AA540" s="403" t="str">
        <f aca="false">IF(ABS(t-T_satellite)&lt;pas/2,"Satellite","")</f>
        <v/>
      </c>
      <c r="AC540" s="399" t="e">
        <f aca="false">IF(ABS(t-ROUND(t,0))&lt;0.001,t,NA())</f>
        <v>#N/A</v>
      </c>
      <c r="AD540" s="404" t="e">
        <f aca="false">IF(ABS(t-ROUND(t,0))&lt;0.001,pos_x,NA())</f>
        <v>#N/A</v>
      </c>
      <c r="AE540" s="405" t="e">
        <f aca="false">IF(t&lt;T_para, pos_z, NA())</f>
        <v>#N/A</v>
      </c>
      <c r="AG540" s="396" t="n">
        <f aca="false">IF(AND(L539&lt;L_rampe,Poussee&lt;Poids*SIN(M539)),0,(-W539+Poussee)/m-Poids*SIN(M539)/m)</f>
        <v>2.42270774342071</v>
      </c>
      <c r="AH540" s="397" t="n">
        <f aca="false">IF(AND(L539&lt;L_rampe,Poussee&lt;Poids*SIN(M539)), g*SIN(M539), (-W539+Poussee)/m)</f>
        <v>-7.33895532792594</v>
      </c>
    </row>
    <row r="541" customFormat="false" ht="12.75" hidden="false" customHeight="false" outlineLevel="0" collapsed="false">
      <c r="A541" s="396" t="n">
        <f aca="false">IF(B540+0.01&lt;=T_ini+ROUNDUP(Temps_fin_propu,0), 0.01, IF(K540&gt;0, 0.1, 0.0001))</f>
        <v>0.0001</v>
      </c>
      <c r="B541" s="397" t="n">
        <f aca="false">B540+pas</f>
        <v>32.1036000000003</v>
      </c>
      <c r="D541" s="396" t="n">
        <f aca="false">IF(AND(L540&lt;L_rampe,Poussee&lt;Poids*SIN(M540)),0,(-W540+Poussee)/m*COS(M540)-U540/m*SIN(M540))</f>
        <v>-0.727641210027859</v>
      </c>
      <c r="E541" s="398" t="n">
        <f aca="false">IF(AND(L540&lt;L_rampe,Poussee&lt;Poids*SIN(M540)),0,(-W540+Poussee)/m*SIN(M540)+U540/m*COS(M540)-Poids/m)</f>
        <v>-2.50716643657856</v>
      </c>
      <c r="F541" s="397" t="n">
        <f aca="false">SQRT(acc_x^2+acc_z^2)</f>
        <v>2.61062162544418</v>
      </c>
      <c r="G541" s="396" t="n">
        <f aca="false">G540+acc_x*pas</f>
        <v>11.4946878108703</v>
      </c>
      <c r="H541" s="398" t="n">
        <f aca="false">H540+acc_z*pas</f>
        <v>-115.365244031585</v>
      </c>
      <c r="I541" s="397" t="n">
        <f aca="false">SQRT(vit_x^2+vit_z^2)</f>
        <v>115.936479929039</v>
      </c>
      <c r="J541" s="396" t="n">
        <f aca="false">J540+0.5*(vit_x+G540)*pas*(K540&gt;=0)</f>
        <v>690.928492655337</v>
      </c>
      <c r="K541" s="398" t="n">
        <f aca="false">K540+0.5*(vit_z+H540)*pas</f>
        <v>-9.01990344579042</v>
      </c>
      <c r="L541" s="397" t="n">
        <f aca="false">SQRT(pos_x^2+pos_z^2)</f>
        <v>690.987366470001</v>
      </c>
      <c r="M541" s="396" t="n">
        <f aca="false">IF(AND(L540&gt;L_rampe,G541&gt;0),ATAN2(G541,H541),$M$4)</f>
        <v>-1.4714867413218</v>
      </c>
      <c r="N541" s="397" t="n">
        <f aca="false">DEGREES(Beta)</f>
        <v>-84.3099798871978</v>
      </c>
      <c r="P541" s="399" t="n">
        <f aca="false">MATCH(t-pas/2-T_ini,CdP_t)</f>
        <v>23</v>
      </c>
      <c r="Q541" s="397" t="n">
        <f aca="false">(INDEX(CdP,2,i_P+1)-INDEX(CdP,2,i_P+0))/(INDEX(CdP,1,i_P+1)-INDEX(CdP,1,i_P+0))*(t-pas/2-T_ini-INDEX(CdP,1,i_P+0))+INDEX(CdP,2,i_P+0)</f>
        <v>0</v>
      </c>
      <c r="R541" s="396" t="n">
        <f aca="false">Poussee/(g*ISP)</f>
        <v>0</v>
      </c>
      <c r="S541" s="398" t="n">
        <f aca="false">S540-Débit*pas</f>
        <v>8.45</v>
      </c>
      <c r="T541" s="397" t="n">
        <f aca="false">m*g</f>
        <v>82.8945</v>
      </c>
      <c r="U541" s="400" t="n">
        <f aca="false">IF(pos_xz&lt;L_rampe,Poids*COS(Beta),0)</f>
        <v>0</v>
      </c>
      <c r="V541" s="396" t="n">
        <f aca="false">Rho_moyen*(20000-Alt_rampe-pos_z)/(20000+Alt_rampe+pos_z)</f>
        <v>1.22610543671873</v>
      </c>
      <c r="W541" s="397" t="n">
        <f aca="false">1/2*Rho*Sref*Cx*vit_xz^2</f>
        <v>62.0148339673475</v>
      </c>
      <c r="Y541" s="401" t="str">
        <f aca="false">IF(AND(pos_z&lt;=0,K540&gt;0),"Impact balistique","") &amp; IF(AND(H542&lt;0,vit_z&gt;=0),"Apogée","") &amp; IF(AND(Poussee=0,Q540&gt;0),"Fin de propulsion","") &amp; IF(AND(L542&gt;L_rampe,pos_xz&lt;=L_rampe),"Sortie de rampe","")</f>
        <v/>
      </c>
      <c r="Z541" s="402" t="str">
        <f aca="false">IF(ABS(t-T_para)&lt;pas/2,"Para","")</f>
        <v/>
      </c>
      <c r="AA541" s="403" t="str">
        <f aca="false">IF(ABS(t-T_satellite)&lt;pas/2,"Satellite","")</f>
        <v/>
      </c>
      <c r="AC541" s="399" t="e">
        <f aca="false">IF(ABS(t-ROUND(t,0))&lt;0.001,t,NA())</f>
        <v>#N/A</v>
      </c>
      <c r="AD541" s="404" t="e">
        <f aca="false">IF(ABS(t-ROUND(t,0))&lt;0.001,pos_x,NA())</f>
        <v>#N/A</v>
      </c>
      <c r="AE541" s="405" t="e">
        <f aca="false">IF(t&lt;T_para, pos_z, NA())</f>
        <v>#N/A</v>
      </c>
      <c r="AG541" s="396" t="n">
        <f aca="false">IF(AND(L540&lt;L_rampe,Poussee&lt;Poids*SIN(M540)),0,(-W540+Poussee)/m-Poids*SIN(M540)/m)</f>
        <v>2.4226694204127</v>
      </c>
      <c r="AH541" s="397" t="n">
        <f aca="false">IF(AND(L540&lt;L_rampe,Poussee&lt;Poids*SIN(M540)), g*SIN(M540), (-W540+Poussee)/m)</f>
        <v>-7.33899446692567</v>
      </c>
    </row>
    <row r="542" customFormat="false" ht="12.75" hidden="false" customHeight="false" outlineLevel="0" collapsed="false">
      <c r="A542" s="396" t="n">
        <f aca="false">IF(B541+0.01&lt;=T_ini+ROUNDUP(Temps_fin_propu,0), 0.01, IF(K541&gt;0, 0.1, 0.0001))</f>
        <v>0.0001</v>
      </c>
      <c r="B542" s="397" t="n">
        <f aca="false">B541+pas</f>
        <v>32.1037000000003</v>
      </c>
      <c r="D542" s="396" t="n">
        <f aca="false">IF(AND(L541&lt;L_rampe,Poussee&lt;Poids*SIN(M541)),0,(-W541+Poussee)/m*COS(M541)-U541/m*SIN(M541))</f>
        <v>-0.727638963866497</v>
      </c>
      <c r="E542" s="398" t="n">
        <f aca="false">IF(AND(L541&lt;L_rampe,Poussee&lt;Poids*SIN(M541)),0,(-W541+Poussee)/m*SIN(M541)+U541/m*COS(M541)-Poids/m)</f>
        <v>-2.50712688029997</v>
      </c>
      <c r="F542" s="397" t="n">
        <f aca="false">SQRT(acc_x^2+acc_z^2)</f>
        <v>2.6105830106816</v>
      </c>
      <c r="G542" s="396" t="n">
        <f aca="false">G541+acc_x*pas</f>
        <v>11.4946150469739</v>
      </c>
      <c r="H542" s="398" t="n">
        <f aca="false">H541+acc_z*pas</f>
        <v>-115.365494744273</v>
      </c>
      <c r="I542" s="397" t="n">
        <f aca="false">SQRT(vit_x^2+vit_z^2)</f>
        <v>115.93672219219</v>
      </c>
      <c r="J542" s="396" t="n">
        <f aca="false">J541+0.5*(vit_x+G541)*pas*(K541&gt;=0)</f>
        <v>690.928492655337</v>
      </c>
      <c r="K542" s="398" t="n">
        <f aca="false">K541+0.5*(vit_z+H541)*pas</f>
        <v>-9.03143998272921</v>
      </c>
      <c r="L542" s="397" t="n">
        <f aca="false">SQRT(pos_x^2+pos_z^2)</f>
        <v>690.987517160142</v>
      </c>
      <c r="M542" s="396" t="n">
        <f aca="false">IF(AND(L541&gt;L_rampe,G542&gt;0),ATAN2(G542,H542),$M$4)</f>
        <v>-1.47148758025051</v>
      </c>
      <c r="N542" s="397" t="n">
        <f aca="false">DEGREES(Beta)</f>
        <v>-84.3100279542725</v>
      </c>
      <c r="P542" s="399" t="n">
        <f aca="false">MATCH(t-pas/2-T_ini,CdP_t)</f>
        <v>23</v>
      </c>
      <c r="Q542" s="397" t="n">
        <f aca="false">(INDEX(CdP,2,i_P+1)-INDEX(CdP,2,i_P+0))/(INDEX(CdP,1,i_P+1)-INDEX(CdP,1,i_P+0))*(t-pas/2-T_ini-INDEX(CdP,1,i_P+0))+INDEX(CdP,2,i_P+0)</f>
        <v>0</v>
      </c>
      <c r="R542" s="396" t="n">
        <f aca="false">Poussee/(g*ISP)</f>
        <v>0</v>
      </c>
      <c r="S542" s="398" t="n">
        <f aca="false">S541-Débit*pas</f>
        <v>8.45</v>
      </c>
      <c r="T542" s="397" t="n">
        <f aca="false">m*g</f>
        <v>82.8945</v>
      </c>
      <c r="U542" s="400" t="n">
        <f aca="false">IF(pos_xz&lt;L_rampe,Poids*COS(Beta),0)</f>
        <v>0</v>
      </c>
      <c r="V542" s="396" t="n">
        <f aca="false">Rho_moyen*(20000-Alt_rampe-pos_z)/(20000+Alt_rampe+pos_z)</f>
        <v>1.2261068512209</v>
      </c>
      <c r="W542" s="397" t="n">
        <f aca="false">1/2*Rho*Sref*Cx*vit_xz^2</f>
        <v>62.0151646864509</v>
      </c>
      <c r="Y542" s="401" t="str">
        <f aca="false">IF(AND(pos_z&lt;=0,K541&gt;0),"Impact balistique","") &amp; IF(AND(H543&lt;0,vit_z&gt;=0),"Apogée","") &amp; IF(AND(Poussee=0,Q541&gt;0),"Fin de propulsion","") &amp; IF(AND(L543&gt;L_rampe,pos_xz&lt;=L_rampe),"Sortie de rampe","")</f>
        <v/>
      </c>
      <c r="Z542" s="402" t="str">
        <f aca="false">IF(ABS(t-T_para)&lt;pas/2,"Para","")</f>
        <v/>
      </c>
      <c r="AA542" s="403" t="str">
        <f aca="false">IF(ABS(t-T_satellite)&lt;pas/2,"Satellite","")</f>
        <v/>
      </c>
      <c r="AC542" s="399" t="e">
        <f aca="false">IF(ABS(t-ROUND(t,0))&lt;0.001,t,NA())</f>
        <v>#N/A</v>
      </c>
      <c r="AD542" s="404" t="e">
        <f aca="false">IF(ABS(t-ROUND(t,0))&lt;0.001,pos_x,NA())</f>
        <v>#N/A</v>
      </c>
      <c r="AE542" s="405" t="e">
        <f aca="false">IF(t&lt;T_para, pos_z, NA())</f>
        <v>#N/A</v>
      </c>
      <c r="AG542" s="396" t="n">
        <f aca="false">IF(AND(L541&lt;L_rampe,Poussee&lt;Poids*SIN(M541)),0,(-W541+Poussee)/m-Poids*SIN(M541)/m)</f>
        <v>2.42263109771138</v>
      </c>
      <c r="AH542" s="397" t="n">
        <f aca="false">IF(AND(L541&lt;L_rampe,Poussee&lt;Poids*SIN(M541)), g*SIN(M541), (-W541+Poussee)/m)</f>
        <v>-7.33903360560325</v>
      </c>
    </row>
    <row r="543" customFormat="false" ht="12.75" hidden="false" customHeight="false" outlineLevel="0" collapsed="false">
      <c r="A543" s="396" t="n">
        <f aca="false">IF(B542+0.01&lt;=T_ini+ROUNDUP(Temps_fin_propu,0), 0.01, IF(K542&gt;0, 0.1, 0.0001))</f>
        <v>0.0001</v>
      </c>
      <c r="B543" s="397" t="n">
        <f aca="false">B542+pas</f>
        <v>32.1038000000003</v>
      </c>
      <c r="D543" s="396" t="n">
        <f aca="false">IF(AND(L542&lt;L_rampe,Poussee&lt;Poids*SIN(M542)),0,(-W542+Poussee)/m*COS(M542)-U542/m*SIN(M542))</f>
        <v>-0.727636717671723</v>
      </c>
      <c r="E543" s="398" t="n">
        <f aca="false">IF(AND(L542&lt;L_rampe,Poussee&lt;Poids*SIN(M542)),0,(-W542+Poussee)/m*SIN(M542)+U542/m*COS(M542)-Poids/m)</f>
        <v>-2.507087324347</v>
      </c>
      <c r="F543" s="397" t="n">
        <f aca="false">SQRT(acc_x^2+acc_z^2)</f>
        <v>2.61054439625253</v>
      </c>
      <c r="G543" s="396" t="n">
        <f aca="false">G542+acc_x*pas</f>
        <v>11.4945422833021</v>
      </c>
      <c r="H543" s="398" t="n">
        <f aca="false">H542+acc_z*pas</f>
        <v>-115.365745453006</v>
      </c>
      <c r="I543" s="397" t="n">
        <f aca="false">SQRT(vit_x^2+vit_z^2)</f>
        <v>115.936964451508</v>
      </c>
      <c r="J543" s="396" t="n">
        <f aca="false">J542+0.5*(vit_x+G542)*pas*(K542&gt;=0)</f>
        <v>690.928492655337</v>
      </c>
      <c r="K543" s="398" t="n">
        <f aca="false">K542+0.5*(vit_z+H542)*pas</f>
        <v>-9.04297654473908</v>
      </c>
      <c r="L543" s="397" t="n">
        <f aca="false">SQRT(pos_x^2+pos_z^2)</f>
        <v>690.987668043189</v>
      </c>
      <c r="M543" s="396" t="n">
        <f aca="false">IF(AND(L542&gt;L_rampe,G543&gt;0),ATAN2(G543,H543),$M$4)</f>
        <v>-1.47148841917041</v>
      </c>
      <c r="N543" s="397" t="n">
        <f aca="false">DEGREES(Beta)</f>
        <v>-84.3100760208421</v>
      </c>
      <c r="P543" s="399" t="n">
        <f aca="false">MATCH(t-pas/2-T_ini,CdP_t)</f>
        <v>23</v>
      </c>
      <c r="Q543" s="397" t="n">
        <f aca="false">(INDEX(CdP,2,i_P+1)-INDEX(CdP,2,i_P+0))/(INDEX(CdP,1,i_P+1)-INDEX(CdP,1,i_P+0))*(t-pas/2-T_ini-INDEX(CdP,1,i_P+0))+INDEX(CdP,2,i_P+0)</f>
        <v>0</v>
      </c>
      <c r="R543" s="396" t="n">
        <f aca="false">Poussee/(g*ISP)</f>
        <v>0</v>
      </c>
      <c r="S543" s="398" t="n">
        <f aca="false">S542-Débit*pas</f>
        <v>8.45</v>
      </c>
      <c r="T543" s="397" t="n">
        <f aca="false">m*g</f>
        <v>82.8945</v>
      </c>
      <c r="U543" s="400" t="n">
        <f aca="false">IF(pos_xz&lt;L_rampe,Poids*COS(Beta),0)</f>
        <v>0</v>
      </c>
      <c r="V543" s="396" t="n">
        <f aca="false">Rho_moyen*(20000-Alt_rampe-pos_z)/(20000+Alt_rampe+pos_z)</f>
        <v>1.22610826572778</v>
      </c>
      <c r="W543" s="397" t="n">
        <f aca="false">1/2*Rho*Sref*Cx*vit_xz^2</f>
        <v>62.0154954028322</v>
      </c>
      <c r="Y543" s="401" t="str">
        <f aca="false">IF(AND(pos_z&lt;=0,K542&gt;0),"Impact balistique","") &amp; IF(AND(H544&lt;0,vit_z&gt;=0),"Apogée","") &amp; IF(AND(Poussee=0,Q542&gt;0),"Fin de propulsion","") &amp; IF(AND(L544&gt;L_rampe,pos_xz&lt;=L_rampe),"Sortie de rampe","")</f>
        <v/>
      </c>
      <c r="Z543" s="402" t="str">
        <f aca="false">IF(ABS(t-T_para)&lt;pas/2,"Para","")</f>
        <v/>
      </c>
      <c r="AA543" s="403" t="str">
        <f aca="false">IF(ABS(t-T_satellite)&lt;pas/2,"Satellite","")</f>
        <v/>
      </c>
      <c r="AC543" s="399" t="e">
        <f aca="false">IF(ABS(t-ROUND(t,0))&lt;0.001,t,NA())</f>
        <v>#N/A</v>
      </c>
      <c r="AD543" s="404" t="e">
        <f aca="false">IF(ABS(t-ROUND(t,0))&lt;0.001,pos_x,NA())</f>
        <v>#N/A</v>
      </c>
      <c r="AE543" s="405" t="e">
        <f aca="false">IF(t&lt;T_para, pos_z, NA())</f>
        <v>#N/A</v>
      </c>
      <c r="AG543" s="396" t="n">
        <f aca="false">IF(AND(L542&lt;L_rampe,Poussee&lt;Poids*SIN(M542)),0,(-W542+Poussee)/m-Poids*SIN(M542)/m)</f>
        <v>2.42259277531677</v>
      </c>
      <c r="AH543" s="397" t="n">
        <f aca="false">IF(AND(L542&lt;L_rampe,Poussee&lt;Poids*SIN(M542)), g*SIN(M542), (-W542+Poussee)/m)</f>
        <v>-7.33907274395869</v>
      </c>
    </row>
    <row r="544" customFormat="false" ht="12.75" hidden="false" customHeight="false" outlineLevel="0" collapsed="false">
      <c r="A544" s="396" t="n">
        <f aca="false">IF(B543+0.01&lt;=T_ini+ROUNDUP(Temps_fin_propu,0), 0.01, IF(K543&gt;0, 0.1, 0.0001))</f>
        <v>0.0001</v>
      </c>
      <c r="B544" s="397" t="n">
        <f aca="false">B543+pas</f>
        <v>32.1039000000003</v>
      </c>
      <c r="D544" s="396" t="n">
        <f aca="false">IF(AND(L543&lt;L_rampe,Poussee&lt;Poids*SIN(M543)),0,(-W543+Poussee)/m*COS(M543)-U543/m*SIN(M543))</f>
        <v>-0.727634471443541</v>
      </c>
      <c r="E544" s="398" t="n">
        <f aca="false">IF(AND(L543&lt;L_rampe,Poussee&lt;Poids*SIN(M543)),0,(-W543+Poussee)/m*SIN(M543)+U543/m*COS(M543)-Poids/m)</f>
        <v>-2.50704776871963</v>
      </c>
      <c r="F544" s="397" t="n">
        <f aca="false">SQRT(acc_x^2+acc_z^2)</f>
        <v>2.61050578215697</v>
      </c>
      <c r="G544" s="396" t="n">
        <f aca="false">G543+acc_x*pas</f>
        <v>11.494469519855</v>
      </c>
      <c r="H544" s="398" t="n">
        <f aca="false">H543+acc_z*pas</f>
        <v>-115.365996157782</v>
      </c>
      <c r="I544" s="397" t="n">
        <f aca="false">SQRT(vit_x^2+vit_z^2)</f>
        <v>115.937206706994</v>
      </c>
      <c r="J544" s="396" t="n">
        <f aca="false">J543+0.5*(vit_x+G543)*pas*(K543&gt;=0)</f>
        <v>690.928492655337</v>
      </c>
      <c r="K544" s="398" t="n">
        <f aca="false">K543+0.5*(vit_z+H543)*pas</f>
        <v>-9.05451313181962</v>
      </c>
      <c r="L544" s="397" t="n">
        <f aca="false">SQRT(pos_x^2+pos_z^2)</f>
        <v>690.987819119143</v>
      </c>
      <c r="M544" s="396" t="n">
        <f aca="false">IF(AND(L543&gt;L_rampe,G544&gt;0),ATAN2(G544,H544),$M$4)</f>
        <v>-1.4714892580815</v>
      </c>
      <c r="N544" s="397" t="n">
        <f aca="false">DEGREES(Beta)</f>
        <v>-84.3101240869065</v>
      </c>
      <c r="P544" s="399" t="n">
        <f aca="false">MATCH(t-pas/2-T_ini,CdP_t)</f>
        <v>23</v>
      </c>
      <c r="Q544" s="397" t="n">
        <f aca="false">(INDEX(CdP,2,i_P+1)-INDEX(CdP,2,i_P+0))/(INDEX(CdP,1,i_P+1)-INDEX(CdP,1,i_P+0))*(t-pas/2-T_ini-INDEX(CdP,1,i_P+0))+INDEX(CdP,2,i_P+0)</f>
        <v>0</v>
      </c>
      <c r="R544" s="396" t="n">
        <f aca="false">Poussee/(g*ISP)</f>
        <v>0</v>
      </c>
      <c r="S544" s="398" t="n">
        <f aca="false">S543-Débit*pas</f>
        <v>8.45</v>
      </c>
      <c r="T544" s="397" t="n">
        <f aca="false">m*g</f>
        <v>82.8945</v>
      </c>
      <c r="U544" s="400" t="n">
        <f aca="false">IF(pos_xz&lt;L_rampe,Poids*COS(Beta),0)</f>
        <v>0</v>
      </c>
      <c r="V544" s="396" t="n">
        <f aca="false">Rho_moyen*(20000-Alt_rampe-pos_z)/(20000+Alt_rampe+pos_z)</f>
        <v>1.22610968023936</v>
      </c>
      <c r="W544" s="397" t="n">
        <f aca="false">1/2*Rho*Sref*Cx*vit_xz^2</f>
        <v>62.0158261164914</v>
      </c>
      <c r="Y544" s="401" t="str">
        <f aca="false">IF(AND(pos_z&lt;=0,K543&gt;0),"Impact balistique","") &amp; IF(AND(H545&lt;0,vit_z&gt;=0),"Apogée","") &amp; IF(AND(Poussee=0,Q543&gt;0),"Fin de propulsion","") &amp; IF(AND(L545&gt;L_rampe,pos_xz&lt;=L_rampe),"Sortie de rampe","")</f>
        <v/>
      </c>
      <c r="Z544" s="402" t="str">
        <f aca="false">IF(ABS(t-T_para)&lt;pas/2,"Para","")</f>
        <v/>
      </c>
      <c r="AA544" s="403" t="str">
        <f aca="false">IF(ABS(t-T_satellite)&lt;pas/2,"Satellite","")</f>
        <v/>
      </c>
      <c r="AC544" s="399" t="e">
        <f aca="false">IF(ABS(t-ROUND(t,0))&lt;0.001,t,NA())</f>
        <v>#N/A</v>
      </c>
      <c r="AD544" s="404" t="e">
        <f aca="false">IF(ABS(t-ROUND(t,0))&lt;0.001,pos_x,NA())</f>
        <v>#N/A</v>
      </c>
      <c r="AE544" s="405" t="e">
        <f aca="false">IF(t&lt;T_para, pos_z, NA())</f>
        <v>#N/A</v>
      </c>
      <c r="AG544" s="396" t="n">
        <f aca="false">IF(AND(L543&lt;L_rampe,Poussee&lt;Poids*SIN(M543)),0,(-W543+Poussee)/m-Poids*SIN(M543)/m)</f>
        <v>2.42255445322887</v>
      </c>
      <c r="AH544" s="397" t="n">
        <f aca="false">IF(AND(L543&lt;L_rampe,Poussee&lt;Poids*SIN(M543)), g*SIN(M543), (-W543+Poussee)/m)</f>
        <v>-7.33911188199198</v>
      </c>
    </row>
    <row r="545" customFormat="false" ht="12.75" hidden="false" customHeight="false" outlineLevel="0" collapsed="false">
      <c r="A545" s="396" t="n">
        <f aca="false">IF(B544+0.01&lt;=T_ini+ROUNDUP(Temps_fin_propu,0), 0.01, IF(K544&gt;0, 0.1, 0.0001))</f>
        <v>0.0001</v>
      </c>
      <c r="B545" s="397" t="n">
        <f aca="false">B544+pas</f>
        <v>32.1040000000003</v>
      </c>
      <c r="D545" s="396" t="n">
        <f aca="false">IF(AND(L544&lt;L_rampe,Poussee&lt;Poids*SIN(M544)),0,(-W544+Poussee)/m*COS(M544)-U544/m*SIN(M544))</f>
        <v>-0.72763222518195</v>
      </c>
      <c r="E545" s="398" t="n">
        <f aca="false">IF(AND(L544&lt;L_rampe,Poussee&lt;Poids*SIN(M544)),0,(-W544+Poussee)/m*SIN(M544)+U544/m*COS(M544)-Poids/m)</f>
        <v>-2.50700821341787</v>
      </c>
      <c r="F545" s="397" t="n">
        <f aca="false">SQRT(acc_x^2+acc_z^2)</f>
        <v>2.61046716839494</v>
      </c>
      <c r="G545" s="396" t="n">
        <f aca="false">G544+acc_x*pas</f>
        <v>11.4943967566325</v>
      </c>
      <c r="H545" s="398" t="n">
        <f aca="false">H544+acc_z*pas</f>
        <v>-115.366246858604</v>
      </c>
      <c r="I545" s="397" t="n">
        <f aca="false">SQRT(vit_x^2+vit_z^2)</f>
        <v>115.937448958648</v>
      </c>
      <c r="J545" s="396" t="n">
        <f aca="false">J544+0.5*(vit_x+G544)*pas*(K544&gt;=0)</f>
        <v>690.928492655337</v>
      </c>
      <c r="K545" s="398" t="n">
        <f aca="false">K544+0.5*(vit_z+H544)*pas</f>
        <v>-9.06604974397043</v>
      </c>
      <c r="L545" s="397" t="n">
        <f aca="false">SQRT(pos_x^2+pos_z^2)</f>
        <v>690.987970388006</v>
      </c>
      <c r="M545" s="396" t="n">
        <f aca="false">IF(AND(L544&gt;L_rampe,G545&gt;0),ATAN2(G545,H545),$M$4)</f>
        <v>-1.47149009698376</v>
      </c>
      <c r="N545" s="397" t="n">
        <f aca="false">DEGREES(Beta)</f>
        <v>-84.3101721524658</v>
      </c>
      <c r="P545" s="399" t="n">
        <f aca="false">MATCH(t-pas/2-T_ini,CdP_t)</f>
        <v>23</v>
      </c>
      <c r="Q545" s="397" t="n">
        <f aca="false">(INDEX(CdP,2,i_P+1)-INDEX(CdP,2,i_P+0))/(INDEX(CdP,1,i_P+1)-INDEX(CdP,1,i_P+0))*(t-pas/2-T_ini-INDEX(CdP,1,i_P+0))+INDEX(CdP,2,i_P+0)</f>
        <v>0</v>
      </c>
      <c r="R545" s="396" t="n">
        <f aca="false">Poussee/(g*ISP)</f>
        <v>0</v>
      </c>
      <c r="S545" s="398" t="n">
        <f aca="false">S544-Débit*pas</f>
        <v>8.45</v>
      </c>
      <c r="T545" s="397" t="n">
        <f aca="false">m*g</f>
        <v>82.8945</v>
      </c>
      <c r="U545" s="400" t="n">
        <f aca="false">IF(pos_xz&lt;L_rampe,Poids*COS(Beta),0)</f>
        <v>0</v>
      </c>
      <c r="V545" s="396" t="n">
        <f aca="false">Rho_moyen*(20000-Alt_rampe-pos_z)/(20000+Alt_rampe+pos_z)</f>
        <v>1.22611109475565</v>
      </c>
      <c r="W545" s="397" t="n">
        <f aca="false">1/2*Rho*Sref*Cx*vit_xz^2</f>
        <v>62.0161568274283</v>
      </c>
      <c r="Y545" s="401" t="str">
        <f aca="false">IF(AND(pos_z&lt;=0,K544&gt;0),"Impact balistique","") &amp; IF(AND(H546&lt;0,vit_z&gt;=0),"Apogée","") &amp; IF(AND(Poussee=0,Q544&gt;0),"Fin de propulsion","") &amp; IF(AND(L546&gt;L_rampe,pos_xz&lt;=L_rampe),"Sortie de rampe","")</f>
        <v/>
      </c>
      <c r="Z545" s="402" t="str">
        <f aca="false">IF(ABS(t-T_para)&lt;pas/2,"Para","")</f>
        <v/>
      </c>
      <c r="AA545" s="403" t="str">
        <f aca="false">IF(ABS(t-T_satellite)&lt;pas/2,"Satellite","")</f>
        <v/>
      </c>
      <c r="AC545" s="399" t="e">
        <f aca="false">IF(ABS(t-ROUND(t,0))&lt;0.001,t,NA())</f>
        <v>#N/A</v>
      </c>
      <c r="AD545" s="404" t="e">
        <f aca="false">IF(ABS(t-ROUND(t,0))&lt;0.001,pos_x,NA())</f>
        <v>#N/A</v>
      </c>
      <c r="AE545" s="405" t="e">
        <f aca="false">IF(t&lt;T_para, pos_z, NA())</f>
        <v>#N/A</v>
      </c>
      <c r="AG545" s="396" t="n">
        <f aca="false">IF(AND(L544&lt;L_rampe,Poussee&lt;Poids*SIN(M544)),0,(-W544+Poussee)/m-Poids*SIN(M544)/m)</f>
        <v>2.42251613144767</v>
      </c>
      <c r="AH545" s="397" t="n">
        <f aca="false">IF(AND(L544&lt;L_rampe,Poussee&lt;Poids*SIN(M544)), g*SIN(M544), (-W544+Poussee)/m)</f>
        <v>-7.33915101970312</v>
      </c>
    </row>
    <row r="546" customFormat="false" ht="12.75" hidden="false" customHeight="false" outlineLevel="0" collapsed="false">
      <c r="A546" s="396" t="n">
        <f aca="false">IF(B545+0.01&lt;=T_ini+ROUNDUP(Temps_fin_propu,0), 0.01, IF(K545&gt;0, 0.1, 0.0001))</f>
        <v>0.0001</v>
      </c>
      <c r="B546" s="397" t="n">
        <f aca="false">B545+pas</f>
        <v>32.1041000000003</v>
      </c>
      <c r="D546" s="396" t="n">
        <f aca="false">IF(AND(L545&lt;L_rampe,Poussee&lt;Poids*SIN(M545)),0,(-W545+Poussee)/m*COS(M545)-U545/m*SIN(M545))</f>
        <v>-0.727629978886952</v>
      </c>
      <c r="E546" s="398" t="n">
        <f aca="false">IF(AND(L545&lt;L_rampe,Poussee&lt;Poids*SIN(M545)),0,(-W545+Poussee)/m*SIN(M545)+U545/m*COS(M545)-Poids/m)</f>
        <v>-2.50696865844171</v>
      </c>
      <c r="F546" s="397" t="n">
        <f aca="false">SQRT(acc_x^2+acc_z^2)</f>
        <v>2.61042855496642</v>
      </c>
      <c r="G546" s="396" t="n">
        <f aca="false">G545+acc_x*pas</f>
        <v>11.4943239936346</v>
      </c>
      <c r="H546" s="398" t="n">
        <f aca="false">H545+acc_z*pas</f>
        <v>-115.36649755547</v>
      </c>
      <c r="I546" s="397" t="n">
        <f aca="false">SQRT(vit_x^2+vit_z^2)</f>
        <v>115.93769120647</v>
      </c>
      <c r="J546" s="396" t="n">
        <f aca="false">J545+0.5*(vit_x+G545)*pas*(K545&gt;=0)</f>
        <v>690.928492655337</v>
      </c>
      <c r="K546" s="398" t="n">
        <f aca="false">K545+0.5*(vit_z+H545)*pas</f>
        <v>-9.07758638119114</v>
      </c>
      <c r="L546" s="397" t="n">
        <f aca="false">SQRT(pos_x^2+pos_z^2)</f>
        <v>690.988121849778</v>
      </c>
      <c r="M546" s="396" t="n">
        <f aca="false">IF(AND(L545&gt;L_rampe,G546&gt;0),ATAN2(G546,H546),$M$4)</f>
        <v>-1.47149093587721</v>
      </c>
      <c r="N546" s="397" t="n">
        <f aca="false">DEGREES(Beta)</f>
        <v>-84.3102202175199</v>
      </c>
      <c r="P546" s="399" t="n">
        <f aca="false">MATCH(t-pas/2-T_ini,CdP_t)</f>
        <v>23</v>
      </c>
      <c r="Q546" s="397" t="n">
        <f aca="false">(INDEX(CdP,2,i_P+1)-INDEX(CdP,2,i_P+0))/(INDEX(CdP,1,i_P+1)-INDEX(CdP,1,i_P+0))*(t-pas/2-T_ini-INDEX(CdP,1,i_P+0))+INDEX(CdP,2,i_P+0)</f>
        <v>0</v>
      </c>
      <c r="R546" s="396" t="n">
        <f aca="false">Poussee/(g*ISP)</f>
        <v>0</v>
      </c>
      <c r="S546" s="398" t="n">
        <f aca="false">S545-Débit*pas</f>
        <v>8.45</v>
      </c>
      <c r="T546" s="397" t="n">
        <f aca="false">m*g</f>
        <v>82.8945</v>
      </c>
      <c r="U546" s="400" t="n">
        <f aca="false">IF(pos_xz&lt;L_rampe,Poids*COS(Beta),0)</f>
        <v>0</v>
      </c>
      <c r="V546" s="396" t="n">
        <f aca="false">Rho_moyen*(20000-Alt_rampe-pos_z)/(20000+Alt_rampe+pos_z)</f>
        <v>1.22611250927665</v>
      </c>
      <c r="W546" s="397" t="n">
        <f aca="false">1/2*Rho*Sref*Cx*vit_xz^2</f>
        <v>62.0164875356431</v>
      </c>
      <c r="Y546" s="401" t="str">
        <f aca="false">IF(AND(pos_z&lt;=0,K545&gt;0),"Impact balistique","") &amp; IF(AND(H547&lt;0,vit_z&gt;=0),"Apogée","") &amp; IF(AND(Poussee=0,Q545&gt;0),"Fin de propulsion","") &amp; IF(AND(L547&gt;L_rampe,pos_xz&lt;=L_rampe),"Sortie de rampe","")</f>
        <v/>
      </c>
      <c r="Z546" s="402" t="str">
        <f aca="false">IF(ABS(t-T_para)&lt;pas/2,"Para","")</f>
        <v/>
      </c>
      <c r="AA546" s="403" t="str">
        <f aca="false">IF(ABS(t-T_satellite)&lt;pas/2,"Satellite","")</f>
        <v/>
      </c>
      <c r="AC546" s="399" t="e">
        <f aca="false">IF(ABS(t-ROUND(t,0))&lt;0.001,t,NA())</f>
        <v>#N/A</v>
      </c>
      <c r="AD546" s="404" t="e">
        <f aca="false">IF(ABS(t-ROUND(t,0))&lt;0.001,pos_x,NA())</f>
        <v>#N/A</v>
      </c>
      <c r="AE546" s="405" t="e">
        <f aca="false">IF(t&lt;T_para, pos_z, NA())</f>
        <v>#N/A</v>
      </c>
      <c r="AG546" s="396" t="n">
        <f aca="false">IF(AND(L545&lt;L_rampe,Poussee&lt;Poids*SIN(M545)),0,(-W545+Poussee)/m-Poids*SIN(M545)/m)</f>
        <v>2.42247780997317</v>
      </c>
      <c r="AH546" s="397" t="n">
        <f aca="false">IF(AND(L545&lt;L_rampe,Poussee&lt;Poids*SIN(M545)), g*SIN(M545), (-W545+Poussee)/m)</f>
        <v>-7.33919015709211</v>
      </c>
    </row>
    <row r="547" customFormat="false" ht="12.75" hidden="false" customHeight="false" outlineLevel="0" collapsed="false">
      <c r="A547" s="396" t="n">
        <f aca="false">IF(B546+0.01&lt;=T_ini+ROUNDUP(Temps_fin_propu,0), 0.01, IF(K546&gt;0, 0.1, 0.0001))</f>
        <v>0.0001</v>
      </c>
      <c r="B547" s="397" t="n">
        <f aca="false">B546+pas</f>
        <v>32.1042000000003</v>
      </c>
      <c r="D547" s="396" t="n">
        <f aca="false">IF(AND(L546&lt;L_rampe,Poussee&lt;Poids*SIN(M546)),0,(-W546+Poussee)/m*COS(M546)-U546/m*SIN(M546))</f>
        <v>-0.727627732558547</v>
      </c>
      <c r="E547" s="398" t="n">
        <f aca="false">IF(AND(L546&lt;L_rampe,Poussee&lt;Poids*SIN(M546)),0,(-W546+Poussee)/m*SIN(M546)+U546/m*COS(M546)-Poids/m)</f>
        <v>-2.50692910379116</v>
      </c>
      <c r="F547" s="397" t="n">
        <f aca="false">SQRT(acc_x^2+acc_z^2)</f>
        <v>2.61038994187141</v>
      </c>
      <c r="G547" s="396" t="n">
        <f aca="false">G546+acc_x*pas</f>
        <v>11.4942512308613</v>
      </c>
      <c r="H547" s="398" t="n">
        <f aca="false">H546+acc_z*pas</f>
        <v>-115.36674824838</v>
      </c>
      <c r="I547" s="397" t="n">
        <f aca="false">SQRT(vit_x^2+vit_z^2)</f>
        <v>115.93793345046</v>
      </c>
      <c r="J547" s="396" t="n">
        <f aca="false">J546+0.5*(vit_x+G546)*pas*(K546&gt;=0)</f>
        <v>690.928492655337</v>
      </c>
      <c r="K547" s="398" t="n">
        <f aca="false">K546+0.5*(vit_z+H546)*pas</f>
        <v>-9.08912304348133</v>
      </c>
      <c r="L547" s="397" t="n">
        <f aca="false">SQRT(pos_x^2+pos_z^2)</f>
        <v>690.988273504461</v>
      </c>
      <c r="M547" s="396" t="n">
        <f aca="false">IF(AND(L546&gt;L_rampe,G547&gt;0),ATAN2(G547,H547),$M$4)</f>
        <v>-1.47149177476185</v>
      </c>
      <c r="N547" s="397" t="n">
        <f aca="false">DEGREES(Beta)</f>
        <v>-84.310268282069</v>
      </c>
      <c r="P547" s="399" t="n">
        <f aca="false">MATCH(t-pas/2-T_ini,CdP_t)</f>
        <v>23</v>
      </c>
      <c r="Q547" s="397" t="n">
        <f aca="false">(INDEX(CdP,2,i_P+1)-INDEX(CdP,2,i_P+0))/(INDEX(CdP,1,i_P+1)-INDEX(CdP,1,i_P+0))*(t-pas/2-T_ini-INDEX(CdP,1,i_P+0))+INDEX(CdP,2,i_P+0)</f>
        <v>0</v>
      </c>
      <c r="R547" s="396" t="n">
        <f aca="false">Poussee/(g*ISP)</f>
        <v>0</v>
      </c>
      <c r="S547" s="398" t="n">
        <f aca="false">S546-Débit*pas</f>
        <v>8.45</v>
      </c>
      <c r="T547" s="397" t="n">
        <f aca="false">m*g</f>
        <v>82.8945</v>
      </c>
      <c r="U547" s="400" t="n">
        <f aca="false">IF(pos_xz&lt;L_rampe,Poids*COS(Beta),0)</f>
        <v>0</v>
      </c>
      <c r="V547" s="396" t="n">
        <f aca="false">Rho_moyen*(20000-Alt_rampe-pos_z)/(20000+Alt_rampe+pos_z)</f>
        <v>1.22611392380235</v>
      </c>
      <c r="W547" s="397" t="n">
        <f aca="false">1/2*Rho*Sref*Cx*vit_xz^2</f>
        <v>62.0168182411358</v>
      </c>
      <c r="Y547" s="401" t="str">
        <f aca="false">IF(AND(pos_z&lt;=0,K546&gt;0),"Impact balistique","") &amp; IF(AND(H548&lt;0,vit_z&gt;=0),"Apogée","") &amp; IF(AND(Poussee=0,Q546&gt;0),"Fin de propulsion","") &amp; IF(AND(L548&gt;L_rampe,pos_xz&lt;=L_rampe),"Sortie de rampe","")</f>
        <v/>
      </c>
      <c r="Z547" s="402" t="str">
        <f aca="false">IF(ABS(t-T_para)&lt;pas/2,"Para","")</f>
        <v/>
      </c>
      <c r="AA547" s="403" t="str">
        <f aca="false">IF(ABS(t-T_satellite)&lt;pas/2,"Satellite","")</f>
        <v/>
      </c>
      <c r="AC547" s="399" t="e">
        <f aca="false">IF(ABS(t-ROUND(t,0))&lt;0.001,t,NA())</f>
        <v>#N/A</v>
      </c>
      <c r="AD547" s="404" t="e">
        <f aca="false">IF(ABS(t-ROUND(t,0))&lt;0.001,pos_x,NA())</f>
        <v>#N/A</v>
      </c>
      <c r="AE547" s="405" t="e">
        <f aca="false">IF(t&lt;T_para, pos_z, NA())</f>
        <v>#N/A</v>
      </c>
      <c r="AG547" s="396" t="n">
        <f aca="false">IF(AND(L546&lt;L_rampe,Poussee&lt;Poids*SIN(M546)),0,(-W546+Poussee)/m-Poids*SIN(M546)/m)</f>
        <v>2.42243948880537</v>
      </c>
      <c r="AH547" s="397" t="n">
        <f aca="false">IF(AND(L546&lt;L_rampe,Poussee&lt;Poids*SIN(M546)), g*SIN(M546), (-W546+Poussee)/m)</f>
        <v>-7.33922929415895</v>
      </c>
    </row>
    <row r="548" customFormat="false" ht="12.75" hidden="false" customHeight="false" outlineLevel="0" collapsed="false">
      <c r="A548" s="396" t="n">
        <f aca="false">IF(B547+0.01&lt;=T_ini+ROUNDUP(Temps_fin_propu,0), 0.01, IF(K547&gt;0, 0.1, 0.0001))</f>
        <v>0.0001</v>
      </c>
      <c r="B548" s="397" t="n">
        <f aca="false">B547+pas</f>
        <v>32.1043000000003</v>
      </c>
      <c r="D548" s="396" t="n">
        <f aca="false">IF(AND(L547&lt;L_rampe,Poussee&lt;Poids*SIN(M547)),0,(-W547+Poussee)/m*COS(M547)-U547/m*SIN(M547))</f>
        <v>-0.727625486196737</v>
      </c>
      <c r="E548" s="398" t="n">
        <f aca="false">IF(AND(L547&lt;L_rampe,Poussee&lt;Poids*SIN(M547)),0,(-W547+Poussee)/m*SIN(M547)+U547/m*COS(M547)-Poids/m)</f>
        <v>-2.50688954946622</v>
      </c>
      <c r="F548" s="397" t="n">
        <f aca="false">SQRT(acc_x^2+acc_z^2)</f>
        <v>2.61035132910993</v>
      </c>
      <c r="G548" s="396" t="n">
        <f aca="false">G547+acc_x*pas</f>
        <v>11.4941784683127</v>
      </c>
      <c r="H548" s="398" t="n">
        <f aca="false">H547+acc_z*pas</f>
        <v>-115.366998937335</v>
      </c>
      <c r="I548" s="397" t="n">
        <f aca="false">SQRT(vit_x^2+vit_z^2)</f>
        <v>115.938175690617</v>
      </c>
      <c r="J548" s="396" t="n">
        <f aca="false">J547+0.5*(vit_x+G547)*pas*(K547&gt;=0)</f>
        <v>690.928492655337</v>
      </c>
      <c r="K548" s="398" t="n">
        <f aca="false">K547+0.5*(vit_z+H547)*pas</f>
        <v>-9.10065973084062</v>
      </c>
      <c r="L548" s="397" t="n">
        <f aca="false">SQRT(pos_x^2+pos_z^2)</f>
        <v>690.988425352055</v>
      </c>
      <c r="M548" s="396" t="n">
        <f aca="false">IF(AND(L547&gt;L_rampe,G548&gt;0),ATAN2(G548,H548),$M$4)</f>
        <v>-1.47149261363766</v>
      </c>
      <c r="N548" s="397" t="n">
        <f aca="false">DEGREES(Beta)</f>
        <v>-84.3103163461129</v>
      </c>
      <c r="P548" s="399" t="n">
        <f aca="false">MATCH(t-pas/2-T_ini,CdP_t)</f>
        <v>23</v>
      </c>
      <c r="Q548" s="397" t="n">
        <f aca="false">(INDEX(CdP,2,i_P+1)-INDEX(CdP,2,i_P+0))/(INDEX(CdP,1,i_P+1)-INDEX(CdP,1,i_P+0))*(t-pas/2-T_ini-INDEX(CdP,1,i_P+0))+INDEX(CdP,2,i_P+0)</f>
        <v>0</v>
      </c>
      <c r="R548" s="396" t="n">
        <f aca="false">Poussee/(g*ISP)</f>
        <v>0</v>
      </c>
      <c r="S548" s="398" t="n">
        <f aca="false">S547-Débit*pas</f>
        <v>8.45</v>
      </c>
      <c r="T548" s="397" t="n">
        <f aca="false">m*g</f>
        <v>82.8945</v>
      </c>
      <c r="U548" s="400" t="n">
        <f aca="false">IF(pos_xz&lt;L_rampe,Poids*COS(Beta),0)</f>
        <v>0</v>
      </c>
      <c r="V548" s="396" t="n">
        <f aca="false">Rho_moyen*(20000-Alt_rampe-pos_z)/(20000+Alt_rampe+pos_z)</f>
        <v>1.22611533833276</v>
      </c>
      <c r="W548" s="397" t="n">
        <f aca="false">1/2*Rho*Sref*Cx*vit_xz^2</f>
        <v>62.0171489439062</v>
      </c>
      <c r="Y548" s="401" t="str">
        <f aca="false">IF(AND(pos_z&lt;=0,K547&gt;0),"Impact balistique","") &amp; IF(AND(H549&lt;0,vit_z&gt;=0),"Apogée","") &amp; IF(AND(Poussee=0,Q547&gt;0),"Fin de propulsion","") &amp; IF(AND(L549&gt;L_rampe,pos_xz&lt;=L_rampe),"Sortie de rampe","")</f>
        <v/>
      </c>
      <c r="Z548" s="402" t="str">
        <f aca="false">IF(ABS(t-T_para)&lt;pas/2,"Para","")</f>
        <v/>
      </c>
      <c r="AA548" s="403" t="str">
        <f aca="false">IF(ABS(t-T_satellite)&lt;pas/2,"Satellite","")</f>
        <v/>
      </c>
      <c r="AC548" s="399" t="e">
        <f aca="false">IF(ABS(t-ROUND(t,0))&lt;0.001,t,NA())</f>
        <v>#N/A</v>
      </c>
      <c r="AD548" s="404" t="e">
        <f aca="false">IF(ABS(t-ROUND(t,0))&lt;0.001,pos_x,NA())</f>
        <v>#N/A</v>
      </c>
      <c r="AE548" s="405" t="e">
        <f aca="false">IF(t&lt;T_para, pos_z, NA())</f>
        <v>#N/A</v>
      </c>
      <c r="AG548" s="396" t="n">
        <f aca="false">IF(AND(L547&lt;L_rampe,Poussee&lt;Poids*SIN(M547)),0,(-W547+Poussee)/m-Poids*SIN(M547)/m)</f>
        <v>2.42240116794429</v>
      </c>
      <c r="AH548" s="397" t="n">
        <f aca="false">IF(AND(L547&lt;L_rampe,Poussee&lt;Poids*SIN(M547)), g*SIN(M547), (-W547+Poussee)/m)</f>
        <v>-7.33926843090364</v>
      </c>
    </row>
    <row r="549" customFormat="false" ht="12.75" hidden="false" customHeight="false" outlineLevel="0" collapsed="false">
      <c r="A549" s="396" t="n">
        <f aca="false">IF(B548+0.01&lt;=T_ini+ROUNDUP(Temps_fin_propu,0), 0.01, IF(K548&gt;0, 0.1, 0.0001))</f>
        <v>0.0001</v>
      </c>
      <c r="B549" s="397" t="n">
        <f aca="false">B548+pas</f>
        <v>32.1044000000003</v>
      </c>
      <c r="D549" s="396" t="n">
        <f aca="false">IF(AND(L548&lt;L_rampe,Poussee&lt;Poids*SIN(M548)),0,(-W548+Poussee)/m*COS(M548)-U548/m*SIN(M548))</f>
        <v>-0.727623239801522</v>
      </c>
      <c r="E549" s="398" t="n">
        <f aca="false">IF(AND(L548&lt;L_rampe,Poussee&lt;Poids*SIN(M548)),0,(-W548+Poussee)/m*SIN(M548)+U548/m*COS(M548)-Poids/m)</f>
        <v>-2.50684999546689</v>
      </c>
      <c r="F549" s="397" t="n">
        <f aca="false">SQRT(acc_x^2+acc_z^2)</f>
        <v>2.61031271668197</v>
      </c>
      <c r="G549" s="396" t="n">
        <f aca="false">G548+acc_x*pas</f>
        <v>11.4941057059887</v>
      </c>
      <c r="H549" s="398" t="n">
        <f aca="false">H548+acc_z*pas</f>
        <v>-115.367249622335</v>
      </c>
      <c r="I549" s="397" t="n">
        <f aca="false">SQRT(vit_x^2+vit_z^2)</f>
        <v>115.938417926943</v>
      </c>
      <c r="J549" s="396" t="n">
        <f aca="false">J548+0.5*(vit_x+G548)*pas*(K548&gt;=0)</f>
        <v>690.928492655337</v>
      </c>
      <c r="K549" s="398" t="n">
        <f aca="false">K548+0.5*(vit_z+H548)*pas</f>
        <v>-9.1121964432686</v>
      </c>
      <c r="L549" s="397" t="n">
        <f aca="false">SQRT(pos_x^2+pos_z^2)</f>
        <v>690.988577392562</v>
      </c>
      <c r="M549" s="396" t="n">
        <f aca="false">IF(AND(L548&gt;L_rampe,G549&gt;0),ATAN2(G549,H549),$M$4)</f>
        <v>-1.47149345250467</v>
      </c>
      <c r="N549" s="397" t="n">
        <f aca="false">DEGREES(Beta)</f>
        <v>-84.3103644096517</v>
      </c>
      <c r="P549" s="399" t="n">
        <f aca="false">MATCH(t-pas/2-T_ini,CdP_t)</f>
        <v>23</v>
      </c>
      <c r="Q549" s="397" t="n">
        <f aca="false">(INDEX(CdP,2,i_P+1)-INDEX(CdP,2,i_P+0))/(INDEX(CdP,1,i_P+1)-INDEX(CdP,1,i_P+0))*(t-pas/2-T_ini-INDEX(CdP,1,i_P+0))+INDEX(CdP,2,i_P+0)</f>
        <v>0</v>
      </c>
      <c r="R549" s="396" t="n">
        <f aca="false">Poussee/(g*ISP)</f>
        <v>0</v>
      </c>
      <c r="S549" s="398" t="n">
        <f aca="false">S548-Débit*pas</f>
        <v>8.45</v>
      </c>
      <c r="T549" s="397" t="n">
        <f aca="false">m*g</f>
        <v>82.8945</v>
      </c>
      <c r="U549" s="400" t="n">
        <f aca="false">IF(pos_xz&lt;L_rampe,Poids*COS(Beta),0)</f>
        <v>0</v>
      </c>
      <c r="V549" s="396" t="n">
        <f aca="false">Rho_moyen*(20000-Alt_rampe-pos_z)/(20000+Alt_rampe+pos_z)</f>
        <v>1.22611675286788</v>
      </c>
      <c r="W549" s="397" t="n">
        <f aca="false">1/2*Rho*Sref*Cx*vit_xz^2</f>
        <v>62.0174796439545</v>
      </c>
      <c r="Y549" s="401" t="str">
        <f aca="false">IF(AND(pos_z&lt;=0,K548&gt;0),"Impact balistique","") &amp; IF(AND(H550&lt;0,vit_z&gt;=0),"Apogée","") &amp; IF(AND(Poussee=0,Q548&gt;0),"Fin de propulsion","") &amp; IF(AND(L550&gt;L_rampe,pos_xz&lt;=L_rampe),"Sortie de rampe","")</f>
        <v/>
      </c>
      <c r="Z549" s="402" t="str">
        <f aca="false">IF(ABS(t-T_para)&lt;pas/2,"Para","")</f>
        <v/>
      </c>
      <c r="AA549" s="403" t="str">
        <f aca="false">IF(ABS(t-T_satellite)&lt;pas/2,"Satellite","")</f>
        <v/>
      </c>
      <c r="AC549" s="399" t="e">
        <f aca="false">IF(ABS(t-ROUND(t,0))&lt;0.001,t,NA())</f>
        <v>#N/A</v>
      </c>
      <c r="AD549" s="404" t="e">
        <f aca="false">IF(ABS(t-ROUND(t,0))&lt;0.001,pos_x,NA())</f>
        <v>#N/A</v>
      </c>
      <c r="AE549" s="405" t="e">
        <f aca="false">IF(t&lt;T_para, pos_z, NA())</f>
        <v>#N/A</v>
      </c>
      <c r="AG549" s="396" t="n">
        <f aca="false">IF(AND(L548&lt;L_rampe,Poussee&lt;Poids*SIN(M548)),0,(-W548+Poussee)/m-Poids*SIN(M548)/m)</f>
        <v>2.42236284738991</v>
      </c>
      <c r="AH549" s="397" t="n">
        <f aca="false">IF(AND(L548&lt;L_rampe,Poussee&lt;Poids*SIN(M548)), g*SIN(M548), (-W548+Poussee)/m)</f>
        <v>-7.33930756732618</v>
      </c>
    </row>
    <row r="550" customFormat="false" ht="12.75" hidden="false" customHeight="false" outlineLevel="0" collapsed="false">
      <c r="A550" s="396" t="n">
        <f aca="false">IF(B549+0.01&lt;=T_ini+ROUNDUP(Temps_fin_propu,0), 0.01, IF(K549&gt;0, 0.1, 0.0001))</f>
        <v>0.0001</v>
      </c>
      <c r="B550" s="397" t="n">
        <f aca="false">B549+pas</f>
        <v>32.1045000000003</v>
      </c>
      <c r="D550" s="396" t="n">
        <f aca="false">IF(AND(L549&lt;L_rampe,Poussee&lt;Poids*SIN(M549)),0,(-W549+Poussee)/m*COS(M549)-U549/m*SIN(M549))</f>
        <v>-0.727620993372901</v>
      </c>
      <c r="E550" s="398" t="n">
        <f aca="false">IF(AND(L549&lt;L_rampe,Poussee&lt;Poids*SIN(M549)),0,(-W549+Poussee)/m*SIN(M549)+U549/m*COS(M549)-Poids/m)</f>
        <v>-2.50681044179316</v>
      </c>
      <c r="F550" s="397" t="n">
        <f aca="false">SQRT(acc_x^2+acc_z^2)</f>
        <v>2.61027410458752</v>
      </c>
      <c r="G550" s="396" t="n">
        <f aca="false">G549+acc_x*pas</f>
        <v>11.4940329438894</v>
      </c>
      <c r="H550" s="398" t="n">
        <f aca="false">H549+acc_z*pas</f>
        <v>-115.367500303379</v>
      </c>
      <c r="I550" s="397" t="n">
        <f aca="false">SQRT(vit_x^2+vit_z^2)</f>
        <v>115.938660159436</v>
      </c>
      <c r="J550" s="396" t="n">
        <f aca="false">J549+0.5*(vit_x+G549)*pas*(K549&gt;=0)</f>
        <v>690.928492655337</v>
      </c>
      <c r="K550" s="398" t="n">
        <f aca="false">K549+0.5*(vit_z+H549)*pas</f>
        <v>-9.12373318076488</v>
      </c>
      <c r="L550" s="397" t="n">
        <f aca="false">SQRT(pos_x^2+pos_z^2)</f>
        <v>690.988729625983</v>
      </c>
      <c r="M550" s="396" t="n">
        <f aca="false">IF(AND(L549&gt;L_rampe,G550&gt;0),ATAN2(G550,H550),$M$4)</f>
        <v>-1.47149429136285</v>
      </c>
      <c r="N550" s="397" t="n">
        <f aca="false">DEGREES(Beta)</f>
        <v>-84.3104124726854</v>
      </c>
      <c r="P550" s="399" t="n">
        <f aca="false">MATCH(t-pas/2-T_ini,CdP_t)</f>
        <v>23</v>
      </c>
      <c r="Q550" s="397" t="n">
        <f aca="false">(INDEX(CdP,2,i_P+1)-INDEX(CdP,2,i_P+0))/(INDEX(CdP,1,i_P+1)-INDEX(CdP,1,i_P+0))*(t-pas/2-T_ini-INDEX(CdP,1,i_P+0))+INDEX(CdP,2,i_P+0)</f>
        <v>0</v>
      </c>
      <c r="R550" s="396" t="n">
        <f aca="false">Poussee/(g*ISP)</f>
        <v>0</v>
      </c>
      <c r="S550" s="398" t="n">
        <f aca="false">S549-Débit*pas</f>
        <v>8.45</v>
      </c>
      <c r="T550" s="397" t="n">
        <f aca="false">m*g</f>
        <v>82.8945</v>
      </c>
      <c r="U550" s="400" t="n">
        <f aca="false">IF(pos_xz&lt;L_rampe,Poids*COS(Beta),0)</f>
        <v>0</v>
      </c>
      <c r="V550" s="396" t="n">
        <f aca="false">Rho_moyen*(20000-Alt_rampe-pos_z)/(20000+Alt_rampe+pos_z)</f>
        <v>1.2261181674077</v>
      </c>
      <c r="W550" s="397" t="n">
        <f aca="false">1/2*Rho*Sref*Cx*vit_xz^2</f>
        <v>62.0178103412806</v>
      </c>
      <c r="Y550" s="401" t="str">
        <f aca="false">IF(AND(pos_z&lt;=0,K549&gt;0),"Impact balistique","") &amp; IF(AND(H551&lt;0,vit_z&gt;=0),"Apogée","") &amp; IF(AND(Poussee=0,Q549&gt;0),"Fin de propulsion","") &amp; IF(AND(L551&gt;L_rampe,pos_xz&lt;=L_rampe),"Sortie de rampe","")</f>
        <v/>
      </c>
      <c r="Z550" s="402" t="str">
        <f aca="false">IF(ABS(t-T_para)&lt;pas/2,"Para","")</f>
        <v/>
      </c>
      <c r="AA550" s="403" t="str">
        <f aca="false">IF(ABS(t-T_satellite)&lt;pas/2,"Satellite","")</f>
        <v/>
      </c>
      <c r="AC550" s="399" t="e">
        <f aca="false">IF(ABS(t-ROUND(t,0))&lt;0.001,t,NA())</f>
        <v>#N/A</v>
      </c>
      <c r="AD550" s="404" t="e">
        <f aca="false">IF(ABS(t-ROUND(t,0))&lt;0.001,pos_x,NA())</f>
        <v>#N/A</v>
      </c>
      <c r="AE550" s="405" t="e">
        <f aca="false">IF(t&lt;T_para, pos_z, NA())</f>
        <v>#N/A</v>
      </c>
      <c r="AG550" s="396" t="n">
        <f aca="false">IF(AND(L549&lt;L_rampe,Poussee&lt;Poids*SIN(M549)),0,(-W549+Poussee)/m-Poids*SIN(M549)/m)</f>
        <v>2.42232452714224</v>
      </c>
      <c r="AH550" s="397" t="n">
        <f aca="false">IF(AND(L549&lt;L_rampe,Poussee&lt;Poids*SIN(M549)), g*SIN(M549), (-W549+Poussee)/m)</f>
        <v>-7.33934670342657</v>
      </c>
    </row>
    <row r="551" customFormat="false" ht="12.75" hidden="false" customHeight="false" outlineLevel="0" collapsed="false">
      <c r="A551" s="396" t="n">
        <f aca="false">IF(B550+0.01&lt;=T_ini+ROUNDUP(Temps_fin_propu,0), 0.01, IF(K550&gt;0, 0.1, 0.0001))</f>
        <v>0.0001</v>
      </c>
      <c r="B551" s="397" t="n">
        <f aca="false">B550+pas</f>
        <v>32.1046000000003</v>
      </c>
      <c r="D551" s="396" t="n">
        <f aca="false">IF(AND(L550&lt;L_rampe,Poussee&lt;Poids*SIN(M550)),0,(-W550+Poussee)/m*COS(M550)-U550/m*SIN(M550))</f>
        <v>-0.727618746910877</v>
      </c>
      <c r="E551" s="398" t="n">
        <f aca="false">IF(AND(L550&lt;L_rampe,Poussee&lt;Poids*SIN(M550)),0,(-W550+Poussee)/m*SIN(M550)+U550/m*COS(M550)-Poids/m)</f>
        <v>-2.50677088844505</v>
      </c>
      <c r="F551" s="397" t="n">
        <f aca="false">SQRT(acc_x^2+acc_z^2)</f>
        <v>2.6102354928266</v>
      </c>
      <c r="G551" s="396" t="n">
        <f aca="false">G550+acc_x*pas</f>
        <v>11.4939601820147</v>
      </c>
      <c r="H551" s="398" t="n">
        <f aca="false">H550+acc_z*pas</f>
        <v>-115.367750980468</v>
      </c>
      <c r="I551" s="397" t="n">
        <f aca="false">SQRT(vit_x^2+vit_z^2)</f>
        <v>115.938902388098</v>
      </c>
      <c r="J551" s="396" t="n">
        <f aca="false">J550+0.5*(vit_x+G550)*pas*(K550&gt;=0)</f>
        <v>690.928492655337</v>
      </c>
      <c r="K551" s="398" t="n">
        <f aca="false">K550+0.5*(vit_z+H550)*pas</f>
        <v>-9.13526994332908</v>
      </c>
      <c r="L551" s="397" t="n">
        <f aca="false">SQRT(pos_x^2+pos_z^2)</f>
        <v>690.988882052319</v>
      </c>
      <c r="M551" s="396" t="n">
        <f aca="false">IF(AND(L550&gt;L_rampe,G551&gt;0),ATAN2(G551,H551),$M$4)</f>
        <v>-1.47149513021222</v>
      </c>
      <c r="N551" s="397" t="n">
        <f aca="false">DEGREES(Beta)</f>
        <v>-84.310460535214</v>
      </c>
      <c r="P551" s="399" t="n">
        <f aca="false">MATCH(t-pas/2-T_ini,CdP_t)</f>
        <v>23</v>
      </c>
      <c r="Q551" s="397" t="n">
        <f aca="false">(INDEX(CdP,2,i_P+1)-INDEX(CdP,2,i_P+0))/(INDEX(CdP,1,i_P+1)-INDEX(CdP,1,i_P+0))*(t-pas/2-T_ini-INDEX(CdP,1,i_P+0))+INDEX(CdP,2,i_P+0)</f>
        <v>0</v>
      </c>
      <c r="R551" s="396" t="n">
        <f aca="false">Poussee/(g*ISP)</f>
        <v>0</v>
      </c>
      <c r="S551" s="398" t="n">
        <f aca="false">S550-Débit*pas</f>
        <v>8.45</v>
      </c>
      <c r="T551" s="397" t="n">
        <f aca="false">m*g</f>
        <v>82.8945</v>
      </c>
      <c r="U551" s="400" t="n">
        <f aca="false">IF(pos_xz&lt;L_rampe,Poids*COS(Beta),0)</f>
        <v>0</v>
      </c>
      <c r="V551" s="396" t="n">
        <f aca="false">Rho_moyen*(20000-Alt_rampe-pos_z)/(20000+Alt_rampe+pos_z)</f>
        <v>1.22611958195223</v>
      </c>
      <c r="W551" s="397" t="n">
        <f aca="false">1/2*Rho*Sref*Cx*vit_xz^2</f>
        <v>62.0181410358845</v>
      </c>
      <c r="Y551" s="401" t="str">
        <f aca="false">IF(AND(pos_z&lt;=0,K550&gt;0),"Impact balistique","") &amp; IF(AND(H552&lt;0,vit_z&gt;=0),"Apogée","") &amp; IF(AND(Poussee=0,Q550&gt;0),"Fin de propulsion","") &amp; IF(AND(L552&gt;L_rampe,pos_xz&lt;=L_rampe),"Sortie de rampe","")</f>
        <v/>
      </c>
      <c r="Z551" s="402" t="str">
        <f aca="false">IF(ABS(t-T_para)&lt;pas/2,"Para","")</f>
        <v/>
      </c>
      <c r="AA551" s="403" t="str">
        <f aca="false">IF(ABS(t-T_satellite)&lt;pas/2,"Satellite","")</f>
        <v/>
      </c>
      <c r="AC551" s="399" t="e">
        <f aca="false">IF(ABS(t-ROUND(t,0))&lt;0.001,t,NA())</f>
        <v>#N/A</v>
      </c>
      <c r="AD551" s="404" t="e">
        <f aca="false">IF(ABS(t-ROUND(t,0))&lt;0.001,pos_x,NA())</f>
        <v>#N/A</v>
      </c>
      <c r="AE551" s="405" t="e">
        <f aca="false">IF(t&lt;T_para, pos_z, NA())</f>
        <v>#N/A</v>
      </c>
      <c r="AG551" s="396" t="n">
        <f aca="false">IF(AND(L550&lt;L_rampe,Poussee&lt;Poids*SIN(M550)),0,(-W550+Poussee)/m-Poids*SIN(M550)/m)</f>
        <v>2.42228620720128</v>
      </c>
      <c r="AH551" s="397" t="n">
        <f aca="false">IF(AND(L550&lt;L_rampe,Poussee&lt;Poids*SIN(M550)), g*SIN(M550), (-W550+Poussee)/m)</f>
        <v>-7.3393858392048</v>
      </c>
    </row>
    <row r="552" customFormat="false" ht="12.75" hidden="false" customHeight="false" outlineLevel="0" collapsed="false">
      <c r="A552" s="396" t="n">
        <f aca="false">IF(B551+0.01&lt;=T_ini+ROUNDUP(Temps_fin_propu,0), 0.01, IF(K551&gt;0, 0.1, 0.0001))</f>
        <v>0.0001</v>
      </c>
      <c r="B552" s="397" t="n">
        <f aca="false">B551+pas</f>
        <v>32.1047000000003</v>
      </c>
      <c r="D552" s="396" t="n">
        <f aca="false">IF(AND(L551&lt;L_rampe,Poussee&lt;Poids*SIN(M551)),0,(-W551+Poussee)/m*COS(M551)-U551/m*SIN(M551))</f>
        <v>-0.727616500415451</v>
      </c>
      <c r="E552" s="398" t="n">
        <f aca="false">IF(AND(L551&lt;L_rampe,Poussee&lt;Poids*SIN(M551)),0,(-W551+Poussee)/m*SIN(M551)+U551/m*COS(M551)-Poids/m)</f>
        <v>-2.50673133542254</v>
      </c>
      <c r="F552" s="397" t="n">
        <f aca="false">SQRT(acc_x^2+acc_z^2)</f>
        <v>2.6101968813992</v>
      </c>
      <c r="G552" s="396" t="n">
        <f aca="false">G551+acc_x*pas</f>
        <v>11.4938874203646</v>
      </c>
      <c r="H552" s="398" t="n">
        <f aca="false">H551+acc_z*pas</f>
        <v>-115.368001653601</v>
      </c>
      <c r="I552" s="397" t="n">
        <f aca="false">SQRT(vit_x^2+vit_z^2)</f>
        <v>115.939144612928</v>
      </c>
      <c r="J552" s="396" t="n">
        <f aca="false">J551+0.5*(vit_x+G551)*pas*(K551&gt;=0)</f>
        <v>690.928492655337</v>
      </c>
      <c r="K552" s="398" t="n">
        <f aca="false">K551+0.5*(vit_z+H551)*pas</f>
        <v>-9.14680673096078</v>
      </c>
      <c r="L552" s="397" t="n">
        <f aca="false">SQRT(pos_x^2+pos_z^2)</f>
        <v>690.989034671571</v>
      </c>
      <c r="M552" s="396" t="n">
        <f aca="false">IF(AND(L551&gt;L_rampe,G552&gt;0),ATAN2(G552,H552),$M$4)</f>
        <v>-1.47149596905278</v>
      </c>
      <c r="N552" s="397" t="n">
        <f aca="false">DEGREES(Beta)</f>
        <v>-84.3105085972375</v>
      </c>
      <c r="P552" s="399" t="n">
        <f aca="false">MATCH(t-pas/2-T_ini,CdP_t)</f>
        <v>23</v>
      </c>
      <c r="Q552" s="397" t="n">
        <f aca="false">(INDEX(CdP,2,i_P+1)-INDEX(CdP,2,i_P+0))/(INDEX(CdP,1,i_P+1)-INDEX(CdP,1,i_P+0))*(t-pas/2-T_ini-INDEX(CdP,1,i_P+0))+INDEX(CdP,2,i_P+0)</f>
        <v>0</v>
      </c>
      <c r="R552" s="396" t="n">
        <f aca="false">Poussee/(g*ISP)</f>
        <v>0</v>
      </c>
      <c r="S552" s="398" t="n">
        <f aca="false">S551-Débit*pas</f>
        <v>8.45</v>
      </c>
      <c r="T552" s="397" t="n">
        <f aca="false">m*g</f>
        <v>82.8945</v>
      </c>
      <c r="U552" s="400" t="n">
        <f aca="false">IF(pos_xz&lt;L_rampe,Poids*COS(Beta),0)</f>
        <v>0</v>
      </c>
      <c r="V552" s="396" t="n">
        <f aca="false">Rho_moyen*(20000-Alt_rampe-pos_z)/(20000+Alt_rampe+pos_z)</f>
        <v>1.22612099650146</v>
      </c>
      <c r="W552" s="397" t="n">
        <f aca="false">1/2*Rho*Sref*Cx*vit_xz^2</f>
        <v>62.0184717277662</v>
      </c>
      <c r="Y552" s="401" t="str">
        <f aca="false">IF(AND(pos_z&lt;=0,K551&gt;0),"Impact balistique","") &amp; IF(AND(H553&lt;0,vit_z&gt;=0),"Apogée","") &amp; IF(AND(Poussee=0,Q551&gt;0),"Fin de propulsion","") &amp; IF(AND(L553&gt;L_rampe,pos_xz&lt;=L_rampe),"Sortie de rampe","")</f>
        <v/>
      </c>
      <c r="Z552" s="402" t="str">
        <f aca="false">IF(ABS(t-T_para)&lt;pas/2,"Para","")</f>
        <v/>
      </c>
      <c r="AA552" s="403" t="str">
        <f aca="false">IF(ABS(t-T_satellite)&lt;pas/2,"Satellite","")</f>
        <v/>
      </c>
      <c r="AC552" s="399" t="e">
        <f aca="false">IF(ABS(t-ROUND(t,0))&lt;0.001,t,NA())</f>
        <v>#N/A</v>
      </c>
      <c r="AD552" s="404" t="e">
        <f aca="false">IF(ABS(t-ROUND(t,0))&lt;0.001,pos_x,NA())</f>
        <v>#N/A</v>
      </c>
      <c r="AE552" s="405" t="e">
        <f aca="false">IF(t&lt;T_para, pos_z, NA())</f>
        <v>#N/A</v>
      </c>
      <c r="AG552" s="396" t="n">
        <f aca="false">IF(AND(L551&lt;L_rampe,Poussee&lt;Poids*SIN(M551)),0,(-W551+Poussee)/m-Poids*SIN(M551)/m)</f>
        <v>2.42224788756703</v>
      </c>
      <c r="AH552" s="397" t="n">
        <f aca="false">IF(AND(L551&lt;L_rampe,Poussee&lt;Poids*SIN(M551)), g*SIN(M551), (-W551+Poussee)/m)</f>
        <v>-7.33942497466088</v>
      </c>
    </row>
    <row r="553" customFormat="false" ht="12.75" hidden="false" customHeight="false" outlineLevel="0" collapsed="false">
      <c r="A553" s="396" t="n">
        <f aca="false">IF(B552+0.01&lt;=T_ini+ROUNDUP(Temps_fin_propu,0), 0.01, IF(K552&gt;0, 0.1, 0.0001))</f>
        <v>0.0001</v>
      </c>
      <c r="B553" s="397" t="n">
        <f aca="false">B552+pas</f>
        <v>32.1048000000003</v>
      </c>
      <c r="D553" s="396" t="n">
        <f aca="false">IF(AND(L552&lt;L_rampe,Poussee&lt;Poids*SIN(M552)),0,(-W552+Poussee)/m*COS(M552)-U552/m*SIN(M552))</f>
        <v>-0.727614253886622</v>
      </c>
      <c r="E553" s="398" t="n">
        <f aca="false">IF(AND(L552&lt;L_rampe,Poussee&lt;Poids*SIN(M552)),0,(-W552+Poussee)/m*SIN(M552)+U552/m*COS(M552)-Poids/m)</f>
        <v>-2.50669178272564</v>
      </c>
      <c r="F553" s="397" t="n">
        <f aca="false">SQRT(acc_x^2+acc_z^2)</f>
        <v>2.61015827030531</v>
      </c>
      <c r="G553" s="396" t="n">
        <f aca="false">G552+acc_x*pas</f>
        <v>11.4938146589393</v>
      </c>
      <c r="H553" s="398" t="n">
        <f aca="false">H552+acc_z*pas</f>
        <v>-115.368252322779</v>
      </c>
      <c r="I553" s="397" t="n">
        <f aca="false">SQRT(vit_x^2+vit_z^2)</f>
        <v>115.939386833925</v>
      </c>
      <c r="J553" s="396" t="n">
        <f aca="false">J552+0.5*(vit_x+G552)*pas*(K552&gt;=0)</f>
        <v>690.928492655337</v>
      </c>
      <c r="K553" s="398" t="n">
        <f aca="false">K552+0.5*(vit_z+H552)*pas</f>
        <v>-9.1583435436596</v>
      </c>
      <c r="L553" s="397" t="n">
        <f aca="false">SQRT(pos_x^2+pos_z^2)</f>
        <v>690.98918748374</v>
      </c>
      <c r="M553" s="396" t="n">
        <f aca="false">IF(AND(L552&gt;L_rampe,G553&gt;0),ATAN2(G553,H553),$M$4)</f>
        <v>-1.47149680788452</v>
      </c>
      <c r="N553" s="397" t="n">
        <f aca="false">DEGREES(Beta)</f>
        <v>-84.310556658756</v>
      </c>
      <c r="P553" s="399" t="n">
        <f aca="false">MATCH(t-pas/2-T_ini,CdP_t)</f>
        <v>23</v>
      </c>
      <c r="Q553" s="397" t="n">
        <f aca="false">(INDEX(CdP,2,i_P+1)-INDEX(CdP,2,i_P+0))/(INDEX(CdP,1,i_P+1)-INDEX(CdP,1,i_P+0))*(t-pas/2-T_ini-INDEX(CdP,1,i_P+0))+INDEX(CdP,2,i_P+0)</f>
        <v>0</v>
      </c>
      <c r="R553" s="396" t="n">
        <f aca="false">Poussee/(g*ISP)</f>
        <v>0</v>
      </c>
      <c r="S553" s="398" t="n">
        <f aca="false">S552-Débit*pas</f>
        <v>8.45</v>
      </c>
      <c r="T553" s="397" t="n">
        <f aca="false">m*g</f>
        <v>82.8945</v>
      </c>
      <c r="U553" s="400" t="n">
        <f aca="false">IF(pos_xz&lt;L_rampe,Poids*COS(Beta),0)</f>
        <v>0</v>
      </c>
      <c r="V553" s="396" t="n">
        <f aca="false">Rho_moyen*(20000-Alt_rampe-pos_z)/(20000+Alt_rampe+pos_z)</f>
        <v>1.2261224110554</v>
      </c>
      <c r="W553" s="397" t="n">
        <f aca="false">1/2*Rho*Sref*Cx*vit_xz^2</f>
        <v>62.0188024169257</v>
      </c>
      <c r="Y553" s="401" t="str">
        <f aca="false">IF(AND(pos_z&lt;=0,K552&gt;0),"Impact balistique","") &amp; IF(AND(H554&lt;0,vit_z&gt;=0),"Apogée","") &amp; IF(AND(Poussee=0,Q552&gt;0),"Fin de propulsion","") &amp; IF(AND(L554&gt;L_rampe,pos_xz&lt;=L_rampe),"Sortie de rampe","")</f>
        <v/>
      </c>
      <c r="Z553" s="402" t="str">
        <f aca="false">IF(ABS(t-T_para)&lt;pas/2,"Para","")</f>
        <v/>
      </c>
      <c r="AA553" s="403" t="str">
        <f aca="false">IF(ABS(t-T_satellite)&lt;pas/2,"Satellite","")</f>
        <v/>
      </c>
      <c r="AC553" s="399" t="e">
        <f aca="false">IF(ABS(t-ROUND(t,0))&lt;0.001,t,NA())</f>
        <v>#N/A</v>
      </c>
      <c r="AD553" s="404" t="e">
        <f aca="false">IF(ABS(t-ROUND(t,0))&lt;0.001,pos_x,NA())</f>
        <v>#N/A</v>
      </c>
      <c r="AE553" s="405" t="e">
        <f aca="false">IF(t&lt;T_para, pos_z, NA())</f>
        <v>#N/A</v>
      </c>
      <c r="AG553" s="396" t="n">
        <f aca="false">IF(AND(L552&lt;L_rampe,Poussee&lt;Poids*SIN(M552)),0,(-W552+Poussee)/m-Poids*SIN(M552)/m)</f>
        <v>2.42220956823949</v>
      </c>
      <c r="AH553" s="397" t="n">
        <f aca="false">IF(AND(L552&lt;L_rampe,Poussee&lt;Poids*SIN(M552)), g*SIN(M552), (-W552+Poussee)/m)</f>
        <v>-7.33946410979481</v>
      </c>
    </row>
    <row r="554" customFormat="false" ht="12.75" hidden="false" customHeight="false" outlineLevel="0" collapsed="false">
      <c r="A554" s="396" t="n">
        <f aca="false">IF(B553+0.01&lt;=T_ini+ROUNDUP(Temps_fin_propu,0), 0.01, IF(K553&gt;0, 0.1, 0.0001))</f>
        <v>0.0001</v>
      </c>
      <c r="B554" s="397" t="n">
        <f aca="false">B553+pas</f>
        <v>32.1049000000004</v>
      </c>
      <c r="D554" s="396" t="n">
        <f aca="false">IF(AND(L553&lt;L_rampe,Poussee&lt;Poids*SIN(M553)),0,(-W553+Poussee)/m*COS(M553)-U553/m*SIN(M553))</f>
        <v>-0.727612007324392</v>
      </c>
      <c r="E554" s="398" t="n">
        <f aca="false">IF(AND(L553&lt;L_rampe,Poussee&lt;Poids*SIN(M553)),0,(-W553+Poussee)/m*SIN(M553)+U553/m*COS(M553)-Poids/m)</f>
        <v>-2.50665223035436</v>
      </c>
      <c r="F554" s="397" t="n">
        <f aca="false">SQRT(acc_x^2+acc_z^2)</f>
        <v>2.61011965954496</v>
      </c>
      <c r="G554" s="396" t="n">
        <f aca="false">G553+acc_x*pas</f>
        <v>11.4937418977385</v>
      </c>
      <c r="H554" s="398" t="n">
        <f aca="false">H553+acc_z*pas</f>
        <v>-115.368502988002</v>
      </c>
      <c r="I554" s="397" t="n">
        <f aca="false">SQRT(vit_x^2+vit_z^2)</f>
        <v>115.939629051091</v>
      </c>
      <c r="J554" s="396" t="n">
        <f aca="false">J553+0.5*(vit_x+G553)*pas*(K553&gt;=0)</f>
        <v>690.928492655337</v>
      </c>
      <c r="K554" s="398" t="n">
        <f aca="false">K553+0.5*(vit_z+H553)*pas</f>
        <v>-9.16988038142514</v>
      </c>
      <c r="L554" s="397" t="n">
        <f aca="false">SQRT(pos_x^2+pos_z^2)</f>
        <v>690.989340488828</v>
      </c>
      <c r="M554" s="396" t="n">
        <f aca="false">IF(AND(L553&gt;L_rampe,G554&gt;0),ATAN2(G554,H554),$M$4)</f>
        <v>-1.47149764670745</v>
      </c>
      <c r="N554" s="397" t="n">
        <f aca="false">DEGREES(Beta)</f>
        <v>-84.3106047197693</v>
      </c>
      <c r="P554" s="399" t="n">
        <f aca="false">MATCH(t-pas/2-T_ini,CdP_t)</f>
        <v>23</v>
      </c>
      <c r="Q554" s="397" t="n">
        <f aca="false">(INDEX(CdP,2,i_P+1)-INDEX(CdP,2,i_P+0))/(INDEX(CdP,1,i_P+1)-INDEX(CdP,1,i_P+0))*(t-pas/2-T_ini-INDEX(CdP,1,i_P+0))+INDEX(CdP,2,i_P+0)</f>
        <v>0</v>
      </c>
      <c r="R554" s="396" t="n">
        <f aca="false">Poussee/(g*ISP)</f>
        <v>0</v>
      </c>
      <c r="S554" s="398" t="n">
        <f aca="false">S553-Débit*pas</f>
        <v>8.45</v>
      </c>
      <c r="T554" s="397" t="n">
        <f aca="false">m*g</f>
        <v>82.8945</v>
      </c>
      <c r="U554" s="400" t="n">
        <f aca="false">IF(pos_xz&lt;L_rampe,Poids*COS(Beta),0)</f>
        <v>0</v>
      </c>
      <c r="V554" s="396" t="n">
        <f aca="false">Rho_moyen*(20000-Alt_rampe-pos_z)/(20000+Alt_rampe+pos_z)</f>
        <v>1.22612382561405</v>
      </c>
      <c r="W554" s="397" t="n">
        <f aca="false">1/2*Rho*Sref*Cx*vit_xz^2</f>
        <v>62.019133103363</v>
      </c>
      <c r="Y554" s="401" t="str">
        <f aca="false">IF(AND(pos_z&lt;=0,K553&gt;0),"Impact balistique","") &amp; IF(AND(H555&lt;0,vit_z&gt;=0),"Apogée","") &amp; IF(AND(Poussee=0,Q553&gt;0),"Fin de propulsion","") &amp; IF(AND(L555&gt;L_rampe,pos_xz&lt;=L_rampe),"Sortie de rampe","")</f>
        <v/>
      </c>
      <c r="Z554" s="402" t="str">
        <f aca="false">IF(ABS(t-T_para)&lt;pas/2,"Para","")</f>
        <v/>
      </c>
      <c r="AA554" s="403" t="str">
        <f aca="false">IF(ABS(t-T_satellite)&lt;pas/2,"Satellite","")</f>
        <v/>
      </c>
      <c r="AC554" s="399" t="e">
        <f aca="false">IF(ABS(t-ROUND(t,0))&lt;0.001,t,NA())</f>
        <v>#N/A</v>
      </c>
      <c r="AD554" s="404" t="e">
        <f aca="false">IF(ABS(t-ROUND(t,0))&lt;0.001,pos_x,NA())</f>
        <v>#N/A</v>
      </c>
      <c r="AE554" s="405" t="e">
        <f aca="false">IF(t&lt;T_para, pos_z, NA())</f>
        <v>#N/A</v>
      </c>
      <c r="AG554" s="396" t="n">
        <f aca="false">IF(AND(L553&lt;L_rampe,Poussee&lt;Poids*SIN(M553)),0,(-W553+Poussee)/m-Poids*SIN(M553)/m)</f>
        <v>2.42217124921866</v>
      </c>
      <c r="AH554" s="397" t="n">
        <f aca="false">IF(AND(L553&lt;L_rampe,Poussee&lt;Poids*SIN(M553)), g*SIN(M553), (-W553+Poussee)/m)</f>
        <v>-7.33950324460659</v>
      </c>
    </row>
    <row r="555" customFormat="false" ht="12.75" hidden="false" customHeight="false" outlineLevel="0" collapsed="false">
      <c r="A555" s="396" t="n">
        <f aca="false">IF(B554+0.01&lt;=T_ini+ROUNDUP(Temps_fin_propu,0), 0.01, IF(K554&gt;0, 0.1, 0.0001))</f>
        <v>0.0001</v>
      </c>
      <c r="B555" s="397" t="n">
        <f aca="false">B554+pas</f>
        <v>32.1050000000004</v>
      </c>
      <c r="D555" s="396" t="n">
        <f aca="false">IF(AND(L554&lt;L_rampe,Poussee&lt;Poids*SIN(M554)),0,(-W554+Poussee)/m*COS(M554)-U554/m*SIN(M554))</f>
        <v>-0.727609760728762</v>
      </c>
      <c r="E555" s="398" t="n">
        <f aca="false">IF(AND(L554&lt;L_rampe,Poussee&lt;Poids*SIN(M554)),0,(-W554+Poussee)/m*SIN(M554)+U554/m*COS(M554)-Poids/m)</f>
        <v>-2.50661267830868</v>
      </c>
      <c r="F555" s="397" t="n">
        <f aca="false">SQRT(acc_x^2+acc_z^2)</f>
        <v>2.61008104911813</v>
      </c>
      <c r="G555" s="396" t="n">
        <f aca="false">G554+acc_x*pas</f>
        <v>11.4936691367625</v>
      </c>
      <c r="H555" s="398" t="n">
        <f aca="false">H554+acc_z*pas</f>
        <v>-115.36875364927</v>
      </c>
      <c r="I555" s="397" t="n">
        <f aca="false">SQRT(vit_x^2+vit_z^2)</f>
        <v>115.939871264425</v>
      </c>
      <c r="J555" s="396" t="n">
        <f aca="false">J554+0.5*(vit_x+G554)*pas*(K554&gt;=0)</f>
        <v>690.928492655337</v>
      </c>
      <c r="K555" s="398" t="n">
        <f aca="false">K554+0.5*(vit_z+H554)*pas</f>
        <v>-9.181417244257</v>
      </c>
      <c r="L555" s="397" t="n">
        <f aca="false">SQRT(pos_x^2+pos_z^2)</f>
        <v>690.989493686835</v>
      </c>
      <c r="M555" s="396" t="n">
        <f aca="false">IF(AND(L554&gt;L_rampe,G555&gt;0),ATAN2(G555,H555),$M$4)</f>
        <v>-1.47149848552156</v>
      </c>
      <c r="N555" s="397" t="n">
        <f aca="false">DEGREES(Beta)</f>
        <v>-84.3106527802777</v>
      </c>
      <c r="P555" s="399" t="n">
        <f aca="false">MATCH(t-pas/2-T_ini,CdP_t)</f>
        <v>23</v>
      </c>
      <c r="Q555" s="397" t="n">
        <f aca="false">(INDEX(CdP,2,i_P+1)-INDEX(CdP,2,i_P+0))/(INDEX(CdP,1,i_P+1)-INDEX(CdP,1,i_P+0))*(t-pas/2-T_ini-INDEX(CdP,1,i_P+0))+INDEX(CdP,2,i_P+0)</f>
        <v>0</v>
      </c>
      <c r="R555" s="396" t="n">
        <f aca="false">Poussee/(g*ISP)</f>
        <v>0</v>
      </c>
      <c r="S555" s="398" t="n">
        <f aca="false">S554-Débit*pas</f>
        <v>8.45</v>
      </c>
      <c r="T555" s="397" t="n">
        <f aca="false">m*g</f>
        <v>82.8945</v>
      </c>
      <c r="U555" s="400" t="n">
        <f aca="false">IF(pos_xz&lt;L_rampe,Poids*COS(Beta),0)</f>
        <v>0</v>
      </c>
      <c r="V555" s="396" t="n">
        <f aca="false">Rho_moyen*(20000-Alt_rampe-pos_z)/(20000+Alt_rampe+pos_z)</f>
        <v>1.2261252401774</v>
      </c>
      <c r="W555" s="397" t="n">
        <f aca="false">1/2*Rho*Sref*Cx*vit_xz^2</f>
        <v>62.0194637870781</v>
      </c>
      <c r="Y555" s="401" t="str">
        <f aca="false">IF(AND(pos_z&lt;=0,K554&gt;0),"Impact balistique","") &amp; IF(AND(H556&lt;0,vit_z&gt;=0),"Apogée","") &amp; IF(AND(Poussee=0,Q554&gt;0),"Fin de propulsion","") &amp; IF(AND(L556&gt;L_rampe,pos_xz&lt;=L_rampe),"Sortie de rampe","")</f>
        <v/>
      </c>
      <c r="Z555" s="402" t="str">
        <f aca="false">IF(ABS(t-T_para)&lt;pas/2,"Para","")</f>
        <v/>
      </c>
      <c r="AA555" s="403" t="str">
        <f aca="false">IF(ABS(t-T_satellite)&lt;pas/2,"Satellite","")</f>
        <v/>
      </c>
      <c r="AC555" s="399" t="e">
        <f aca="false">IF(ABS(t-ROUND(t,0))&lt;0.001,t,NA())</f>
        <v>#N/A</v>
      </c>
      <c r="AD555" s="404" t="e">
        <f aca="false">IF(ABS(t-ROUND(t,0))&lt;0.001,pos_x,NA())</f>
        <v>#N/A</v>
      </c>
      <c r="AE555" s="405" t="e">
        <f aca="false">IF(t&lt;T_para, pos_z, NA())</f>
        <v>#N/A</v>
      </c>
      <c r="AG555" s="396" t="n">
        <f aca="false">IF(AND(L554&lt;L_rampe,Poussee&lt;Poids*SIN(M554)),0,(-W554+Poussee)/m-Poids*SIN(M554)/m)</f>
        <v>2.42213293050454</v>
      </c>
      <c r="AH555" s="397" t="n">
        <f aca="false">IF(AND(L554&lt;L_rampe,Poussee&lt;Poids*SIN(M554)), g*SIN(M554), (-W554+Poussee)/m)</f>
        <v>-7.33954237909621</v>
      </c>
    </row>
    <row r="556" customFormat="false" ht="12.75" hidden="false" customHeight="false" outlineLevel="0" collapsed="false">
      <c r="A556" s="396" t="n">
        <f aca="false">IF(B555+0.01&lt;=T_ini+ROUNDUP(Temps_fin_propu,0), 0.01, IF(K555&gt;0, 0.1, 0.0001))</f>
        <v>0.0001</v>
      </c>
      <c r="B556" s="397" t="n">
        <f aca="false">B555+pas</f>
        <v>32.1051000000004</v>
      </c>
      <c r="D556" s="396" t="n">
        <f aca="false">IF(AND(L555&lt;L_rampe,Poussee&lt;Poids*SIN(M555)),0,(-W555+Poussee)/m*COS(M555)-U555/m*SIN(M555))</f>
        <v>-0.727607514099733</v>
      </c>
      <c r="E556" s="398" t="n">
        <f aca="false">IF(AND(L555&lt;L_rampe,Poussee&lt;Poids*SIN(M555)),0,(-W555+Poussee)/m*SIN(M555)+U555/m*COS(M555)-Poids/m)</f>
        <v>-2.50657312658862</v>
      </c>
      <c r="F556" s="397" t="n">
        <f aca="false">SQRT(acc_x^2+acc_z^2)</f>
        <v>2.61004243902482</v>
      </c>
      <c r="G556" s="396" t="n">
        <f aca="false">G555+acc_x*pas</f>
        <v>11.493596376011</v>
      </c>
      <c r="H556" s="398" t="n">
        <f aca="false">H555+acc_z*pas</f>
        <v>-115.369004306583</v>
      </c>
      <c r="I556" s="397" t="n">
        <f aca="false">SQRT(vit_x^2+vit_z^2)</f>
        <v>115.940113473927</v>
      </c>
      <c r="J556" s="396" t="n">
        <f aca="false">J555+0.5*(vit_x+G555)*pas*(K555&gt;=0)</f>
        <v>690.928492655337</v>
      </c>
      <c r="K556" s="398" t="n">
        <f aca="false">K555+0.5*(vit_z+H555)*pas</f>
        <v>-9.19295413215479</v>
      </c>
      <c r="L556" s="397" t="n">
        <f aca="false">SQRT(pos_x^2+pos_z^2)</f>
        <v>690.989647077763</v>
      </c>
      <c r="M556" s="396" t="n">
        <f aca="false">IF(AND(L555&gt;L_rampe,G556&gt;0),ATAN2(G556,H556),$M$4)</f>
        <v>-1.47149932432685</v>
      </c>
      <c r="N556" s="397" t="n">
        <f aca="false">DEGREES(Beta)</f>
        <v>-84.3107008402809</v>
      </c>
      <c r="P556" s="399" t="n">
        <f aca="false">MATCH(t-pas/2-T_ini,CdP_t)</f>
        <v>23</v>
      </c>
      <c r="Q556" s="397" t="n">
        <f aca="false">(INDEX(CdP,2,i_P+1)-INDEX(CdP,2,i_P+0))/(INDEX(CdP,1,i_P+1)-INDEX(CdP,1,i_P+0))*(t-pas/2-T_ini-INDEX(CdP,1,i_P+0))+INDEX(CdP,2,i_P+0)</f>
        <v>0</v>
      </c>
      <c r="R556" s="396" t="n">
        <f aca="false">Poussee/(g*ISP)</f>
        <v>0</v>
      </c>
      <c r="S556" s="398" t="n">
        <f aca="false">S555-Débit*pas</f>
        <v>8.45</v>
      </c>
      <c r="T556" s="397" t="n">
        <f aca="false">m*g</f>
        <v>82.8945</v>
      </c>
      <c r="U556" s="400" t="n">
        <f aca="false">IF(pos_xz&lt;L_rampe,Poids*COS(Beta),0)</f>
        <v>0</v>
      </c>
      <c r="V556" s="396" t="n">
        <f aca="false">Rho_moyen*(20000-Alt_rampe-pos_z)/(20000+Alt_rampe+pos_z)</f>
        <v>1.22612665474546</v>
      </c>
      <c r="W556" s="397" t="n">
        <f aca="false">1/2*Rho*Sref*Cx*vit_xz^2</f>
        <v>62.019794468071</v>
      </c>
      <c r="Y556" s="401" t="str">
        <f aca="false">IF(AND(pos_z&lt;=0,K555&gt;0),"Impact balistique","") &amp; IF(AND(H557&lt;0,vit_z&gt;=0),"Apogée","") &amp; IF(AND(Poussee=0,Q555&gt;0),"Fin de propulsion","") &amp; IF(AND(L557&gt;L_rampe,pos_xz&lt;=L_rampe),"Sortie de rampe","")</f>
        <v/>
      </c>
      <c r="Z556" s="402" t="str">
        <f aca="false">IF(ABS(t-T_para)&lt;pas/2,"Para","")</f>
        <v/>
      </c>
      <c r="AA556" s="403" t="str">
        <f aca="false">IF(ABS(t-T_satellite)&lt;pas/2,"Satellite","")</f>
        <v/>
      </c>
      <c r="AC556" s="399" t="e">
        <f aca="false">IF(ABS(t-ROUND(t,0))&lt;0.001,t,NA())</f>
        <v>#N/A</v>
      </c>
      <c r="AD556" s="404" t="e">
        <f aca="false">IF(ABS(t-ROUND(t,0))&lt;0.001,pos_x,NA())</f>
        <v>#N/A</v>
      </c>
      <c r="AE556" s="405" t="e">
        <f aca="false">IF(t&lt;T_para, pos_z, NA())</f>
        <v>#N/A</v>
      </c>
      <c r="AG556" s="396" t="n">
        <f aca="false">IF(AND(L555&lt;L_rampe,Poussee&lt;Poids*SIN(M555)),0,(-W555+Poussee)/m-Poids*SIN(M555)/m)</f>
        <v>2.42209461209714</v>
      </c>
      <c r="AH556" s="397" t="n">
        <f aca="false">IF(AND(L555&lt;L_rampe,Poussee&lt;Poids*SIN(M555)), g*SIN(M555), (-W555+Poussee)/m)</f>
        <v>-7.33958151326368</v>
      </c>
    </row>
    <row r="557" customFormat="false" ht="12.75" hidden="false" customHeight="false" outlineLevel="0" collapsed="false">
      <c r="A557" s="396" t="n">
        <f aca="false">IF(B556+0.01&lt;=T_ini+ROUNDUP(Temps_fin_propu,0), 0.01, IF(K556&gt;0, 0.1, 0.0001))</f>
        <v>0.0001</v>
      </c>
      <c r="B557" s="397" t="n">
        <f aca="false">B556+pas</f>
        <v>32.1052000000004</v>
      </c>
      <c r="D557" s="396" t="n">
        <f aca="false">IF(AND(L556&lt;L_rampe,Poussee&lt;Poids*SIN(M556)),0,(-W556+Poussee)/m*COS(M556)-U556/m*SIN(M556))</f>
        <v>-0.727605267437304</v>
      </c>
      <c r="E557" s="398" t="n">
        <f aca="false">IF(AND(L556&lt;L_rampe,Poussee&lt;Poids*SIN(M556)),0,(-W556+Poussee)/m*SIN(M556)+U556/m*COS(M556)-Poids/m)</f>
        <v>-2.50653357519416</v>
      </c>
      <c r="F557" s="397" t="n">
        <f aca="false">SQRT(acc_x^2+acc_z^2)</f>
        <v>2.61000382926503</v>
      </c>
      <c r="G557" s="396" t="n">
        <f aca="false">G556+acc_x*pas</f>
        <v>11.4935236154843</v>
      </c>
      <c r="H557" s="398" t="n">
        <f aca="false">H556+acc_z*pas</f>
        <v>-115.36925495994</v>
      </c>
      <c r="I557" s="397" t="n">
        <f aca="false">SQRT(vit_x^2+vit_z^2)</f>
        <v>115.940355679597</v>
      </c>
      <c r="J557" s="396" t="n">
        <f aca="false">J556+0.5*(vit_x+G556)*pas*(K556&gt;=0)</f>
        <v>690.928492655337</v>
      </c>
      <c r="K557" s="398" t="n">
        <f aca="false">K556+0.5*(vit_z+H556)*pas</f>
        <v>-9.20449104511812</v>
      </c>
      <c r="L557" s="397" t="n">
        <f aca="false">SQRT(pos_x^2+pos_z^2)</f>
        <v>690.989800661613</v>
      </c>
      <c r="M557" s="396" t="n">
        <f aca="false">IF(AND(L556&gt;L_rampe,G557&gt;0),ATAN2(G557,H557),$M$4)</f>
        <v>-1.47150016312333</v>
      </c>
      <c r="N557" s="397" t="n">
        <f aca="false">DEGREES(Beta)</f>
        <v>-84.3107488997792</v>
      </c>
      <c r="P557" s="399" t="n">
        <f aca="false">MATCH(t-pas/2-T_ini,CdP_t)</f>
        <v>23</v>
      </c>
      <c r="Q557" s="397" t="n">
        <f aca="false">(INDEX(CdP,2,i_P+1)-INDEX(CdP,2,i_P+0))/(INDEX(CdP,1,i_P+1)-INDEX(CdP,1,i_P+0))*(t-pas/2-T_ini-INDEX(CdP,1,i_P+0))+INDEX(CdP,2,i_P+0)</f>
        <v>0</v>
      </c>
      <c r="R557" s="396" t="n">
        <f aca="false">Poussee/(g*ISP)</f>
        <v>0</v>
      </c>
      <c r="S557" s="398" t="n">
        <f aca="false">S556-Débit*pas</f>
        <v>8.45</v>
      </c>
      <c r="T557" s="397" t="n">
        <f aca="false">m*g</f>
        <v>82.8945</v>
      </c>
      <c r="U557" s="400" t="n">
        <f aca="false">IF(pos_xz&lt;L_rampe,Poids*COS(Beta),0)</f>
        <v>0</v>
      </c>
      <c r="V557" s="396" t="n">
        <f aca="false">Rho_moyen*(20000-Alt_rampe-pos_z)/(20000+Alt_rampe+pos_z)</f>
        <v>1.22612806931822</v>
      </c>
      <c r="W557" s="397" t="n">
        <f aca="false">1/2*Rho*Sref*Cx*vit_xz^2</f>
        <v>62.0201251463417</v>
      </c>
      <c r="Y557" s="401" t="str">
        <f aca="false">IF(AND(pos_z&lt;=0,K556&gt;0),"Impact balistique","") &amp; IF(AND(H558&lt;0,vit_z&gt;=0),"Apogée","") &amp; IF(AND(Poussee=0,Q556&gt;0),"Fin de propulsion","") &amp; IF(AND(L558&gt;L_rampe,pos_xz&lt;=L_rampe),"Sortie de rampe","")</f>
        <v/>
      </c>
      <c r="Z557" s="402" t="str">
        <f aca="false">IF(ABS(t-T_para)&lt;pas/2,"Para","")</f>
        <v/>
      </c>
      <c r="AA557" s="403" t="str">
        <f aca="false">IF(ABS(t-T_satellite)&lt;pas/2,"Satellite","")</f>
        <v/>
      </c>
      <c r="AC557" s="399" t="e">
        <f aca="false">IF(ABS(t-ROUND(t,0))&lt;0.001,t,NA())</f>
        <v>#N/A</v>
      </c>
      <c r="AD557" s="404" t="e">
        <f aca="false">IF(ABS(t-ROUND(t,0))&lt;0.001,pos_x,NA())</f>
        <v>#N/A</v>
      </c>
      <c r="AE557" s="405" t="e">
        <f aca="false">IF(t&lt;T_para, pos_z, NA())</f>
        <v>#N/A</v>
      </c>
      <c r="AG557" s="396" t="n">
        <f aca="false">IF(AND(L556&lt;L_rampe,Poussee&lt;Poids*SIN(M556)),0,(-W556+Poussee)/m-Poids*SIN(M556)/m)</f>
        <v>2.42205629399644</v>
      </c>
      <c r="AH557" s="397" t="n">
        <f aca="false">IF(AND(L556&lt;L_rampe,Poussee&lt;Poids*SIN(M556)), g*SIN(M556), (-W556+Poussee)/m)</f>
        <v>-7.339620647109</v>
      </c>
    </row>
    <row r="558" customFormat="false" ht="12.75" hidden="false" customHeight="false" outlineLevel="0" collapsed="false">
      <c r="A558" s="396" t="n">
        <f aca="false">IF(B557+0.01&lt;=T_ini+ROUNDUP(Temps_fin_propu,0), 0.01, IF(K557&gt;0, 0.1, 0.0001))</f>
        <v>0.0001</v>
      </c>
      <c r="B558" s="397" t="n">
        <f aca="false">B557+pas</f>
        <v>32.1053000000004</v>
      </c>
      <c r="D558" s="396" t="n">
        <f aca="false">IF(AND(L557&lt;L_rampe,Poussee&lt;Poids*SIN(M557)),0,(-W557+Poussee)/m*COS(M557)-U557/m*SIN(M557))</f>
        <v>-0.727603020741479</v>
      </c>
      <c r="E558" s="398" t="n">
        <f aca="false">IF(AND(L557&lt;L_rampe,Poussee&lt;Poids*SIN(M557)),0,(-W557+Poussee)/m*SIN(M557)+U557/m*COS(M557)-Poids/m)</f>
        <v>-2.50649402412532</v>
      </c>
      <c r="F558" s="397" t="n">
        <f aca="false">SQRT(acc_x^2+acc_z^2)</f>
        <v>2.60996521983877</v>
      </c>
      <c r="G558" s="396" t="n">
        <f aca="false">G557+acc_x*pas</f>
        <v>11.4934508551822</v>
      </c>
      <c r="H558" s="398" t="n">
        <f aca="false">H557+acc_z*pas</f>
        <v>-115.369505609343</v>
      </c>
      <c r="I558" s="397" t="n">
        <f aca="false">SQRT(vit_x^2+vit_z^2)</f>
        <v>115.940597881435</v>
      </c>
      <c r="J558" s="396" t="n">
        <f aca="false">J557+0.5*(vit_x+G557)*pas*(K557&gt;=0)</f>
        <v>690.928492655337</v>
      </c>
      <c r="K558" s="398" t="n">
        <f aca="false">K557+0.5*(vit_z+H557)*pas</f>
        <v>-9.21602798314658</v>
      </c>
      <c r="L558" s="397" t="n">
        <f aca="false">SQRT(pos_x^2+pos_z^2)</f>
        <v>690.989954438385</v>
      </c>
      <c r="M558" s="396" t="n">
        <f aca="false">IF(AND(L557&gt;L_rampe,G558&gt;0),ATAN2(G558,H558),$M$4)</f>
        <v>-1.471501001911</v>
      </c>
      <c r="N558" s="397" t="n">
        <f aca="false">DEGREES(Beta)</f>
        <v>-84.3107969587723</v>
      </c>
      <c r="P558" s="399" t="n">
        <f aca="false">MATCH(t-pas/2-T_ini,CdP_t)</f>
        <v>23</v>
      </c>
      <c r="Q558" s="397" t="n">
        <f aca="false">(INDEX(CdP,2,i_P+1)-INDEX(CdP,2,i_P+0))/(INDEX(CdP,1,i_P+1)-INDEX(CdP,1,i_P+0))*(t-pas/2-T_ini-INDEX(CdP,1,i_P+0))+INDEX(CdP,2,i_P+0)</f>
        <v>0</v>
      </c>
      <c r="R558" s="396" t="n">
        <f aca="false">Poussee/(g*ISP)</f>
        <v>0</v>
      </c>
      <c r="S558" s="398" t="n">
        <f aca="false">S557-Débit*pas</f>
        <v>8.45</v>
      </c>
      <c r="T558" s="397" t="n">
        <f aca="false">m*g</f>
        <v>82.8945</v>
      </c>
      <c r="U558" s="400" t="n">
        <f aca="false">IF(pos_xz&lt;L_rampe,Poids*COS(Beta),0)</f>
        <v>0</v>
      </c>
      <c r="V558" s="396" t="n">
        <f aca="false">Rho_moyen*(20000-Alt_rampe-pos_z)/(20000+Alt_rampe+pos_z)</f>
        <v>1.2261294838957</v>
      </c>
      <c r="W558" s="397" t="n">
        <f aca="false">1/2*Rho*Sref*Cx*vit_xz^2</f>
        <v>62.0204558218902</v>
      </c>
      <c r="Y558" s="401" t="str">
        <f aca="false">IF(AND(pos_z&lt;=0,K557&gt;0),"Impact balistique","") &amp; IF(AND(H559&lt;0,vit_z&gt;=0),"Apogée","") &amp; IF(AND(Poussee=0,Q557&gt;0),"Fin de propulsion","") &amp; IF(AND(L559&gt;L_rampe,pos_xz&lt;=L_rampe),"Sortie de rampe","")</f>
        <v/>
      </c>
      <c r="Z558" s="402" t="str">
        <f aca="false">IF(ABS(t-T_para)&lt;pas/2,"Para","")</f>
        <v/>
      </c>
      <c r="AA558" s="403" t="str">
        <f aca="false">IF(ABS(t-T_satellite)&lt;pas/2,"Satellite","")</f>
        <v/>
      </c>
      <c r="AC558" s="399" t="e">
        <f aca="false">IF(ABS(t-ROUND(t,0))&lt;0.001,t,NA())</f>
        <v>#N/A</v>
      </c>
      <c r="AD558" s="404" t="e">
        <f aca="false">IF(ABS(t-ROUND(t,0))&lt;0.001,pos_x,NA())</f>
        <v>#N/A</v>
      </c>
      <c r="AE558" s="405" t="e">
        <f aca="false">IF(t&lt;T_para, pos_z, NA())</f>
        <v>#N/A</v>
      </c>
      <c r="AG558" s="396" t="n">
        <f aca="false">IF(AND(L557&lt;L_rampe,Poussee&lt;Poids*SIN(M557)),0,(-W557+Poussee)/m-Poids*SIN(M557)/m)</f>
        <v>2.42201797620247</v>
      </c>
      <c r="AH558" s="397" t="n">
        <f aca="false">IF(AND(L557&lt;L_rampe,Poussee&lt;Poids*SIN(M557)), g*SIN(M557), (-W557+Poussee)/m)</f>
        <v>-7.33965978063216</v>
      </c>
    </row>
    <row r="559" customFormat="false" ht="12.75" hidden="false" customHeight="false" outlineLevel="0" collapsed="false">
      <c r="A559" s="396" t="n">
        <f aca="false">IF(B558+0.01&lt;=T_ini+ROUNDUP(Temps_fin_propu,0), 0.01, IF(K558&gt;0, 0.1, 0.0001))</f>
        <v>0.0001</v>
      </c>
      <c r="B559" s="397" t="n">
        <f aca="false">B558+pas</f>
        <v>32.1054000000004</v>
      </c>
      <c r="D559" s="396" t="n">
        <f aca="false">IF(AND(L558&lt;L_rampe,Poussee&lt;Poids*SIN(M558)),0,(-W558+Poussee)/m*COS(M558)-U558/m*SIN(M558))</f>
        <v>-0.727600774012255</v>
      </c>
      <c r="E559" s="398" t="n">
        <f aca="false">IF(AND(L558&lt;L_rampe,Poussee&lt;Poids*SIN(M558)),0,(-W558+Poussee)/m*SIN(M558)+U558/m*COS(M558)-Poids/m)</f>
        <v>-2.50645447338209</v>
      </c>
      <c r="F559" s="397" t="n">
        <f aca="false">SQRT(acc_x^2+acc_z^2)</f>
        <v>2.60992661074604</v>
      </c>
      <c r="G559" s="396" t="n">
        <f aca="false">G558+acc_x*pas</f>
        <v>11.4933780951048</v>
      </c>
      <c r="H559" s="398" t="n">
        <f aca="false">H558+acc_z*pas</f>
        <v>-115.36975625479</v>
      </c>
      <c r="I559" s="397" t="n">
        <f aca="false">SQRT(vit_x^2+vit_z^2)</f>
        <v>115.940840079442</v>
      </c>
      <c r="J559" s="396" t="n">
        <f aca="false">J558+0.5*(vit_x+G558)*pas*(K558&gt;=0)</f>
        <v>690.928492655337</v>
      </c>
      <c r="K559" s="398" t="n">
        <f aca="false">K558+0.5*(vit_z+H558)*pas</f>
        <v>-9.22756494623979</v>
      </c>
      <c r="L559" s="397" t="n">
        <f aca="false">SQRT(pos_x^2+pos_z^2)</f>
        <v>690.990108408082</v>
      </c>
      <c r="M559" s="396" t="n">
        <f aca="false">IF(AND(L558&gt;L_rampe,G559&gt;0),ATAN2(G559,H559),$M$4)</f>
        <v>-1.47150184068985</v>
      </c>
      <c r="N559" s="397" t="n">
        <f aca="false">DEGREES(Beta)</f>
        <v>-84.3108450172605</v>
      </c>
      <c r="P559" s="399" t="n">
        <f aca="false">MATCH(t-pas/2-T_ini,CdP_t)</f>
        <v>23</v>
      </c>
      <c r="Q559" s="397" t="n">
        <f aca="false">(INDEX(CdP,2,i_P+1)-INDEX(CdP,2,i_P+0))/(INDEX(CdP,1,i_P+1)-INDEX(CdP,1,i_P+0))*(t-pas/2-T_ini-INDEX(CdP,1,i_P+0))+INDEX(CdP,2,i_P+0)</f>
        <v>0</v>
      </c>
      <c r="R559" s="396" t="n">
        <f aca="false">Poussee/(g*ISP)</f>
        <v>0</v>
      </c>
      <c r="S559" s="398" t="n">
        <f aca="false">S558-Débit*pas</f>
        <v>8.45</v>
      </c>
      <c r="T559" s="397" t="n">
        <f aca="false">m*g</f>
        <v>82.8945</v>
      </c>
      <c r="U559" s="400" t="n">
        <f aca="false">IF(pos_xz&lt;L_rampe,Poids*COS(Beta),0)</f>
        <v>0</v>
      </c>
      <c r="V559" s="396" t="n">
        <f aca="false">Rho_moyen*(20000-Alt_rampe-pos_z)/(20000+Alt_rampe+pos_z)</f>
        <v>1.22613089847787</v>
      </c>
      <c r="W559" s="397" t="n">
        <f aca="false">1/2*Rho*Sref*Cx*vit_xz^2</f>
        <v>62.0207864947165</v>
      </c>
      <c r="Y559" s="401" t="str">
        <f aca="false">IF(AND(pos_z&lt;=0,K558&gt;0),"Impact balistique","") &amp; IF(AND(H560&lt;0,vit_z&gt;=0),"Apogée","") &amp; IF(AND(Poussee=0,Q558&gt;0),"Fin de propulsion","") &amp; IF(AND(L560&gt;L_rampe,pos_xz&lt;=L_rampe),"Sortie de rampe","")</f>
        <v/>
      </c>
      <c r="Z559" s="402" t="str">
        <f aca="false">IF(ABS(t-T_para)&lt;pas/2,"Para","")</f>
        <v/>
      </c>
      <c r="AA559" s="403" t="str">
        <f aca="false">IF(ABS(t-T_satellite)&lt;pas/2,"Satellite","")</f>
        <v/>
      </c>
      <c r="AC559" s="399" t="e">
        <f aca="false">IF(ABS(t-ROUND(t,0))&lt;0.001,t,NA())</f>
        <v>#N/A</v>
      </c>
      <c r="AD559" s="404" t="e">
        <f aca="false">IF(ABS(t-ROUND(t,0))&lt;0.001,pos_x,NA())</f>
        <v>#N/A</v>
      </c>
      <c r="AE559" s="405" t="e">
        <f aca="false">IF(t&lt;T_para, pos_z, NA())</f>
        <v>#N/A</v>
      </c>
      <c r="AG559" s="396" t="n">
        <f aca="false">IF(AND(L558&lt;L_rampe,Poussee&lt;Poids*SIN(M558)),0,(-W558+Poussee)/m-Poids*SIN(M558)/m)</f>
        <v>2.4219796587152</v>
      </c>
      <c r="AH559" s="397" t="n">
        <f aca="false">IF(AND(L558&lt;L_rampe,Poussee&lt;Poids*SIN(M558)), g*SIN(M558), (-W558+Poussee)/m)</f>
        <v>-7.33969891383316</v>
      </c>
    </row>
    <row r="560" customFormat="false" ht="12.75" hidden="false" customHeight="false" outlineLevel="0" collapsed="false">
      <c r="A560" s="396" t="n">
        <f aca="false">IF(B559+0.01&lt;=T_ini+ROUNDUP(Temps_fin_propu,0), 0.01, IF(K559&gt;0, 0.1, 0.0001))</f>
        <v>0.0001</v>
      </c>
      <c r="B560" s="397" t="n">
        <f aca="false">B559+pas</f>
        <v>32.1055000000004</v>
      </c>
      <c r="D560" s="396" t="n">
        <f aca="false">IF(AND(L559&lt;L_rampe,Poussee&lt;Poids*SIN(M559)),0,(-W559+Poussee)/m*COS(M559)-U559/m*SIN(M559))</f>
        <v>-0.727598527249634</v>
      </c>
      <c r="E560" s="398" t="n">
        <f aca="false">IF(AND(L559&lt;L_rampe,Poussee&lt;Poids*SIN(M559)),0,(-W559+Poussee)/m*SIN(M559)+U559/m*COS(M559)-Poids/m)</f>
        <v>-2.50641492296448</v>
      </c>
      <c r="F560" s="397" t="n">
        <f aca="false">SQRT(acc_x^2+acc_z^2)</f>
        <v>2.60988800198684</v>
      </c>
      <c r="G560" s="396" t="n">
        <f aca="false">G559+acc_x*pas</f>
        <v>11.4933053352521</v>
      </c>
      <c r="H560" s="398" t="n">
        <f aca="false">H559+acc_z*pas</f>
        <v>-115.370006896282</v>
      </c>
      <c r="I560" s="397" t="n">
        <f aca="false">SQRT(vit_x^2+vit_z^2)</f>
        <v>115.941082273617</v>
      </c>
      <c r="J560" s="396" t="n">
        <f aca="false">J559+0.5*(vit_x+G559)*pas*(K559&gt;=0)</f>
        <v>690.928492655337</v>
      </c>
      <c r="K560" s="398" t="n">
        <f aca="false">K559+0.5*(vit_z+H559)*pas</f>
        <v>-9.23910193439734</v>
      </c>
      <c r="L560" s="397" t="n">
        <f aca="false">SQRT(pos_x^2+pos_z^2)</f>
        <v>690.990262570704</v>
      </c>
      <c r="M560" s="396" t="n">
        <f aca="false">IF(AND(L559&gt;L_rampe,G560&gt;0),ATAN2(G560,H560),$M$4)</f>
        <v>-1.47150267945989</v>
      </c>
      <c r="N560" s="397" t="n">
        <f aca="false">DEGREES(Beta)</f>
        <v>-84.3108930752436</v>
      </c>
      <c r="P560" s="399" t="n">
        <f aca="false">MATCH(t-pas/2-T_ini,CdP_t)</f>
        <v>23</v>
      </c>
      <c r="Q560" s="397" t="n">
        <f aca="false">(INDEX(CdP,2,i_P+1)-INDEX(CdP,2,i_P+0))/(INDEX(CdP,1,i_P+1)-INDEX(CdP,1,i_P+0))*(t-pas/2-T_ini-INDEX(CdP,1,i_P+0))+INDEX(CdP,2,i_P+0)</f>
        <v>0</v>
      </c>
      <c r="R560" s="396" t="n">
        <f aca="false">Poussee/(g*ISP)</f>
        <v>0</v>
      </c>
      <c r="S560" s="398" t="n">
        <f aca="false">S559-Débit*pas</f>
        <v>8.45</v>
      </c>
      <c r="T560" s="397" t="n">
        <f aca="false">m*g</f>
        <v>82.8945</v>
      </c>
      <c r="U560" s="400" t="n">
        <f aca="false">IF(pos_xz&lt;L_rampe,Poids*COS(Beta),0)</f>
        <v>0</v>
      </c>
      <c r="V560" s="396" t="n">
        <f aca="false">Rho_moyen*(20000-Alt_rampe-pos_z)/(20000+Alt_rampe+pos_z)</f>
        <v>1.22613231306476</v>
      </c>
      <c r="W560" s="397" t="n">
        <f aca="false">1/2*Rho*Sref*Cx*vit_xz^2</f>
        <v>62.0211171648205</v>
      </c>
      <c r="Y560" s="401" t="str">
        <f aca="false">IF(AND(pos_z&lt;=0,K559&gt;0),"Impact balistique","") &amp; IF(AND(H561&lt;0,vit_z&gt;=0),"Apogée","") &amp; IF(AND(Poussee=0,Q559&gt;0),"Fin de propulsion","") &amp; IF(AND(L561&gt;L_rampe,pos_xz&lt;=L_rampe),"Sortie de rampe","")</f>
        <v/>
      </c>
      <c r="Z560" s="402" t="str">
        <f aca="false">IF(ABS(t-T_para)&lt;pas/2,"Para","")</f>
        <v/>
      </c>
      <c r="AA560" s="403" t="str">
        <f aca="false">IF(ABS(t-T_satellite)&lt;pas/2,"Satellite","")</f>
        <v/>
      </c>
      <c r="AC560" s="399" t="e">
        <f aca="false">IF(ABS(t-ROUND(t,0))&lt;0.001,t,NA())</f>
        <v>#N/A</v>
      </c>
      <c r="AD560" s="404" t="e">
        <f aca="false">IF(ABS(t-ROUND(t,0))&lt;0.001,pos_x,NA())</f>
        <v>#N/A</v>
      </c>
      <c r="AE560" s="405" t="e">
        <f aca="false">IF(t&lt;T_para, pos_z, NA())</f>
        <v>#N/A</v>
      </c>
      <c r="AG560" s="396" t="n">
        <f aca="false">IF(AND(L559&lt;L_rampe,Poussee&lt;Poids*SIN(M559)),0,(-W559+Poussee)/m-Poids*SIN(M559)/m)</f>
        <v>2.42194134153466</v>
      </c>
      <c r="AH560" s="397" t="n">
        <f aca="false">IF(AND(L559&lt;L_rampe,Poussee&lt;Poids*SIN(M559)), g*SIN(M559), (-W559+Poussee)/m)</f>
        <v>-7.33973804671201</v>
      </c>
    </row>
    <row r="561" customFormat="false" ht="12.75" hidden="false" customHeight="false" outlineLevel="0" collapsed="false">
      <c r="A561" s="396" t="n">
        <f aca="false">IF(B560+0.01&lt;=T_ini+ROUNDUP(Temps_fin_propu,0), 0.01, IF(K560&gt;0, 0.1, 0.0001))</f>
        <v>0.0001</v>
      </c>
      <c r="B561" s="397" t="n">
        <f aca="false">B560+pas</f>
        <v>32.1056000000004</v>
      </c>
      <c r="D561" s="396" t="n">
        <f aca="false">IF(AND(L560&lt;L_rampe,Poussee&lt;Poids*SIN(M560)),0,(-W560+Poussee)/m*COS(M560)-U560/m*SIN(M560))</f>
        <v>-0.727596280453619</v>
      </c>
      <c r="E561" s="398" t="n">
        <f aca="false">IF(AND(L560&lt;L_rampe,Poussee&lt;Poids*SIN(M560)),0,(-W560+Poussee)/m*SIN(M560)+U560/m*COS(M560)-Poids/m)</f>
        <v>-2.50637537287248</v>
      </c>
      <c r="F561" s="397" t="n">
        <f aca="false">SQRT(acc_x^2+acc_z^2)</f>
        <v>2.60984939356117</v>
      </c>
      <c r="G561" s="396" t="n">
        <f aca="false">G560+acc_x*pas</f>
        <v>11.4932325756241</v>
      </c>
      <c r="H561" s="398" t="n">
        <f aca="false">H560+acc_z*pas</f>
        <v>-115.37025753382</v>
      </c>
      <c r="I561" s="397" t="n">
        <f aca="false">SQRT(vit_x^2+vit_z^2)</f>
        <v>115.94132446396</v>
      </c>
      <c r="J561" s="396" t="n">
        <f aca="false">J560+0.5*(vit_x+G560)*pas*(K560&gt;=0)</f>
        <v>690.928492655337</v>
      </c>
      <c r="K561" s="398" t="n">
        <f aca="false">K560+0.5*(vit_z+H560)*pas</f>
        <v>-9.25063894761885</v>
      </c>
      <c r="L561" s="397" t="n">
        <f aca="false">SQRT(pos_x^2+pos_z^2)</f>
        <v>690.990416926252</v>
      </c>
      <c r="M561" s="396" t="n">
        <f aca="false">IF(AND(L560&gt;L_rampe,G561&gt;0),ATAN2(G561,H561),$M$4)</f>
        <v>-1.47150351822111</v>
      </c>
      <c r="N561" s="397" t="n">
        <f aca="false">DEGREES(Beta)</f>
        <v>-84.3109411327218</v>
      </c>
      <c r="P561" s="399" t="n">
        <f aca="false">MATCH(t-pas/2-T_ini,CdP_t)</f>
        <v>23</v>
      </c>
      <c r="Q561" s="397" t="n">
        <f aca="false">(INDEX(CdP,2,i_P+1)-INDEX(CdP,2,i_P+0))/(INDEX(CdP,1,i_P+1)-INDEX(CdP,1,i_P+0))*(t-pas/2-T_ini-INDEX(CdP,1,i_P+0))+INDEX(CdP,2,i_P+0)</f>
        <v>0</v>
      </c>
      <c r="R561" s="396" t="n">
        <f aca="false">Poussee/(g*ISP)</f>
        <v>0</v>
      </c>
      <c r="S561" s="398" t="n">
        <f aca="false">S560-Débit*pas</f>
        <v>8.45</v>
      </c>
      <c r="T561" s="397" t="n">
        <f aca="false">m*g</f>
        <v>82.8945</v>
      </c>
      <c r="U561" s="400" t="n">
        <f aca="false">IF(pos_xz&lt;L_rampe,Poids*COS(Beta),0)</f>
        <v>0</v>
      </c>
      <c r="V561" s="396" t="n">
        <f aca="false">Rho_moyen*(20000-Alt_rampe-pos_z)/(20000+Alt_rampe+pos_z)</f>
        <v>1.22613372765634</v>
      </c>
      <c r="W561" s="397" t="n">
        <f aca="false">1/2*Rho*Sref*Cx*vit_xz^2</f>
        <v>62.0214478322023</v>
      </c>
      <c r="Y561" s="401" t="str">
        <f aca="false">IF(AND(pos_z&lt;=0,K560&gt;0),"Impact balistique","") &amp; IF(AND(H562&lt;0,vit_z&gt;=0),"Apogée","") &amp; IF(AND(Poussee=0,Q560&gt;0),"Fin de propulsion","") &amp; IF(AND(L562&gt;L_rampe,pos_xz&lt;=L_rampe),"Sortie de rampe","")</f>
        <v/>
      </c>
      <c r="Z561" s="402" t="str">
        <f aca="false">IF(ABS(t-T_para)&lt;pas/2,"Para","")</f>
        <v/>
      </c>
      <c r="AA561" s="403" t="str">
        <f aca="false">IF(ABS(t-T_satellite)&lt;pas/2,"Satellite","")</f>
        <v/>
      </c>
      <c r="AC561" s="399" t="e">
        <f aca="false">IF(ABS(t-ROUND(t,0))&lt;0.001,t,NA())</f>
        <v>#N/A</v>
      </c>
      <c r="AD561" s="404" t="e">
        <f aca="false">IF(ABS(t-ROUND(t,0))&lt;0.001,pos_x,NA())</f>
        <v>#N/A</v>
      </c>
      <c r="AE561" s="405" t="e">
        <f aca="false">IF(t&lt;T_para, pos_z, NA())</f>
        <v>#N/A</v>
      </c>
      <c r="AG561" s="396" t="n">
        <f aca="false">IF(AND(L560&lt;L_rampe,Poussee&lt;Poids*SIN(M560)),0,(-W560+Poussee)/m-Poids*SIN(M560)/m)</f>
        <v>2.42190302466083</v>
      </c>
      <c r="AH561" s="397" t="n">
        <f aca="false">IF(AND(L560&lt;L_rampe,Poussee&lt;Poids*SIN(M560)), g*SIN(M560), (-W560+Poussee)/m)</f>
        <v>-7.3397771792687</v>
      </c>
    </row>
    <row r="562" customFormat="false" ht="12.75" hidden="false" customHeight="false" outlineLevel="0" collapsed="false">
      <c r="A562" s="396" t="n">
        <f aca="false">IF(B561+0.01&lt;=T_ini+ROUNDUP(Temps_fin_propu,0), 0.01, IF(K561&gt;0, 0.1, 0.0001))</f>
        <v>0.0001</v>
      </c>
      <c r="B562" s="397" t="n">
        <f aca="false">B561+pas</f>
        <v>32.1057000000004</v>
      </c>
      <c r="D562" s="396" t="n">
        <f aca="false">IF(AND(L561&lt;L_rampe,Poussee&lt;Poids*SIN(M561)),0,(-W561+Poussee)/m*COS(M561)-U561/m*SIN(M561))</f>
        <v>-0.727594033624208</v>
      </c>
      <c r="E562" s="398" t="n">
        <f aca="false">IF(AND(L561&lt;L_rampe,Poussee&lt;Poids*SIN(M561)),0,(-W561+Poussee)/m*SIN(M561)+U561/m*COS(M561)-Poids/m)</f>
        <v>-2.50633582310609</v>
      </c>
      <c r="F562" s="397" t="n">
        <f aca="false">SQRT(acc_x^2+acc_z^2)</f>
        <v>2.60981078546902</v>
      </c>
      <c r="G562" s="396" t="n">
        <f aca="false">G561+acc_x*pas</f>
        <v>11.4931598162207</v>
      </c>
      <c r="H562" s="398" t="n">
        <f aca="false">H561+acc_z*pas</f>
        <v>-115.370508167402</v>
      </c>
      <c r="I562" s="397" t="n">
        <f aca="false">SQRT(vit_x^2+vit_z^2)</f>
        <v>115.941566650472</v>
      </c>
      <c r="J562" s="396" t="n">
        <f aca="false">J561+0.5*(vit_x+G561)*pas*(K561&gt;=0)</f>
        <v>690.928492655337</v>
      </c>
      <c r="K562" s="398" t="n">
        <f aca="false">K561+0.5*(vit_z+H561)*pas</f>
        <v>-9.26217598590391</v>
      </c>
      <c r="L562" s="397" t="n">
        <f aca="false">SQRT(pos_x^2+pos_z^2)</f>
        <v>690.990571474727</v>
      </c>
      <c r="M562" s="396" t="n">
        <f aca="false">IF(AND(L561&gt;L_rampe,G562&gt;0),ATAN2(G562,H562),$M$4)</f>
        <v>-1.47150435697352</v>
      </c>
      <c r="N562" s="397" t="n">
        <f aca="false">DEGREES(Beta)</f>
        <v>-84.3109891896949</v>
      </c>
      <c r="P562" s="399" t="n">
        <f aca="false">MATCH(t-pas/2-T_ini,CdP_t)</f>
        <v>23</v>
      </c>
      <c r="Q562" s="397" t="n">
        <f aca="false">(INDEX(CdP,2,i_P+1)-INDEX(CdP,2,i_P+0))/(INDEX(CdP,1,i_P+1)-INDEX(CdP,1,i_P+0))*(t-pas/2-T_ini-INDEX(CdP,1,i_P+0))+INDEX(CdP,2,i_P+0)</f>
        <v>0</v>
      </c>
      <c r="R562" s="396" t="n">
        <f aca="false">Poussee/(g*ISP)</f>
        <v>0</v>
      </c>
      <c r="S562" s="398" t="n">
        <f aca="false">S561-Débit*pas</f>
        <v>8.45</v>
      </c>
      <c r="T562" s="397" t="n">
        <f aca="false">m*g</f>
        <v>82.8945</v>
      </c>
      <c r="U562" s="400" t="n">
        <f aca="false">IF(pos_xz&lt;L_rampe,Poids*COS(Beta),0)</f>
        <v>0</v>
      </c>
      <c r="V562" s="396" t="n">
        <f aca="false">Rho_moyen*(20000-Alt_rampe-pos_z)/(20000+Alt_rampe+pos_z)</f>
        <v>1.22613514225264</v>
      </c>
      <c r="W562" s="397" t="n">
        <f aca="false">1/2*Rho*Sref*Cx*vit_xz^2</f>
        <v>62.0217784968619</v>
      </c>
      <c r="Y562" s="401" t="str">
        <f aca="false">IF(AND(pos_z&lt;=0,K561&gt;0),"Impact balistique","") &amp; IF(AND(H563&lt;0,vit_z&gt;=0),"Apogée","") &amp; IF(AND(Poussee=0,Q561&gt;0),"Fin de propulsion","") &amp; IF(AND(L563&gt;L_rampe,pos_xz&lt;=L_rampe),"Sortie de rampe","")</f>
        <v/>
      </c>
      <c r="Z562" s="402" t="str">
        <f aca="false">IF(ABS(t-T_para)&lt;pas/2,"Para","")</f>
        <v/>
      </c>
      <c r="AA562" s="403" t="str">
        <f aca="false">IF(ABS(t-T_satellite)&lt;pas/2,"Satellite","")</f>
        <v/>
      </c>
      <c r="AC562" s="399" t="e">
        <f aca="false">IF(ABS(t-ROUND(t,0))&lt;0.001,t,NA())</f>
        <v>#N/A</v>
      </c>
      <c r="AD562" s="404" t="e">
        <f aca="false">IF(ABS(t-ROUND(t,0))&lt;0.001,pos_x,NA())</f>
        <v>#N/A</v>
      </c>
      <c r="AE562" s="405" t="e">
        <f aca="false">IF(t&lt;T_para, pos_z, NA())</f>
        <v>#N/A</v>
      </c>
      <c r="AG562" s="396" t="n">
        <f aca="false">IF(AND(L561&lt;L_rampe,Poussee&lt;Poids*SIN(M561)),0,(-W561+Poussee)/m-Poids*SIN(M561)/m)</f>
        <v>2.42186470809372</v>
      </c>
      <c r="AH562" s="397" t="n">
        <f aca="false">IF(AND(L561&lt;L_rampe,Poussee&lt;Poids*SIN(M561)), g*SIN(M561), (-W561+Poussee)/m)</f>
        <v>-7.33981631150324</v>
      </c>
    </row>
    <row r="563" customFormat="false" ht="12.75" hidden="false" customHeight="false" outlineLevel="0" collapsed="false">
      <c r="A563" s="396" t="n">
        <f aca="false">IF(B562+0.01&lt;=T_ini+ROUNDUP(Temps_fin_propu,0), 0.01, IF(K562&gt;0, 0.1, 0.0001))</f>
        <v>0.0001</v>
      </c>
      <c r="B563" s="397" t="n">
        <f aca="false">B562+pas</f>
        <v>32.1058000000004</v>
      </c>
      <c r="D563" s="396" t="n">
        <f aca="false">IF(AND(L562&lt;L_rampe,Poussee&lt;Poids*SIN(M562)),0,(-W562+Poussee)/m*COS(M562)-U562/m*SIN(M562))</f>
        <v>-0.727591786761404</v>
      </c>
      <c r="E563" s="398" t="n">
        <f aca="false">IF(AND(L562&lt;L_rampe,Poussee&lt;Poids*SIN(M562)),0,(-W562+Poussee)/m*SIN(M562)+U562/m*COS(M562)-Poids/m)</f>
        <v>-2.50629627366531</v>
      </c>
      <c r="F563" s="397" t="n">
        <f aca="false">SQRT(acc_x^2+acc_z^2)</f>
        <v>2.6097721777104</v>
      </c>
      <c r="G563" s="396" t="n">
        <f aca="false">G562+acc_x*pas</f>
        <v>11.493087057042</v>
      </c>
      <c r="H563" s="398" t="n">
        <f aca="false">H562+acc_z*pas</f>
        <v>-115.370758797029</v>
      </c>
      <c r="I563" s="397" t="n">
        <f aca="false">SQRT(vit_x^2+vit_z^2)</f>
        <v>115.941808833152</v>
      </c>
      <c r="J563" s="396" t="n">
        <f aca="false">J562+0.5*(vit_x+G562)*pas*(K562&gt;=0)</f>
        <v>690.928492655337</v>
      </c>
      <c r="K563" s="398" t="n">
        <f aca="false">K562+0.5*(vit_z+H562)*pas</f>
        <v>-9.27371304925213</v>
      </c>
      <c r="L563" s="397" t="n">
        <f aca="false">SQRT(pos_x^2+pos_z^2)</f>
        <v>690.990726216131</v>
      </c>
      <c r="M563" s="396" t="n">
        <f aca="false">IF(AND(L562&gt;L_rampe,G563&gt;0),ATAN2(G563,H563),$M$4)</f>
        <v>-1.47150519571712</v>
      </c>
      <c r="N563" s="397" t="n">
        <f aca="false">DEGREES(Beta)</f>
        <v>-84.311037246163</v>
      </c>
      <c r="P563" s="399" t="n">
        <f aca="false">MATCH(t-pas/2-T_ini,CdP_t)</f>
        <v>23</v>
      </c>
      <c r="Q563" s="397" t="n">
        <f aca="false">(INDEX(CdP,2,i_P+1)-INDEX(CdP,2,i_P+0))/(INDEX(CdP,1,i_P+1)-INDEX(CdP,1,i_P+0))*(t-pas/2-T_ini-INDEX(CdP,1,i_P+0))+INDEX(CdP,2,i_P+0)</f>
        <v>0</v>
      </c>
      <c r="R563" s="396" t="n">
        <f aca="false">Poussee/(g*ISP)</f>
        <v>0</v>
      </c>
      <c r="S563" s="398" t="n">
        <f aca="false">S562-Débit*pas</f>
        <v>8.45</v>
      </c>
      <c r="T563" s="397" t="n">
        <f aca="false">m*g</f>
        <v>82.8945</v>
      </c>
      <c r="U563" s="400" t="n">
        <f aca="false">IF(pos_xz&lt;L_rampe,Poids*COS(Beta),0)</f>
        <v>0</v>
      </c>
      <c r="V563" s="396" t="n">
        <f aca="false">Rho_moyen*(20000-Alt_rampe-pos_z)/(20000+Alt_rampe+pos_z)</f>
        <v>1.22613655685364</v>
      </c>
      <c r="W563" s="397" t="n">
        <f aca="false">1/2*Rho*Sref*Cx*vit_xz^2</f>
        <v>62.0221091587993</v>
      </c>
      <c r="Y563" s="401" t="str">
        <f aca="false">IF(AND(pos_z&lt;=0,K562&gt;0),"Impact balistique","") &amp; IF(AND(H564&lt;0,vit_z&gt;=0),"Apogée","") &amp; IF(AND(Poussee=0,Q562&gt;0),"Fin de propulsion","") &amp; IF(AND(L564&gt;L_rampe,pos_xz&lt;=L_rampe),"Sortie de rampe","")</f>
        <v/>
      </c>
      <c r="Z563" s="402" t="str">
        <f aca="false">IF(ABS(t-T_para)&lt;pas/2,"Para","")</f>
        <v/>
      </c>
      <c r="AA563" s="403" t="str">
        <f aca="false">IF(ABS(t-T_satellite)&lt;pas/2,"Satellite","")</f>
        <v/>
      </c>
      <c r="AC563" s="399" t="e">
        <f aca="false">IF(ABS(t-ROUND(t,0))&lt;0.001,t,NA())</f>
        <v>#N/A</v>
      </c>
      <c r="AD563" s="404" t="e">
        <f aca="false">IF(ABS(t-ROUND(t,0))&lt;0.001,pos_x,NA())</f>
        <v>#N/A</v>
      </c>
      <c r="AE563" s="405" t="e">
        <f aca="false">IF(t&lt;T_para, pos_z, NA())</f>
        <v>#N/A</v>
      </c>
      <c r="AG563" s="396" t="n">
        <f aca="false">IF(AND(L562&lt;L_rampe,Poussee&lt;Poids*SIN(M562)),0,(-W562+Poussee)/m-Poids*SIN(M562)/m)</f>
        <v>2.42182639183333</v>
      </c>
      <c r="AH563" s="397" t="n">
        <f aca="false">IF(AND(L562&lt;L_rampe,Poussee&lt;Poids*SIN(M562)), g*SIN(M562), (-W562+Poussee)/m)</f>
        <v>-7.33985544341562</v>
      </c>
    </row>
    <row r="564" customFormat="false" ht="12.75" hidden="false" customHeight="false" outlineLevel="0" collapsed="false">
      <c r="A564" s="396" t="n">
        <f aca="false">IF(B563+0.01&lt;=T_ini+ROUNDUP(Temps_fin_propu,0), 0.01, IF(K563&gt;0, 0.1, 0.0001))</f>
        <v>0.0001</v>
      </c>
      <c r="B564" s="397" t="n">
        <f aca="false">B563+pas</f>
        <v>32.1059000000004</v>
      </c>
      <c r="D564" s="396" t="n">
        <f aca="false">IF(AND(L563&lt;L_rampe,Poussee&lt;Poids*SIN(M563)),0,(-W563+Poussee)/m*COS(M563)-U563/m*SIN(M563))</f>
        <v>-0.727589539865206</v>
      </c>
      <c r="E564" s="398" t="n">
        <f aca="false">IF(AND(L563&lt;L_rampe,Poussee&lt;Poids*SIN(M563)),0,(-W563+Poussee)/m*SIN(M563)+U563/m*COS(M563)-Poids/m)</f>
        <v>-2.50625672455016</v>
      </c>
      <c r="F564" s="397" t="n">
        <f aca="false">SQRT(acc_x^2+acc_z^2)</f>
        <v>2.60973357028532</v>
      </c>
      <c r="G564" s="396" t="n">
        <f aca="false">G563+acc_x*pas</f>
        <v>11.493014298088</v>
      </c>
      <c r="H564" s="398" t="n">
        <f aca="false">H563+acc_z*pas</f>
        <v>-115.371009422702</v>
      </c>
      <c r="I564" s="397" t="n">
        <f aca="false">SQRT(vit_x^2+vit_z^2)</f>
        <v>115.942051012</v>
      </c>
      <c r="J564" s="396" t="n">
        <f aca="false">J563+0.5*(vit_x+G563)*pas*(K563&gt;=0)</f>
        <v>690.928492655337</v>
      </c>
      <c r="K564" s="398" t="n">
        <f aca="false">K563+0.5*(vit_z+H563)*pas</f>
        <v>-9.28525013766312</v>
      </c>
      <c r="L564" s="397" t="n">
        <f aca="false">SQRT(pos_x^2+pos_z^2)</f>
        <v>690.990881150464</v>
      </c>
      <c r="M564" s="396" t="n">
        <f aca="false">IF(AND(L563&gt;L_rampe,G564&gt;0),ATAN2(G564,H564),$M$4)</f>
        <v>-1.4715060344519</v>
      </c>
      <c r="N564" s="397" t="n">
        <f aca="false">DEGREES(Beta)</f>
        <v>-84.3110853021262</v>
      </c>
      <c r="P564" s="399" t="n">
        <f aca="false">MATCH(t-pas/2-T_ini,CdP_t)</f>
        <v>23</v>
      </c>
      <c r="Q564" s="397" t="n">
        <f aca="false">(INDEX(CdP,2,i_P+1)-INDEX(CdP,2,i_P+0))/(INDEX(CdP,1,i_P+1)-INDEX(CdP,1,i_P+0))*(t-pas/2-T_ini-INDEX(CdP,1,i_P+0))+INDEX(CdP,2,i_P+0)</f>
        <v>0</v>
      </c>
      <c r="R564" s="396" t="n">
        <f aca="false">Poussee/(g*ISP)</f>
        <v>0</v>
      </c>
      <c r="S564" s="398" t="n">
        <f aca="false">S563-Débit*pas</f>
        <v>8.45</v>
      </c>
      <c r="T564" s="397" t="n">
        <f aca="false">m*g</f>
        <v>82.8945</v>
      </c>
      <c r="U564" s="400" t="n">
        <f aca="false">IF(pos_xz&lt;L_rampe,Poids*COS(Beta),0)</f>
        <v>0</v>
      </c>
      <c r="V564" s="396" t="n">
        <f aca="false">Rho_moyen*(20000-Alt_rampe-pos_z)/(20000+Alt_rampe+pos_z)</f>
        <v>1.22613797145935</v>
      </c>
      <c r="W564" s="397" t="n">
        <f aca="false">1/2*Rho*Sref*Cx*vit_xz^2</f>
        <v>62.0224398180144</v>
      </c>
      <c r="Y564" s="401" t="str">
        <f aca="false">IF(AND(pos_z&lt;=0,K563&gt;0),"Impact balistique","") &amp; IF(AND(H565&lt;0,vit_z&gt;=0),"Apogée","") &amp; IF(AND(Poussee=0,Q563&gt;0),"Fin de propulsion","") &amp; IF(AND(L565&gt;L_rampe,pos_xz&lt;=L_rampe),"Sortie de rampe","")</f>
        <v/>
      </c>
      <c r="Z564" s="402" t="str">
        <f aca="false">IF(ABS(t-T_para)&lt;pas/2,"Para","")</f>
        <v/>
      </c>
      <c r="AA564" s="403" t="str">
        <f aca="false">IF(ABS(t-T_satellite)&lt;pas/2,"Satellite","")</f>
        <v/>
      </c>
      <c r="AC564" s="399" t="e">
        <f aca="false">IF(ABS(t-ROUND(t,0))&lt;0.001,t,NA())</f>
        <v>#N/A</v>
      </c>
      <c r="AD564" s="404" t="e">
        <f aca="false">IF(ABS(t-ROUND(t,0))&lt;0.001,pos_x,NA())</f>
        <v>#N/A</v>
      </c>
      <c r="AE564" s="405" t="e">
        <f aca="false">IF(t&lt;T_para, pos_z, NA())</f>
        <v>#N/A</v>
      </c>
      <c r="AG564" s="396" t="n">
        <f aca="false">IF(AND(L563&lt;L_rampe,Poussee&lt;Poids*SIN(M563)),0,(-W563+Poussee)/m-Poids*SIN(M563)/m)</f>
        <v>2.42178807587966</v>
      </c>
      <c r="AH564" s="397" t="n">
        <f aca="false">IF(AND(L563&lt;L_rampe,Poussee&lt;Poids*SIN(M563)), g*SIN(M563), (-W563+Poussee)/m)</f>
        <v>-7.33989457500583</v>
      </c>
    </row>
    <row r="565" customFormat="false" ht="12.75" hidden="false" customHeight="false" outlineLevel="0" collapsed="false">
      <c r="A565" s="396" t="n">
        <f aca="false">IF(B564+0.01&lt;=T_ini+ROUNDUP(Temps_fin_propu,0), 0.01, IF(K564&gt;0, 0.1, 0.0001))</f>
        <v>0.0001</v>
      </c>
      <c r="B565" s="397" t="n">
        <f aca="false">B564+pas</f>
        <v>32.1060000000004</v>
      </c>
      <c r="D565" s="396" t="n">
        <f aca="false">IF(AND(L564&lt;L_rampe,Poussee&lt;Poids*SIN(M564)),0,(-W564+Poussee)/m*COS(M564)-U564/m*SIN(M564))</f>
        <v>-0.727587292935616</v>
      </c>
      <c r="E565" s="398" t="n">
        <f aca="false">IF(AND(L564&lt;L_rampe,Poussee&lt;Poids*SIN(M564)),0,(-W564+Poussee)/m*SIN(M564)+U564/m*COS(M564)-Poids/m)</f>
        <v>-2.50621717576062</v>
      </c>
      <c r="F565" s="397" t="n">
        <f aca="false">SQRT(acc_x^2+acc_z^2)</f>
        <v>2.60969496319377</v>
      </c>
      <c r="G565" s="396" t="n">
        <f aca="false">G564+acc_x*pas</f>
        <v>11.4929415393587</v>
      </c>
      <c r="H565" s="398" t="n">
        <f aca="false">H564+acc_z*pas</f>
        <v>-115.371260044419</v>
      </c>
      <c r="I565" s="397" t="n">
        <f aca="false">SQRT(vit_x^2+vit_z^2)</f>
        <v>115.942293187017</v>
      </c>
      <c r="J565" s="396" t="n">
        <f aca="false">J564+0.5*(vit_x+G564)*pas*(K564&gt;=0)</f>
        <v>690.928492655337</v>
      </c>
      <c r="K565" s="398" t="n">
        <f aca="false">K564+0.5*(vit_z+H564)*pas</f>
        <v>-9.29678725113647</v>
      </c>
      <c r="L565" s="397" t="n">
        <f aca="false">SQRT(pos_x^2+pos_z^2)</f>
        <v>690.991036277728</v>
      </c>
      <c r="M565" s="396" t="n">
        <f aca="false">IF(AND(L564&gt;L_rampe,G565&gt;0),ATAN2(G565,H565),$M$4)</f>
        <v>-1.47150687317787</v>
      </c>
      <c r="N565" s="397" t="n">
        <f aca="false">DEGREES(Beta)</f>
        <v>-84.3111333575843</v>
      </c>
      <c r="P565" s="399" t="n">
        <f aca="false">MATCH(t-pas/2-T_ini,CdP_t)</f>
        <v>23</v>
      </c>
      <c r="Q565" s="397" t="n">
        <f aca="false">(INDEX(CdP,2,i_P+1)-INDEX(CdP,2,i_P+0))/(INDEX(CdP,1,i_P+1)-INDEX(CdP,1,i_P+0))*(t-pas/2-T_ini-INDEX(CdP,1,i_P+0))+INDEX(CdP,2,i_P+0)</f>
        <v>0</v>
      </c>
      <c r="R565" s="396" t="n">
        <f aca="false">Poussee/(g*ISP)</f>
        <v>0</v>
      </c>
      <c r="S565" s="398" t="n">
        <f aca="false">S564-Débit*pas</f>
        <v>8.45</v>
      </c>
      <c r="T565" s="397" t="n">
        <f aca="false">m*g</f>
        <v>82.8945</v>
      </c>
      <c r="U565" s="400" t="n">
        <f aca="false">IF(pos_xz&lt;L_rampe,Poids*COS(Beta),0)</f>
        <v>0</v>
      </c>
      <c r="V565" s="396" t="n">
        <f aca="false">Rho_moyen*(20000-Alt_rampe-pos_z)/(20000+Alt_rampe+pos_z)</f>
        <v>1.22613938606976</v>
      </c>
      <c r="W565" s="397" t="n">
        <f aca="false">1/2*Rho*Sref*Cx*vit_xz^2</f>
        <v>62.0227704745073</v>
      </c>
      <c r="Y565" s="401" t="str">
        <f aca="false">IF(AND(pos_z&lt;=0,K564&gt;0),"Impact balistique","") &amp; IF(AND(H566&lt;0,vit_z&gt;=0),"Apogée","") &amp; IF(AND(Poussee=0,Q564&gt;0),"Fin de propulsion","") &amp; IF(AND(L566&gt;L_rampe,pos_xz&lt;=L_rampe),"Sortie de rampe","")</f>
        <v/>
      </c>
      <c r="Z565" s="402" t="str">
        <f aca="false">IF(ABS(t-T_para)&lt;pas/2,"Para","")</f>
        <v/>
      </c>
      <c r="AA565" s="403" t="str">
        <f aca="false">IF(ABS(t-T_satellite)&lt;pas/2,"Satellite","")</f>
        <v/>
      </c>
      <c r="AC565" s="399" t="e">
        <f aca="false">IF(ABS(t-ROUND(t,0))&lt;0.001,t,NA())</f>
        <v>#N/A</v>
      </c>
      <c r="AD565" s="404" t="e">
        <f aca="false">IF(ABS(t-ROUND(t,0))&lt;0.001,pos_x,NA())</f>
        <v>#N/A</v>
      </c>
      <c r="AE565" s="405" t="e">
        <f aca="false">IF(t&lt;T_para, pos_z, NA())</f>
        <v>#N/A</v>
      </c>
      <c r="AG565" s="396" t="n">
        <f aca="false">IF(AND(L564&lt;L_rampe,Poussee&lt;Poids*SIN(M564)),0,(-W564+Poussee)/m-Poids*SIN(M564)/m)</f>
        <v>2.42174976023271</v>
      </c>
      <c r="AH565" s="397" t="n">
        <f aca="false">IF(AND(L564&lt;L_rampe,Poussee&lt;Poids*SIN(M564)), g*SIN(M564), (-W564+Poussee)/m)</f>
        <v>-7.33993370627389</v>
      </c>
    </row>
    <row r="566" customFormat="false" ht="12.75" hidden="false" customHeight="false" outlineLevel="0" collapsed="false">
      <c r="A566" s="396" t="n">
        <f aca="false">IF(B565+0.01&lt;=T_ini+ROUNDUP(Temps_fin_propu,0), 0.01, IF(K565&gt;0, 0.1, 0.0001))</f>
        <v>0.0001</v>
      </c>
      <c r="B566" s="397" t="n">
        <f aca="false">B565+pas</f>
        <v>32.1061000000004</v>
      </c>
      <c r="D566" s="396" t="n">
        <f aca="false">IF(AND(L565&lt;L_rampe,Poussee&lt;Poids*SIN(M565)),0,(-W565+Poussee)/m*COS(M565)-U565/m*SIN(M565))</f>
        <v>-0.727585045972633</v>
      </c>
      <c r="E566" s="398" t="n">
        <f aca="false">IF(AND(L565&lt;L_rampe,Poussee&lt;Poids*SIN(M565)),0,(-W565+Poussee)/m*SIN(M565)+U565/m*COS(M565)-Poids/m)</f>
        <v>-2.50617762729669</v>
      </c>
      <c r="F566" s="397" t="n">
        <f aca="false">SQRT(acc_x^2+acc_z^2)</f>
        <v>2.60965635643574</v>
      </c>
      <c r="G566" s="396" t="n">
        <f aca="false">G565+acc_x*pas</f>
        <v>11.4928687808541</v>
      </c>
      <c r="H566" s="398" t="n">
        <f aca="false">H565+acc_z*pas</f>
        <v>-115.371510662182</v>
      </c>
      <c r="I566" s="397" t="n">
        <f aca="false">SQRT(vit_x^2+vit_z^2)</f>
        <v>115.942535358202</v>
      </c>
      <c r="J566" s="396" t="n">
        <f aca="false">J565+0.5*(vit_x+G565)*pas*(K565&gt;=0)</f>
        <v>690.928492655337</v>
      </c>
      <c r="K566" s="398" t="n">
        <f aca="false">K565+0.5*(vit_z+H565)*pas</f>
        <v>-9.3083243896718</v>
      </c>
      <c r="L566" s="397" t="n">
        <f aca="false">SQRT(pos_x^2+pos_z^2)</f>
        <v>690.991191597924</v>
      </c>
      <c r="M566" s="396" t="n">
        <f aca="false">IF(AND(L565&gt;L_rampe,G566&gt;0),ATAN2(G566,H566),$M$4)</f>
        <v>-1.47150771189502</v>
      </c>
      <c r="N566" s="397" t="n">
        <f aca="false">DEGREES(Beta)</f>
        <v>-84.3111814125375</v>
      </c>
      <c r="P566" s="399" t="n">
        <f aca="false">MATCH(t-pas/2-T_ini,CdP_t)</f>
        <v>23</v>
      </c>
      <c r="Q566" s="397" t="n">
        <f aca="false">(INDEX(CdP,2,i_P+1)-INDEX(CdP,2,i_P+0))/(INDEX(CdP,1,i_P+1)-INDEX(CdP,1,i_P+0))*(t-pas/2-T_ini-INDEX(CdP,1,i_P+0))+INDEX(CdP,2,i_P+0)</f>
        <v>0</v>
      </c>
      <c r="R566" s="396" t="n">
        <f aca="false">Poussee/(g*ISP)</f>
        <v>0</v>
      </c>
      <c r="S566" s="398" t="n">
        <f aca="false">S565-Débit*pas</f>
        <v>8.45</v>
      </c>
      <c r="T566" s="397" t="n">
        <f aca="false">m*g</f>
        <v>82.8945</v>
      </c>
      <c r="U566" s="400" t="n">
        <f aca="false">IF(pos_xz&lt;L_rampe,Poids*COS(Beta),0)</f>
        <v>0</v>
      </c>
      <c r="V566" s="396" t="n">
        <f aca="false">Rho_moyen*(20000-Alt_rampe-pos_z)/(20000+Alt_rampe+pos_z)</f>
        <v>1.22614080068488</v>
      </c>
      <c r="W566" s="397" t="n">
        <f aca="false">1/2*Rho*Sref*Cx*vit_xz^2</f>
        <v>62.0231011282779</v>
      </c>
      <c r="Y566" s="401" t="str">
        <f aca="false">IF(AND(pos_z&lt;=0,K565&gt;0),"Impact balistique","") &amp; IF(AND(H567&lt;0,vit_z&gt;=0),"Apogée","") &amp; IF(AND(Poussee=0,Q565&gt;0),"Fin de propulsion","") &amp; IF(AND(L567&gt;L_rampe,pos_xz&lt;=L_rampe),"Sortie de rampe","")</f>
        <v/>
      </c>
      <c r="Z566" s="402" t="str">
        <f aca="false">IF(ABS(t-T_para)&lt;pas/2,"Para","")</f>
        <v/>
      </c>
      <c r="AA566" s="403" t="str">
        <f aca="false">IF(ABS(t-T_satellite)&lt;pas/2,"Satellite","")</f>
        <v/>
      </c>
      <c r="AC566" s="399" t="e">
        <f aca="false">IF(ABS(t-ROUND(t,0))&lt;0.001,t,NA())</f>
        <v>#N/A</v>
      </c>
      <c r="AD566" s="404" t="e">
        <f aca="false">IF(ABS(t-ROUND(t,0))&lt;0.001,pos_x,NA())</f>
        <v>#N/A</v>
      </c>
      <c r="AE566" s="405" t="e">
        <f aca="false">IF(t&lt;T_para, pos_z, NA())</f>
        <v>#N/A</v>
      </c>
      <c r="AG566" s="396" t="n">
        <f aca="false">IF(AND(L565&lt;L_rampe,Poussee&lt;Poids*SIN(M565)),0,(-W565+Poussee)/m-Poids*SIN(M565)/m)</f>
        <v>2.42171144489248</v>
      </c>
      <c r="AH566" s="397" t="n">
        <f aca="false">IF(AND(L565&lt;L_rampe,Poussee&lt;Poids*SIN(M565)), g*SIN(M565), (-W565+Poussee)/m)</f>
        <v>-7.33997283721979</v>
      </c>
    </row>
    <row r="567" customFormat="false" ht="12.75" hidden="false" customHeight="false" outlineLevel="0" collapsed="false">
      <c r="A567" s="396" t="n">
        <f aca="false">IF(B566+0.01&lt;=T_ini+ROUNDUP(Temps_fin_propu,0), 0.01, IF(K566&gt;0, 0.1, 0.0001))</f>
        <v>0.0001</v>
      </c>
      <c r="B567" s="397" t="n">
        <f aca="false">B566+pas</f>
        <v>32.1062000000004</v>
      </c>
      <c r="D567" s="396" t="n">
        <f aca="false">IF(AND(L566&lt;L_rampe,Poussee&lt;Poids*SIN(M566)),0,(-W566+Poussee)/m*COS(M566)-U566/m*SIN(M566))</f>
        <v>-0.727582798976261</v>
      </c>
      <c r="E567" s="398" t="n">
        <f aca="false">IF(AND(L566&lt;L_rampe,Poussee&lt;Poids*SIN(M566)),0,(-W566+Poussee)/m*SIN(M566)+U566/m*COS(M566)-Poids/m)</f>
        <v>-2.50613807915838</v>
      </c>
      <c r="F567" s="397" t="n">
        <f aca="false">SQRT(acc_x^2+acc_z^2)</f>
        <v>2.60961775001126</v>
      </c>
      <c r="G567" s="396" t="n">
        <f aca="false">G566+acc_x*pas</f>
        <v>11.4927960225742</v>
      </c>
      <c r="H567" s="398" t="n">
        <f aca="false">H566+acc_z*pas</f>
        <v>-115.37176127599</v>
      </c>
      <c r="I567" s="397" t="n">
        <f aca="false">SQRT(vit_x^2+vit_z^2)</f>
        <v>115.942777525556</v>
      </c>
      <c r="J567" s="396" t="n">
        <f aca="false">J566+0.5*(vit_x+G566)*pas*(K566&gt;=0)</f>
        <v>690.928492655337</v>
      </c>
      <c r="K567" s="398" t="n">
        <f aca="false">K566+0.5*(vit_z+H566)*pas</f>
        <v>-9.31986155326871</v>
      </c>
      <c r="L567" s="397" t="n">
        <f aca="false">SQRT(pos_x^2+pos_z^2)</f>
        <v>690.991347111053</v>
      </c>
      <c r="M567" s="396" t="n">
        <f aca="false">IF(AND(L566&gt;L_rampe,G567&gt;0),ATAN2(G567,H567),$M$4)</f>
        <v>-1.47150855060336</v>
      </c>
      <c r="N567" s="397" t="n">
        <f aca="false">DEGREES(Beta)</f>
        <v>-84.3112294669857</v>
      </c>
      <c r="P567" s="399" t="n">
        <f aca="false">MATCH(t-pas/2-T_ini,CdP_t)</f>
        <v>23</v>
      </c>
      <c r="Q567" s="397" t="n">
        <f aca="false">(INDEX(CdP,2,i_P+1)-INDEX(CdP,2,i_P+0))/(INDEX(CdP,1,i_P+1)-INDEX(CdP,1,i_P+0))*(t-pas/2-T_ini-INDEX(CdP,1,i_P+0))+INDEX(CdP,2,i_P+0)</f>
        <v>0</v>
      </c>
      <c r="R567" s="396" t="n">
        <f aca="false">Poussee/(g*ISP)</f>
        <v>0</v>
      </c>
      <c r="S567" s="398" t="n">
        <f aca="false">S566-Débit*pas</f>
        <v>8.45</v>
      </c>
      <c r="T567" s="397" t="n">
        <f aca="false">m*g</f>
        <v>82.8945</v>
      </c>
      <c r="U567" s="400" t="n">
        <f aca="false">IF(pos_xz&lt;L_rampe,Poids*COS(Beta),0)</f>
        <v>0</v>
      </c>
      <c r="V567" s="396" t="n">
        <f aca="false">Rho_moyen*(20000-Alt_rampe-pos_z)/(20000+Alt_rampe+pos_z)</f>
        <v>1.2261422153047</v>
      </c>
      <c r="W567" s="397" t="n">
        <f aca="false">1/2*Rho*Sref*Cx*vit_xz^2</f>
        <v>62.0234317793262</v>
      </c>
      <c r="Y567" s="401" t="str">
        <f aca="false">IF(AND(pos_z&lt;=0,K566&gt;0),"Impact balistique","") &amp; IF(AND(H568&lt;0,vit_z&gt;=0),"Apogée","") &amp; IF(AND(Poussee=0,Q566&gt;0),"Fin de propulsion","") &amp; IF(AND(L568&gt;L_rampe,pos_xz&lt;=L_rampe),"Sortie de rampe","")</f>
        <v/>
      </c>
      <c r="Z567" s="402" t="str">
        <f aca="false">IF(ABS(t-T_para)&lt;pas/2,"Para","")</f>
        <v/>
      </c>
      <c r="AA567" s="403" t="str">
        <f aca="false">IF(ABS(t-T_satellite)&lt;pas/2,"Satellite","")</f>
        <v/>
      </c>
      <c r="AC567" s="399" t="e">
        <f aca="false">IF(ABS(t-ROUND(t,0))&lt;0.001,t,NA())</f>
        <v>#N/A</v>
      </c>
      <c r="AD567" s="404" t="e">
        <f aca="false">IF(ABS(t-ROUND(t,0))&lt;0.001,pos_x,NA())</f>
        <v>#N/A</v>
      </c>
      <c r="AE567" s="405" t="e">
        <f aca="false">IF(t&lt;T_para, pos_z, NA())</f>
        <v>#N/A</v>
      </c>
      <c r="AG567" s="396" t="n">
        <f aca="false">IF(AND(L566&lt;L_rampe,Poussee&lt;Poids*SIN(M566)),0,(-W566+Poussee)/m-Poids*SIN(M566)/m)</f>
        <v>2.42167312985897</v>
      </c>
      <c r="AH567" s="397" t="n">
        <f aca="false">IF(AND(L566&lt;L_rampe,Poussee&lt;Poids*SIN(M566)), g*SIN(M566), (-W566+Poussee)/m)</f>
        <v>-7.34001196784353</v>
      </c>
    </row>
    <row r="568" customFormat="false" ht="12.75" hidden="false" customHeight="false" outlineLevel="0" collapsed="false">
      <c r="A568" s="396" t="n">
        <f aca="false">IF(B567+0.01&lt;=T_ini+ROUNDUP(Temps_fin_propu,0), 0.01, IF(K567&gt;0, 0.1, 0.0001))</f>
        <v>0.0001</v>
      </c>
      <c r="B568" s="397" t="n">
        <f aca="false">B567+pas</f>
        <v>32.1063000000004</v>
      </c>
      <c r="D568" s="396" t="n">
        <f aca="false">IF(AND(L567&lt;L_rampe,Poussee&lt;Poids*SIN(M567)),0,(-W567+Poussee)/m*COS(M567)-U567/m*SIN(M567))</f>
        <v>-0.727580551946498</v>
      </c>
      <c r="E568" s="398" t="n">
        <f aca="false">IF(AND(L567&lt;L_rampe,Poussee&lt;Poids*SIN(M567)),0,(-W567+Poussee)/m*SIN(M567)+U567/m*COS(M567)-Poids/m)</f>
        <v>-2.50609853134569</v>
      </c>
      <c r="F568" s="397" t="n">
        <f aca="false">SQRT(acc_x^2+acc_z^2)</f>
        <v>2.6095791439203</v>
      </c>
      <c r="G568" s="396" t="n">
        <f aca="false">G567+acc_x*pas</f>
        <v>11.492723264519</v>
      </c>
      <c r="H568" s="398" t="n">
        <f aca="false">H567+acc_z*pas</f>
        <v>-115.372011885843</v>
      </c>
      <c r="I568" s="397" t="n">
        <f aca="false">SQRT(vit_x^2+vit_z^2)</f>
        <v>115.943019689078</v>
      </c>
      <c r="J568" s="396" t="n">
        <f aca="false">J567+0.5*(vit_x+G567)*pas*(K567&gt;=0)</f>
        <v>690.928492655337</v>
      </c>
      <c r="K568" s="398" t="n">
        <f aca="false">K567+0.5*(vit_z+H567)*pas</f>
        <v>-9.3313987419268</v>
      </c>
      <c r="L568" s="397" t="n">
        <f aca="false">SQRT(pos_x^2+pos_z^2)</f>
        <v>690.991502817116</v>
      </c>
      <c r="M568" s="396" t="n">
        <f aca="false">IF(AND(L567&gt;L_rampe,G568&gt;0),ATAN2(G568,H568),$M$4)</f>
        <v>-1.47150938930289</v>
      </c>
      <c r="N568" s="397" t="n">
        <f aca="false">DEGREES(Beta)</f>
        <v>-84.311277520929</v>
      </c>
      <c r="P568" s="399" t="n">
        <f aca="false">MATCH(t-pas/2-T_ini,CdP_t)</f>
        <v>23</v>
      </c>
      <c r="Q568" s="397" t="n">
        <f aca="false">(INDEX(CdP,2,i_P+1)-INDEX(CdP,2,i_P+0))/(INDEX(CdP,1,i_P+1)-INDEX(CdP,1,i_P+0))*(t-pas/2-T_ini-INDEX(CdP,1,i_P+0))+INDEX(CdP,2,i_P+0)</f>
        <v>0</v>
      </c>
      <c r="R568" s="396" t="n">
        <f aca="false">Poussee/(g*ISP)</f>
        <v>0</v>
      </c>
      <c r="S568" s="398" t="n">
        <f aca="false">S567-Débit*pas</f>
        <v>8.45</v>
      </c>
      <c r="T568" s="397" t="n">
        <f aca="false">m*g</f>
        <v>82.8945</v>
      </c>
      <c r="U568" s="400" t="n">
        <f aca="false">IF(pos_xz&lt;L_rampe,Poids*COS(Beta),0)</f>
        <v>0</v>
      </c>
      <c r="V568" s="396" t="n">
        <f aca="false">Rho_moyen*(20000-Alt_rampe-pos_z)/(20000+Alt_rampe+pos_z)</f>
        <v>1.22614362992923</v>
      </c>
      <c r="W568" s="397" t="n">
        <f aca="false">1/2*Rho*Sref*Cx*vit_xz^2</f>
        <v>62.0237624276524</v>
      </c>
      <c r="Y568" s="401" t="str">
        <f aca="false">IF(AND(pos_z&lt;=0,K567&gt;0),"Impact balistique","") &amp; IF(AND(H569&lt;0,vit_z&gt;=0),"Apogée","") &amp; IF(AND(Poussee=0,Q567&gt;0),"Fin de propulsion","") &amp; IF(AND(L569&gt;L_rampe,pos_xz&lt;=L_rampe),"Sortie de rampe","")</f>
        <v/>
      </c>
      <c r="Z568" s="402" t="str">
        <f aca="false">IF(ABS(t-T_para)&lt;pas/2,"Para","")</f>
        <v/>
      </c>
      <c r="AA568" s="403" t="str">
        <f aca="false">IF(ABS(t-T_satellite)&lt;pas/2,"Satellite","")</f>
        <v/>
      </c>
      <c r="AC568" s="399" t="e">
        <f aca="false">IF(ABS(t-ROUND(t,0))&lt;0.001,t,NA())</f>
        <v>#N/A</v>
      </c>
      <c r="AD568" s="404" t="e">
        <f aca="false">IF(ABS(t-ROUND(t,0))&lt;0.001,pos_x,NA())</f>
        <v>#N/A</v>
      </c>
      <c r="AE568" s="405" t="e">
        <f aca="false">IF(t&lt;T_para, pos_z, NA())</f>
        <v>#N/A</v>
      </c>
      <c r="AG568" s="396" t="n">
        <f aca="false">IF(AND(L567&lt;L_rampe,Poussee&lt;Poids*SIN(M567)),0,(-W567+Poussee)/m-Poids*SIN(M567)/m)</f>
        <v>2.42163481513218</v>
      </c>
      <c r="AH568" s="397" t="n">
        <f aca="false">IF(AND(L567&lt;L_rampe,Poussee&lt;Poids*SIN(M567)), g*SIN(M567), (-W567+Poussee)/m)</f>
        <v>-7.34005109814512</v>
      </c>
    </row>
    <row r="569" customFormat="false" ht="12.75" hidden="false" customHeight="false" outlineLevel="0" collapsed="false">
      <c r="A569" s="396" t="n">
        <f aca="false">IF(B568+0.01&lt;=T_ini+ROUNDUP(Temps_fin_propu,0), 0.01, IF(K568&gt;0, 0.1, 0.0001))</f>
        <v>0.0001</v>
      </c>
      <c r="B569" s="397" t="n">
        <f aca="false">B568+pas</f>
        <v>32.1064000000004</v>
      </c>
      <c r="D569" s="396" t="n">
        <f aca="false">IF(AND(L568&lt;L_rampe,Poussee&lt;Poids*SIN(M568)),0,(-W568+Poussee)/m*COS(M568)-U568/m*SIN(M568))</f>
        <v>-0.727578304883346</v>
      </c>
      <c r="E569" s="398" t="n">
        <f aca="false">IF(AND(L568&lt;L_rampe,Poussee&lt;Poids*SIN(M568)),0,(-W568+Poussee)/m*SIN(M568)+U568/m*COS(M568)-Poids/m)</f>
        <v>-2.50605898385861</v>
      </c>
      <c r="F569" s="397" t="n">
        <f aca="false">SQRT(acc_x^2+acc_z^2)</f>
        <v>2.60954053816288</v>
      </c>
      <c r="G569" s="396" t="n">
        <f aca="false">G568+acc_x*pas</f>
        <v>11.4926505066886</v>
      </c>
      <c r="H569" s="398" t="n">
        <f aca="false">H568+acc_z*pas</f>
        <v>-115.372262491742</v>
      </c>
      <c r="I569" s="397" t="n">
        <f aca="false">SQRT(vit_x^2+vit_z^2)</f>
        <v>115.943261848769</v>
      </c>
      <c r="J569" s="396" t="n">
        <f aca="false">J568+0.5*(vit_x+G568)*pas*(K568&gt;=0)</f>
        <v>690.928492655337</v>
      </c>
      <c r="K569" s="398" t="n">
        <f aca="false">K568+0.5*(vit_z+H568)*pas</f>
        <v>-9.34293595564568</v>
      </c>
      <c r="L569" s="397" t="n">
        <f aca="false">SQRT(pos_x^2+pos_z^2)</f>
        <v>690.991658716114</v>
      </c>
      <c r="M569" s="396" t="n">
        <f aca="false">IF(AND(L568&gt;L_rampe,G569&gt;0),ATAN2(G569,H569),$M$4)</f>
        <v>-1.47151022799361</v>
      </c>
      <c r="N569" s="397" t="n">
        <f aca="false">DEGREES(Beta)</f>
        <v>-84.3113255743673</v>
      </c>
      <c r="P569" s="399" t="n">
        <f aca="false">MATCH(t-pas/2-T_ini,CdP_t)</f>
        <v>23</v>
      </c>
      <c r="Q569" s="397" t="n">
        <f aca="false">(INDEX(CdP,2,i_P+1)-INDEX(CdP,2,i_P+0))/(INDEX(CdP,1,i_P+1)-INDEX(CdP,1,i_P+0))*(t-pas/2-T_ini-INDEX(CdP,1,i_P+0))+INDEX(CdP,2,i_P+0)</f>
        <v>0</v>
      </c>
      <c r="R569" s="396" t="n">
        <f aca="false">Poussee/(g*ISP)</f>
        <v>0</v>
      </c>
      <c r="S569" s="398" t="n">
        <f aca="false">S568-Débit*pas</f>
        <v>8.45</v>
      </c>
      <c r="T569" s="397" t="n">
        <f aca="false">m*g</f>
        <v>82.8945</v>
      </c>
      <c r="U569" s="400" t="n">
        <f aca="false">IF(pos_xz&lt;L_rampe,Poids*COS(Beta),0)</f>
        <v>0</v>
      </c>
      <c r="V569" s="396" t="n">
        <f aca="false">Rho_moyen*(20000-Alt_rampe-pos_z)/(20000+Alt_rampe+pos_z)</f>
        <v>1.22614504455847</v>
      </c>
      <c r="W569" s="397" t="n">
        <f aca="false">1/2*Rho*Sref*Cx*vit_xz^2</f>
        <v>62.0240930732562</v>
      </c>
      <c r="Y569" s="401" t="str">
        <f aca="false">IF(AND(pos_z&lt;=0,K568&gt;0),"Impact balistique","") &amp; IF(AND(H570&lt;0,vit_z&gt;=0),"Apogée","") &amp; IF(AND(Poussee=0,Q568&gt;0),"Fin de propulsion","") &amp; IF(AND(L570&gt;L_rampe,pos_xz&lt;=L_rampe),"Sortie de rampe","")</f>
        <v/>
      </c>
      <c r="Z569" s="402" t="str">
        <f aca="false">IF(ABS(t-T_para)&lt;pas/2,"Para","")</f>
        <v/>
      </c>
      <c r="AA569" s="403" t="str">
        <f aca="false">IF(ABS(t-T_satellite)&lt;pas/2,"Satellite","")</f>
        <v/>
      </c>
      <c r="AC569" s="399" t="e">
        <f aca="false">IF(ABS(t-ROUND(t,0))&lt;0.001,t,NA())</f>
        <v>#N/A</v>
      </c>
      <c r="AD569" s="404" t="e">
        <f aca="false">IF(ABS(t-ROUND(t,0))&lt;0.001,pos_x,NA())</f>
        <v>#N/A</v>
      </c>
      <c r="AE569" s="405" t="e">
        <f aca="false">IF(t&lt;T_para, pos_z, NA())</f>
        <v>#N/A</v>
      </c>
      <c r="AG569" s="396" t="n">
        <f aca="false">IF(AND(L568&lt;L_rampe,Poussee&lt;Poids*SIN(M568)),0,(-W568+Poussee)/m-Poids*SIN(M568)/m)</f>
        <v>2.42159650071212</v>
      </c>
      <c r="AH569" s="397" t="n">
        <f aca="false">IF(AND(L568&lt;L_rampe,Poussee&lt;Poids*SIN(M568)), g*SIN(M568), (-W568+Poussee)/m)</f>
        <v>-7.34009022812454</v>
      </c>
    </row>
    <row r="570" customFormat="false" ht="12.75" hidden="false" customHeight="false" outlineLevel="0" collapsed="false">
      <c r="A570" s="396" t="n">
        <f aca="false">IF(B569+0.01&lt;=T_ini+ROUNDUP(Temps_fin_propu,0), 0.01, IF(K569&gt;0, 0.1, 0.0001))</f>
        <v>0.0001</v>
      </c>
      <c r="B570" s="397" t="n">
        <f aca="false">B569+pas</f>
        <v>32.1065000000004</v>
      </c>
      <c r="D570" s="396" t="n">
        <f aca="false">IF(AND(L569&lt;L_rampe,Poussee&lt;Poids*SIN(M569)),0,(-W569+Poussee)/m*COS(M569)-U569/m*SIN(M569))</f>
        <v>-0.727576057786804</v>
      </c>
      <c r="E570" s="398" t="n">
        <f aca="false">IF(AND(L569&lt;L_rampe,Poussee&lt;Poids*SIN(M569)),0,(-W569+Poussee)/m*SIN(M569)+U569/m*COS(M569)-Poids/m)</f>
        <v>-2.50601943669716</v>
      </c>
      <c r="F570" s="397" t="n">
        <f aca="false">SQRT(acc_x^2+acc_z^2)</f>
        <v>2.60950193273899</v>
      </c>
      <c r="G570" s="396" t="n">
        <f aca="false">G569+acc_x*pas</f>
        <v>11.4925777490828</v>
      </c>
      <c r="H570" s="398" t="n">
        <f aca="false">H569+acc_z*pas</f>
        <v>-115.372513093685</v>
      </c>
      <c r="I570" s="397" t="n">
        <f aca="false">SQRT(vit_x^2+vit_z^2)</f>
        <v>115.943504004628</v>
      </c>
      <c r="J570" s="396" t="n">
        <f aca="false">J569+0.5*(vit_x+G569)*pas*(K569&gt;=0)</f>
        <v>690.928492655337</v>
      </c>
      <c r="K570" s="398" t="n">
        <f aca="false">K569+0.5*(vit_z+H569)*pas</f>
        <v>-9.35447319442495</v>
      </c>
      <c r="L570" s="397" t="n">
        <f aca="false">SQRT(pos_x^2+pos_z^2)</f>
        <v>690.991814808049</v>
      </c>
      <c r="M570" s="396" t="n">
        <f aca="false">IF(AND(L569&gt;L_rampe,G570&gt;0),ATAN2(G570,H570),$M$4)</f>
        <v>-1.47151106667551</v>
      </c>
      <c r="N570" s="397" t="n">
        <f aca="false">DEGREES(Beta)</f>
        <v>-84.3113736273007</v>
      </c>
      <c r="P570" s="399" t="n">
        <f aca="false">MATCH(t-pas/2-T_ini,CdP_t)</f>
        <v>23</v>
      </c>
      <c r="Q570" s="397" t="n">
        <f aca="false">(INDEX(CdP,2,i_P+1)-INDEX(CdP,2,i_P+0))/(INDEX(CdP,1,i_P+1)-INDEX(CdP,1,i_P+0))*(t-pas/2-T_ini-INDEX(CdP,1,i_P+0))+INDEX(CdP,2,i_P+0)</f>
        <v>0</v>
      </c>
      <c r="R570" s="396" t="n">
        <f aca="false">Poussee/(g*ISP)</f>
        <v>0</v>
      </c>
      <c r="S570" s="398" t="n">
        <f aca="false">S569-Débit*pas</f>
        <v>8.45</v>
      </c>
      <c r="T570" s="397" t="n">
        <f aca="false">m*g</f>
        <v>82.8945</v>
      </c>
      <c r="U570" s="400" t="n">
        <f aca="false">IF(pos_xz&lt;L_rampe,Poids*COS(Beta),0)</f>
        <v>0</v>
      </c>
      <c r="V570" s="396" t="n">
        <f aca="false">Rho_moyen*(20000-Alt_rampe-pos_z)/(20000+Alt_rampe+pos_z)</f>
        <v>1.22614645919241</v>
      </c>
      <c r="W570" s="397" t="n">
        <f aca="false">1/2*Rho*Sref*Cx*vit_xz^2</f>
        <v>62.0244237161378</v>
      </c>
      <c r="Y570" s="401" t="str">
        <f aca="false">IF(AND(pos_z&lt;=0,K569&gt;0),"Impact balistique","") &amp; IF(AND(H571&lt;0,vit_z&gt;=0),"Apogée","") &amp; IF(AND(Poussee=0,Q569&gt;0),"Fin de propulsion","") &amp; IF(AND(L571&gt;L_rampe,pos_xz&lt;=L_rampe),"Sortie de rampe","")</f>
        <v/>
      </c>
      <c r="Z570" s="402" t="str">
        <f aca="false">IF(ABS(t-T_para)&lt;pas/2,"Para","")</f>
        <v/>
      </c>
      <c r="AA570" s="403" t="str">
        <f aca="false">IF(ABS(t-T_satellite)&lt;pas/2,"Satellite","")</f>
        <v/>
      </c>
      <c r="AC570" s="399" t="e">
        <f aca="false">IF(ABS(t-ROUND(t,0))&lt;0.001,t,NA())</f>
        <v>#N/A</v>
      </c>
      <c r="AD570" s="404" t="e">
        <f aca="false">IF(ABS(t-ROUND(t,0))&lt;0.001,pos_x,NA())</f>
        <v>#N/A</v>
      </c>
      <c r="AE570" s="405" t="e">
        <f aca="false">IF(t&lt;T_para, pos_z, NA())</f>
        <v>#N/A</v>
      </c>
      <c r="AG570" s="396" t="n">
        <f aca="false">IF(AND(L569&lt;L_rampe,Poussee&lt;Poids*SIN(M569)),0,(-W569+Poussee)/m-Poids*SIN(M569)/m)</f>
        <v>2.42155818659878</v>
      </c>
      <c r="AH570" s="397" t="n">
        <f aca="false">IF(AND(L569&lt;L_rampe,Poussee&lt;Poids*SIN(M569)), g*SIN(M569), (-W569+Poussee)/m)</f>
        <v>-7.3401293577818</v>
      </c>
    </row>
    <row r="571" customFormat="false" ht="12.75" hidden="false" customHeight="false" outlineLevel="0" collapsed="false">
      <c r="A571" s="396" t="n">
        <f aca="false">IF(B570+0.01&lt;=T_ini+ROUNDUP(Temps_fin_propu,0), 0.01, IF(K570&gt;0, 0.1, 0.0001))</f>
        <v>0.0001</v>
      </c>
      <c r="B571" s="397" t="n">
        <f aca="false">B570+pas</f>
        <v>32.1066000000004</v>
      </c>
      <c r="D571" s="396" t="n">
        <f aca="false">IF(AND(L570&lt;L_rampe,Poussee&lt;Poids*SIN(M570)),0,(-W570+Poussee)/m*COS(M570)-U570/m*SIN(M570))</f>
        <v>-0.727573810656877</v>
      </c>
      <c r="E571" s="398" t="n">
        <f aca="false">IF(AND(L570&lt;L_rampe,Poussee&lt;Poids*SIN(M570)),0,(-W570+Poussee)/m*SIN(M570)+U570/m*COS(M570)-Poids/m)</f>
        <v>-2.50597988986132</v>
      </c>
      <c r="F571" s="397" t="n">
        <f aca="false">SQRT(acc_x^2+acc_z^2)</f>
        <v>2.60946332764864</v>
      </c>
      <c r="G571" s="396" t="n">
        <f aca="false">G570+acc_x*pas</f>
        <v>11.4925049917017</v>
      </c>
      <c r="H571" s="398" t="n">
        <f aca="false">H570+acc_z*pas</f>
        <v>-115.372763691674</v>
      </c>
      <c r="I571" s="397" t="n">
        <f aca="false">SQRT(vit_x^2+vit_z^2)</f>
        <v>115.943746156657</v>
      </c>
      <c r="J571" s="396" t="n">
        <f aca="false">J570+0.5*(vit_x+G570)*pas*(K570&gt;=0)</f>
        <v>690.928492655337</v>
      </c>
      <c r="K571" s="398" t="n">
        <f aca="false">K570+0.5*(vit_z+H570)*pas</f>
        <v>-9.36601045826422</v>
      </c>
      <c r="L571" s="397" t="n">
        <f aca="false">SQRT(pos_x^2+pos_z^2)</f>
        <v>690.991971092921</v>
      </c>
      <c r="M571" s="396" t="n">
        <f aca="false">IF(AND(L570&gt;L_rampe,G571&gt;0),ATAN2(G571,H571),$M$4)</f>
        <v>-1.4715119053486</v>
      </c>
      <c r="N571" s="397" t="n">
        <f aca="false">DEGREES(Beta)</f>
        <v>-84.3114216797291</v>
      </c>
      <c r="P571" s="399" t="n">
        <f aca="false">MATCH(t-pas/2-T_ini,CdP_t)</f>
        <v>23</v>
      </c>
      <c r="Q571" s="397" t="n">
        <f aca="false">(INDEX(CdP,2,i_P+1)-INDEX(CdP,2,i_P+0))/(INDEX(CdP,1,i_P+1)-INDEX(CdP,1,i_P+0))*(t-pas/2-T_ini-INDEX(CdP,1,i_P+0))+INDEX(CdP,2,i_P+0)</f>
        <v>0</v>
      </c>
      <c r="R571" s="396" t="n">
        <f aca="false">Poussee/(g*ISP)</f>
        <v>0</v>
      </c>
      <c r="S571" s="398" t="n">
        <f aca="false">S570-Débit*pas</f>
        <v>8.45</v>
      </c>
      <c r="T571" s="397" t="n">
        <f aca="false">m*g</f>
        <v>82.8945</v>
      </c>
      <c r="U571" s="400" t="n">
        <f aca="false">IF(pos_xz&lt;L_rampe,Poids*COS(Beta),0)</f>
        <v>0</v>
      </c>
      <c r="V571" s="396" t="n">
        <f aca="false">Rho_moyen*(20000-Alt_rampe-pos_z)/(20000+Alt_rampe+pos_z)</f>
        <v>1.22614787383105</v>
      </c>
      <c r="W571" s="397" t="n">
        <f aca="false">1/2*Rho*Sref*Cx*vit_xz^2</f>
        <v>62.0247543562971</v>
      </c>
      <c r="Y571" s="401" t="str">
        <f aca="false">IF(AND(pos_z&lt;=0,K570&gt;0),"Impact balistique","") &amp; IF(AND(H572&lt;0,vit_z&gt;=0),"Apogée","") &amp; IF(AND(Poussee=0,Q570&gt;0),"Fin de propulsion","") &amp; IF(AND(L572&gt;L_rampe,pos_xz&lt;=L_rampe),"Sortie de rampe","")</f>
        <v/>
      </c>
      <c r="Z571" s="402" t="str">
        <f aca="false">IF(ABS(t-T_para)&lt;pas/2,"Para","")</f>
        <v/>
      </c>
      <c r="AA571" s="403" t="str">
        <f aca="false">IF(ABS(t-T_satellite)&lt;pas/2,"Satellite","")</f>
        <v/>
      </c>
      <c r="AC571" s="399" t="e">
        <f aca="false">IF(ABS(t-ROUND(t,0))&lt;0.001,t,NA())</f>
        <v>#N/A</v>
      </c>
      <c r="AD571" s="404" t="e">
        <f aca="false">IF(ABS(t-ROUND(t,0))&lt;0.001,pos_x,NA())</f>
        <v>#N/A</v>
      </c>
      <c r="AE571" s="405" t="e">
        <f aca="false">IF(t&lt;T_para, pos_z, NA())</f>
        <v>#N/A</v>
      </c>
      <c r="AG571" s="396" t="n">
        <f aca="false">IF(AND(L570&lt;L_rampe,Poussee&lt;Poids*SIN(M570)),0,(-W570+Poussee)/m-Poids*SIN(M570)/m)</f>
        <v>2.42151987279217</v>
      </c>
      <c r="AH571" s="397" t="n">
        <f aca="false">IF(AND(L570&lt;L_rampe,Poussee&lt;Poids*SIN(M570)), g*SIN(M570), (-W570+Poussee)/m)</f>
        <v>-7.3401684871169</v>
      </c>
    </row>
    <row r="572" customFormat="false" ht="12.75" hidden="false" customHeight="false" outlineLevel="0" collapsed="false">
      <c r="A572" s="396" t="n">
        <f aca="false">IF(B571+0.01&lt;=T_ini+ROUNDUP(Temps_fin_propu,0), 0.01, IF(K571&gt;0, 0.1, 0.0001))</f>
        <v>0.0001</v>
      </c>
      <c r="B572" s="397" t="n">
        <f aca="false">B571+pas</f>
        <v>32.1067000000004</v>
      </c>
      <c r="D572" s="396" t="n">
        <f aca="false">IF(AND(L571&lt;L_rampe,Poussee&lt;Poids*SIN(M571)),0,(-W571+Poussee)/m*COS(M571)-U571/m*SIN(M571))</f>
        <v>-0.727571563493561</v>
      </c>
      <c r="E572" s="398" t="n">
        <f aca="false">IF(AND(L571&lt;L_rampe,Poussee&lt;Poids*SIN(M571)),0,(-W571+Poussee)/m*SIN(M571)+U571/m*COS(M571)-Poids/m)</f>
        <v>-2.5059403433511</v>
      </c>
      <c r="F572" s="397" t="n">
        <f aca="false">SQRT(acc_x^2+acc_z^2)</f>
        <v>2.60942472289183</v>
      </c>
      <c r="G572" s="396" t="n">
        <f aca="false">G571+acc_x*pas</f>
        <v>11.4924322345454</v>
      </c>
      <c r="H572" s="398" t="n">
        <f aca="false">H571+acc_z*pas</f>
        <v>-115.373014285709</v>
      </c>
      <c r="I572" s="397" t="n">
        <f aca="false">SQRT(vit_x^2+vit_z^2)</f>
        <v>115.943988304853</v>
      </c>
      <c r="J572" s="396" t="n">
        <f aca="false">J571+0.5*(vit_x+G571)*pas*(K571&gt;=0)</f>
        <v>690.928492655337</v>
      </c>
      <c r="K572" s="398" t="n">
        <f aca="false">K571+0.5*(vit_z+H571)*pas</f>
        <v>-9.37754774716309</v>
      </c>
      <c r="L572" s="397" t="n">
        <f aca="false">SQRT(pos_x^2+pos_z^2)</f>
        <v>690.992127570731</v>
      </c>
      <c r="M572" s="396" t="n">
        <f aca="false">IF(AND(L571&gt;L_rampe,G572&gt;0),ATAN2(G572,H572),$M$4)</f>
        <v>-1.47151274401288</v>
      </c>
      <c r="N572" s="397" t="n">
        <f aca="false">DEGREES(Beta)</f>
        <v>-84.3114697316526</v>
      </c>
      <c r="P572" s="399" t="n">
        <f aca="false">MATCH(t-pas/2-T_ini,CdP_t)</f>
        <v>23</v>
      </c>
      <c r="Q572" s="397" t="n">
        <f aca="false">(INDEX(CdP,2,i_P+1)-INDEX(CdP,2,i_P+0))/(INDEX(CdP,1,i_P+1)-INDEX(CdP,1,i_P+0))*(t-pas/2-T_ini-INDEX(CdP,1,i_P+0))+INDEX(CdP,2,i_P+0)</f>
        <v>0</v>
      </c>
      <c r="R572" s="396" t="n">
        <f aca="false">Poussee/(g*ISP)</f>
        <v>0</v>
      </c>
      <c r="S572" s="398" t="n">
        <f aca="false">S571-Débit*pas</f>
        <v>8.45</v>
      </c>
      <c r="T572" s="397" t="n">
        <f aca="false">m*g</f>
        <v>82.8945</v>
      </c>
      <c r="U572" s="400" t="n">
        <f aca="false">IF(pos_xz&lt;L_rampe,Poids*COS(Beta),0)</f>
        <v>0</v>
      </c>
      <c r="V572" s="396" t="n">
        <f aca="false">Rho_moyen*(20000-Alt_rampe-pos_z)/(20000+Alt_rampe+pos_z)</f>
        <v>1.22614928847441</v>
      </c>
      <c r="W572" s="397" t="n">
        <f aca="false">1/2*Rho*Sref*Cx*vit_xz^2</f>
        <v>62.0250849937342</v>
      </c>
      <c r="Y572" s="401" t="str">
        <f aca="false">IF(AND(pos_z&lt;=0,K571&gt;0),"Impact balistique","") &amp; IF(AND(H573&lt;0,vit_z&gt;=0),"Apogée","") &amp; IF(AND(Poussee=0,Q571&gt;0),"Fin de propulsion","") &amp; IF(AND(L573&gt;L_rampe,pos_xz&lt;=L_rampe),"Sortie de rampe","")</f>
        <v/>
      </c>
      <c r="Z572" s="402" t="str">
        <f aca="false">IF(ABS(t-T_para)&lt;pas/2,"Para","")</f>
        <v/>
      </c>
      <c r="AA572" s="403" t="str">
        <f aca="false">IF(ABS(t-T_satellite)&lt;pas/2,"Satellite","")</f>
        <v/>
      </c>
      <c r="AC572" s="399" t="e">
        <f aca="false">IF(ABS(t-ROUND(t,0))&lt;0.001,t,NA())</f>
        <v>#N/A</v>
      </c>
      <c r="AD572" s="404" t="e">
        <f aca="false">IF(ABS(t-ROUND(t,0))&lt;0.001,pos_x,NA())</f>
        <v>#N/A</v>
      </c>
      <c r="AE572" s="405" t="e">
        <f aca="false">IF(t&lt;T_para, pos_z, NA())</f>
        <v>#N/A</v>
      </c>
      <c r="AG572" s="396" t="n">
        <f aca="false">IF(AND(L571&lt;L_rampe,Poussee&lt;Poids*SIN(M571)),0,(-W571+Poussee)/m-Poids*SIN(M571)/m)</f>
        <v>2.42148155929229</v>
      </c>
      <c r="AH572" s="397" t="n">
        <f aca="false">IF(AND(L571&lt;L_rampe,Poussee&lt;Poids*SIN(M571)), g*SIN(M571), (-W571+Poussee)/m)</f>
        <v>-7.34020761612984</v>
      </c>
    </row>
    <row r="573" customFormat="false" ht="12.75" hidden="false" customHeight="false" outlineLevel="0" collapsed="false">
      <c r="A573" s="396" t="n">
        <f aca="false">IF(B572+0.01&lt;=T_ini+ROUNDUP(Temps_fin_propu,0), 0.01, IF(K572&gt;0, 0.1, 0.0001))</f>
        <v>0.0001</v>
      </c>
      <c r="B573" s="397" t="n">
        <f aca="false">B572+pas</f>
        <v>32.1068000000004</v>
      </c>
      <c r="D573" s="396" t="n">
        <f aca="false">IF(AND(L572&lt;L_rampe,Poussee&lt;Poids*SIN(M572)),0,(-W572+Poussee)/m*COS(M572)-U572/m*SIN(M572))</f>
        <v>-0.72756931629686</v>
      </c>
      <c r="E573" s="398" t="n">
        <f aca="false">IF(AND(L572&lt;L_rampe,Poussee&lt;Poids*SIN(M572)),0,(-W572+Poussee)/m*SIN(M572)+U572/m*COS(M572)-Poids/m)</f>
        <v>-2.5059007971665</v>
      </c>
      <c r="F573" s="397" t="n">
        <f aca="false">SQRT(acc_x^2+acc_z^2)</f>
        <v>2.60938611846855</v>
      </c>
      <c r="G573" s="396" t="n">
        <f aca="false">G572+acc_x*pas</f>
        <v>11.4923594776137</v>
      </c>
      <c r="H573" s="398" t="n">
        <f aca="false">H572+acc_z*pas</f>
        <v>-115.373264875788</v>
      </c>
      <c r="I573" s="397" t="n">
        <f aca="false">SQRT(vit_x^2+vit_z^2)</f>
        <v>115.944230449219</v>
      </c>
      <c r="J573" s="396" t="n">
        <f aca="false">J572+0.5*(vit_x+G572)*pas*(K572&gt;=0)</f>
        <v>690.928492655337</v>
      </c>
      <c r="K573" s="398" t="n">
        <f aca="false">K572+0.5*(vit_z+H572)*pas</f>
        <v>-9.38908506112117</v>
      </c>
      <c r="L573" s="397" t="n">
        <f aca="false">SQRT(pos_x^2+pos_z^2)</f>
        <v>690.992284241482</v>
      </c>
      <c r="M573" s="396" t="n">
        <f aca="false">IF(AND(L572&gt;L_rampe,G573&gt;0),ATAN2(G573,H573),$M$4)</f>
        <v>-1.47151358266834</v>
      </c>
      <c r="N573" s="397" t="n">
        <f aca="false">DEGREES(Beta)</f>
        <v>-84.3115177830712</v>
      </c>
      <c r="P573" s="399" t="n">
        <f aca="false">MATCH(t-pas/2-T_ini,CdP_t)</f>
        <v>23</v>
      </c>
      <c r="Q573" s="397" t="n">
        <f aca="false">(INDEX(CdP,2,i_P+1)-INDEX(CdP,2,i_P+0))/(INDEX(CdP,1,i_P+1)-INDEX(CdP,1,i_P+0))*(t-pas/2-T_ini-INDEX(CdP,1,i_P+0))+INDEX(CdP,2,i_P+0)</f>
        <v>0</v>
      </c>
      <c r="R573" s="396" t="n">
        <f aca="false">Poussee/(g*ISP)</f>
        <v>0</v>
      </c>
      <c r="S573" s="398" t="n">
        <f aca="false">S572-Débit*pas</f>
        <v>8.45</v>
      </c>
      <c r="T573" s="397" t="n">
        <f aca="false">m*g</f>
        <v>82.8945</v>
      </c>
      <c r="U573" s="400" t="n">
        <f aca="false">IF(pos_xz&lt;L_rampe,Poids*COS(Beta),0)</f>
        <v>0</v>
      </c>
      <c r="V573" s="396" t="n">
        <f aca="false">Rho_moyen*(20000-Alt_rampe-pos_z)/(20000+Alt_rampe+pos_z)</f>
        <v>1.22615070312246</v>
      </c>
      <c r="W573" s="397" t="n">
        <f aca="false">1/2*Rho*Sref*Cx*vit_xz^2</f>
        <v>62.025415628449</v>
      </c>
      <c r="Y573" s="401" t="str">
        <f aca="false">IF(AND(pos_z&lt;=0,K572&gt;0),"Impact balistique","") &amp; IF(AND(H574&lt;0,vit_z&gt;=0),"Apogée","") &amp; IF(AND(Poussee=0,Q572&gt;0),"Fin de propulsion","") &amp; IF(AND(L574&gt;L_rampe,pos_xz&lt;=L_rampe),"Sortie de rampe","")</f>
        <v/>
      </c>
      <c r="Z573" s="402" t="str">
        <f aca="false">IF(ABS(t-T_para)&lt;pas/2,"Para","")</f>
        <v/>
      </c>
      <c r="AA573" s="403" t="str">
        <f aca="false">IF(ABS(t-T_satellite)&lt;pas/2,"Satellite","")</f>
        <v/>
      </c>
      <c r="AC573" s="399" t="e">
        <f aca="false">IF(ABS(t-ROUND(t,0))&lt;0.001,t,NA())</f>
        <v>#N/A</v>
      </c>
      <c r="AD573" s="404" t="e">
        <f aca="false">IF(ABS(t-ROUND(t,0))&lt;0.001,pos_x,NA())</f>
        <v>#N/A</v>
      </c>
      <c r="AE573" s="405" t="e">
        <f aca="false">IF(t&lt;T_para, pos_z, NA())</f>
        <v>#N/A</v>
      </c>
      <c r="AG573" s="396" t="n">
        <f aca="false">IF(AND(L572&lt;L_rampe,Poussee&lt;Poids*SIN(M572)),0,(-W572+Poussee)/m-Poids*SIN(M572)/m)</f>
        <v>2.42144324609912</v>
      </c>
      <c r="AH573" s="397" t="n">
        <f aca="false">IF(AND(L572&lt;L_rampe,Poussee&lt;Poids*SIN(M572)), g*SIN(M572), (-W572+Poussee)/m)</f>
        <v>-7.34024674482062</v>
      </c>
    </row>
    <row r="574" customFormat="false" ht="12.75" hidden="false" customHeight="false" outlineLevel="0" collapsed="false">
      <c r="A574" s="396" t="n">
        <f aca="false">IF(B573+0.01&lt;=T_ini+ROUNDUP(Temps_fin_propu,0), 0.01, IF(K573&gt;0, 0.1, 0.0001))</f>
        <v>0.0001</v>
      </c>
      <c r="B574" s="397" t="n">
        <f aca="false">B573+pas</f>
        <v>32.1069000000004</v>
      </c>
      <c r="D574" s="396" t="n">
        <f aca="false">IF(AND(L573&lt;L_rampe,Poussee&lt;Poids*SIN(M573)),0,(-W573+Poussee)/m*COS(M573)-U573/m*SIN(M573))</f>
        <v>-0.727567069066774</v>
      </c>
      <c r="E574" s="398" t="n">
        <f aca="false">IF(AND(L573&lt;L_rampe,Poussee&lt;Poids*SIN(M573)),0,(-W573+Poussee)/m*SIN(M573)+U573/m*COS(M573)-Poids/m)</f>
        <v>-2.50586125130752</v>
      </c>
      <c r="F574" s="397" t="n">
        <f aca="false">SQRT(acc_x^2+acc_z^2)</f>
        <v>2.60934751437882</v>
      </c>
      <c r="G574" s="396" t="n">
        <f aca="false">G573+acc_x*pas</f>
        <v>11.4922867209068</v>
      </c>
      <c r="H574" s="398" t="n">
        <f aca="false">H573+acc_z*pas</f>
        <v>-115.373515461913</v>
      </c>
      <c r="I574" s="397" t="n">
        <f aca="false">SQRT(vit_x^2+vit_z^2)</f>
        <v>115.944472589753</v>
      </c>
      <c r="J574" s="396" t="n">
        <f aca="false">J573+0.5*(vit_x+G573)*pas*(K573&gt;=0)</f>
        <v>690.928492655337</v>
      </c>
      <c r="K574" s="398" t="n">
        <f aca="false">K573+0.5*(vit_z+H573)*pas</f>
        <v>-9.40062240013805</v>
      </c>
      <c r="L574" s="397" t="n">
        <f aca="false">SQRT(pos_x^2+pos_z^2)</f>
        <v>690.992441105173</v>
      </c>
      <c r="M574" s="396" t="n">
        <f aca="false">IF(AND(L573&gt;L_rampe,G574&gt;0),ATAN2(G574,H574),$M$4)</f>
        <v>-1.47151442131499</v>
      </c>
      <c r="N574" s="397" t="n">
        <f aca="false">DEGREES(Beta)</f>
        <v>-84.3115658339849</v>
      </c>
      <c r="P574" s="399" t="n">
        <f aca="false">MATCH(t-pas/2-T_ini,CdP_t)</f>
        <v>23</v>
      </c>
      <c r="Q574" s="397" t="n">
        <f aca="false">(INDEX(CdP,2,i_P+1)-INDEX(CdP,2,i_P+0))/(INDEX(CdP,1,i_P+1)-INDEX(CdP,1,i_P+0))*(t-pas/2-T_ini-INDEX(CdP,1,i_P+0))+INDEX(CdP,2,i_P+0)</f>
        <v>0</v>
      </c>
      <c r="R574" s="396" t="n">
        <f aca="false">Poussee/(g*ISP)</f>
        <v>0</v>
      </c>
      <c r="S574" s="398" t="n">
        <f aca="false">S573-Débit*pas</f>
        <v>8.45</v>
      </c>
      <c r="T574" s="397" t="n">
        <f aca="false">m*g</f>
        <v>82.8945</v>
      </c>
      <c r="U574" s="400" t="n">
        <f aca="false">IF(pos_xz&lt;L_rampe,Poids*COS(Beta),0)</f>
        <v>0</v>
      </c>
      <c r="V574" s="396" t="n">
        <f aca="false">Rho_moyen*(20000-Alt_rampe-pos_z)/(20000+Alt_rampe+pos_z)</f>
        <v>1.22615211777523</v>
      </c>
      <c r="W574" s="397" t="n">
        <f aca="false">1/2*Rho*Sref*Cx*vit_xz^2</f>
        <v>62.0257462604415</v>
      </c>
      <c r="Y574" s="401" t="str">
        <f aca="false">IF(AND(pos_z&lt;=0,K573&gt;0),"Impact balistique","") &amp; IF(AND(H575&lt;0,vit_z&gt;=0),"Apogée","") &amp; IF(AND(Poussee=0,Q573&gt;0),"Fin de propulsion","") &amp; IF(AND(L575&gt;L_rampe,pos_xz&lt;=L_rampe),"Sortie de rampe","")</f>
        <v/>
      </c>
      <c r="Z574" s="402" t="str">
        <f aca="false">IF(ABS(t-T_para)&lt;pas/2,"Para","")</f>
        <v/>
      </c>
      <c r="AA574" s="403" t="str">
        <f aca="false">IF(ABS(t-T_satellite)&lt;pas/2,"Satellite","")</f>
        <v/>
      </c>
      <c r="AC574" s="399" t="e">
        <f aca="false">IF(ABS(t-ROUND(t,0))&lt;0.001,t,NA())</f>
        <v>#N/A</v>
      </c>
      <c r="AD574" s="404" t="e">
        <f aca="false">IF(ABS(t-ROUND(t,0))&lt;0.001,pos_x,NA())</f>
        <v>#N/A</v>
      </c>
      <c r="AE574" s="405" t="e">
        <f aca="false">IF(t&lt;T_para, pos_z, NA())</f>
        <v>#N/A</v>
      </c>
      <c r="AG574" s="396" t="n">
        <f aca="false">IF(AND(L573&lt;L_rampe,Poussee&lt;Poids*SIN(M573)),0,(-W573+Poussee)/m-Poids*SIN(M573)/m)</f>
        <v>2.42140493321269</v>
      </c>
      <c r="AH574" s="397" t="n">
        <f aca="false">IF(AND(L573&lt;L_rampe,Poussee&lt;Poids*SIN(M573)), g*SIN(M573), (-W573+Poussee)/m)</f>
        <v>-7.34028587318923</v>
      </c>
    </row>
    <row r="575" customFormat="false" ht="12.75" hidden="false" customHeight="false" outlineLevel="0" collapsed="false">
      <c r="A575" s="396" t="n">
        <f aca="false">IF(B574+0.01&lt;=T_ini+ROUNDUP(Temps_fin_propu,0), 0.01, IF(K574&gt;0, 0.1, 0.0001))</f>
        <v>0.0001</v>
      </c>
      <c r="B575" s="397" t="n">
        <f aca="false">B574+pas</f>
        <v>32.1070000000004</v>
      </c>
      <c r="D575" s="396" t="n">
        <f aca="false">IF(AND(L574&lt;L_rampe,Poussee&lt;Poids*SIN(M574)),0,(-W574+Poussee)/m*COS(M574)-U574/m*SIN(M574))</f>
        <v>-0.727564821803303</v>
      </c>
      <c r="E575" s="398" t="n">
        <f aca="false">IF(AND(L574&lt;L_rampe,Poussee&lt;Poids*SIN(M574)),0,(-W574+Poussee)/m*SIN(M574)+U574/m*COS(M574)-Poids/m)</f>
        <v>-2.50582170577416</v>
      </c>
      <c r="F575" s="397" t="n">
        <f aca="false">SQRT(acc_x^2+acc_z^2)</f>
        <v>2.60930891062261</v>
      </c>
      <c r="G575" s="396" t="n">
        <f aca="false">G574+acc_x*pas</f>
        <v>11.4922139644247</v>
      </c>
      <c r="H575" s="398" t="n">
        <f aca="false">H574+acc_z*pas</f>
        <v>-115.373766044084</v>
      </c>
      <c r="I575" s="397" t="n">
        <f aca="false">SQRT(vit_x^2+vit_z^2)</f>
        <v>115.944714726456</v>
      </c>
      <c r="J575" s="396" t="n">
        <f aca="false">J574+0.5*(vit_x+G574)*pas*(K574&gt;=0)</f>
        <v>690.928492655337</v>
      </c>
      <c r="K575" s="398" t="n">
        <f aca="false">K574+0.5*(vit_z+H574)*pas</f>
        <v>-9.41215976421335</v>
      </c>
      <c r="L575" s="397" t="n">
        <f aca="false">SQRT(pos_x^2+pos_z^2)</f>
        <v>690.992598161806</v>
      </c>
      <c r="M575" s="396" t="n">
        <f aca="false">IF(AND(L574&gt;L_rampe,G575&gt;0),ATAN2(G575,H575),$M$4)</f>
        <v>-1.47151525995284</v>
      </c>
      <c r="N575" s="397" t="n">
        <f aca="false">DEGREES(Beta)</f>
        <v>-84.3116138843937</v>
      </c>
      <c r="P575" s="399" t="n">
        <f aca="false">MATCH(t-pas/2-T_ini,CdP_t)</f>
        <v>23</v>
      </c>
      <c r="Q575" s="397" t="n">
        <f aca="false">(INDEX(CdP,2,i_P+1)-INDEX(CdP,2,i_P+0))/(INDEX(CdP,1,i_P+1)-INDEX(CdP,1,i_P+0))*(t-pas/2-T_ini-INDEX(CdP,1,i_P+0))+INDEX(CdP,2,i_P+0)</f>
        <v>0</v>
      </c>
      <c r="R575" s="396" t="n">
        <f aca="false">Poussee/(g*ISP)</f>
        <v>0</v>
      </c>
      <c r="S575" s="398" t="n">
        <f aca="false">S574-Débit*pas</f>
        <v>8.45</v>
      </c>
      <c r="T575" s="397" t="n">
        <f aca="false">m*g</f>
        <v>82.8945</v>
      </c>
      <c r="U575" s="400" t="n">
        <f aca="false">IF(pos_xz&lt;L_rampe,Poids*COS(Beta),0)</f>
        <v>0</v>
      </c>
      <c r="V575" s="396" t="n">
        <f aca="false">Rho_moyen*(20000-Alt_rampe-pos_z)/(20000+Alt_rampe+pos_z)</f>
        <v>1.22615353243269</v>
      </c>
      <c r="W575" s="397" t="n">
        <f aca="false">1/2*Rho*Sref*Cx*vit_xz^2</f>
        <v>62.0260768897117</v>
      </c>
      <c r="Y575" s="401" t="str">
        <f aca="false">IF(AND(pos_z&lt;=0,K574&gt;0),"Impact balistique","") &amp; IF(AND(H576&lt;0,vit_z&gt;=0),"Apogée","") &amp; IF(AND(Poussee=0,Q574&gt;0),"Fin de propulsion","") &amp; IF(AND(L576&gt;L_rampe,pos_xz&lt;=L_rampe),"Sortie de rampe","")</f>
        <v/>
      </c>
      <c r="Z575" s="402" t="str">
        <f aca="false">IF(ABS(t-T_para)&lt;pas/2,"Para","")</f>
        <v/>
      </c>
      <c r="AA575" s="403" t="str">
        <f aca="false">IF(ABS(t-T_satellite)&lt;pas/2,"Satellite","")</f>
        <v/>
      </c>
      <c r="AC575" s="399" t="e">
        <f aca="false">IF(ABS(t-ROUND(t,0))&lt;0.001,t,NA())</f>
        <v>#N/A</v>
      </c>
      <c r="AD575" s="404" t="e">
        <f aca="false">IF(ABS(t-ROUND(t,0))&lt;0.001,pos_x,NA())</f>
        <v>#N/A</v>
      </c>
      <c r="AE575" s="405" t="e">
        <f aca="false">IF(t&lt;T_para, pos_z, NA())</f>
        <v>#N/A</v>
      </c>
      <c r="AG575" s="396" t="n">
        <f aca="false">IF(AND(L574&lt;L_rampe,Poussee&lt;Poids*SIN(M574)),0,(-W574+Poussee)/m-Poids*SIN(M574)/m)</f>
        <v>2.42136662063299</v>
      </c>
      <c r="AH575" s="397" t="n">
        <f aca="false">IF(AND(L574&lt;L_rampe,Poussee&lt;Poids*SIN(M574)), g*SIN(M574), (-W574+Poussee)/m)</f>
        <v>-7.34032500123568</v>
      </c>
    </row>
    <row r="576" customFormat="false" ht="12.75" hidden="false" customHeight="false" outlineLevel="0" collapsed="false">
      <c r="A576" s="396" t="n">
        <f aca="false">IF(B575+0.01&lt;=T_ini+ROUNDUP(Temps_fin_propu,0), 0.01, IF(K575&gt;0, 0.1, 0.0001))</f>
        <v>0.0001</v>
      </c>
      <c r="B576" s="397" t="n">
        <f aca="false">B575+pas</f>
        <v>32.1071000000004</v>
      </c>
      <c r="D576" s="396" t="n">
        <f aca="false">IF(AND(L575&lt;L_rampe,Poussee&lt;Poids*SIN(M575)),0,(-W575+Poussee)/m*COS(M575)-U575/m*SIN(M575))</f>
        <v>-0.727562574506447</v>
      </c>
      <c r="E576" s="398" t="n">
        <f aca="false">IF(AND(L575&lt;L_rampe,Poussee&lt;Poids*SIN(M575)),0,(-W575+Poussee)/m*SIN(M575)+U575/m*COS(M575)-Poids/m)</f>
        <v>-2.50578216056642</v>
      </c>
      <c r="F576" s="397" t="n">
        <f aca="false">SQRT(acc_x^2+acc_z^2)</f>
        <v>2.60927030719996</v>
      </c>
      <c r="G576" s="396" t="n">
        <f aca="false">G575+acc_x*pas</f>
        <v>11.4921412081672</v>
      </c>
      <c r="H576" s="398" t="n">
        <f aca="false">H575+acc_z*pas</f>
        <v>-115.3740166223</v>
      </c>
      <c r="I576" s="397" t="n">
        <f aca="false">SQRT(vit_x^2+vit_z^2)</f>
        <v>115.944956859327</v>
      </c>
      <c r="J576" s="396" t="n">
        <f aca="false">J575+0.5*(vit_x+G575)*pas*(K575&gt;=0)</f>
        <v>690.928492655337</v>
      </c>
      <c r="K576" s="398" t="n">
        <f aca="false">K575+0.5*(vit_z+H575)*pas</f>
        <v>-9.42369715334667</v>
      </c>
      <c r="L576" s="397" t="n">
        <f aca="false">SQRT(pos_x^2+pos_z^2)</f>
        <v>690.992755411382</v>
      </c>
      <c r="M576" s="396" t="n">
        <f aca="false">IF(AND(L575&gt;L_rampe,G576&gt;0),ATAN2(G576,H576),$M$4)</f>
        <v>-1.47151609858186</v>
      </c>
      <c r="N576" s="397" t="n">
        <f aca="false">DEGREES(Beta)</f>
        <v>-84.3116619342976</v>
      </c>
      <c r="P576" s="399" t="n">
        <f aca="false">MATCH(t-pas/2-T_ini,CdP_t)</f>
        <v>23</v>
      </c>
      <c r="Q576" s="397" t="n">
        <f aca="false">(INDEX(CdP,2,i_P+1)-INDEX(CdP,2,i_P+0))/(INDEX(CdP,1,i_P+1)-INDEX(CdP,1,i_P+0))*(t-pas/2-T_ini-INDEX(CdP,1,i_P+0))+INDEX(CdP,2,i_P+0)</f>
        <v>0</v>
      </c>
      <c r="R576" s="396" t="n">
        <f aca="false">Poussee/(g*ISP)</f>
        <v>0</v>
      </c>
      <c r="S576" s="398" t="n">
        <f aca="false">S575-Débit*pas</f>
        <v>8.45</v>
      </c>
      <c r="T576" s="397" t="n">
        <f aca="false">m*g</f>
        <v>82.8945</v>
      </c>
      <c r="U576" s="400" t="n">
        <f aca="false">IF(pos_xz&lt;L_rampe,Poids*COS(Beta),0)</f>
        <v>0</v>
      </c>
      <c r="V576" s="396" t="n">
        <f aca="false">Rho_moyen*(20000-Alt_rampe-pos_z)/(20000+Alt_rampe+pos_z)</f>
        <v>1.22615494709487</v>
      </c>
      <c r="W576" s="397" t="n">
        <f aca="false">1/2*Rho*Sref*Cx*vit_xz^2</f>
        <v>62.0264075162597</v>
      </c>
      <c r="Y576" s="401" t="str">
        <f aca="false">IF(AND(pos_z&lt;=0,K575&gt;0),"Impact balistique","") &amp; IF(AND(H577&lt;0,vit_z&gt;=0),"Apogée","") &amp; IF(AND(Poussee=0,Q575&gt;0),"Fin de propulsion","") &amp; IF(AND(L577&gt;L_rampe,pos_xz&lt;=L_rampe),"Sortie de rampe","")</f>
        <v/>
      </c>
      <c r="Z576" s="402" t="str">
        <f aca="false">IF(ABS(t-T_para)&lt;pas/2,"Para","")</f>
        <v/>
      </c>
      <c r="AA576" s="403" t="str">
        <f aca="false">IF(ABS(t-T_satellite)&lt;pas/2,"Satellite","")</f>
        <v/>
      </c>
      <c r="AC576" s="399" t="e">
        <f aca="false">IF(ABS(t-ROUND(t,0))&lt;0.001,t,NA())</f>
        <v>#N/A</v>
      </c>
      <c r="AD576" s="404" t="e">
        <f aca="false">IF(ABS(t-ROUND(t,0))&lt;0.001,pos_x,NA())</f>
        <v>#N/A</v>
      </c>
      <c r="AE576" s="405" t="e">
        <f aca="false">IF(t&lt;T_para, pos_z, NA())</f>
        <v>#N/A</v>
      </c>
      <c r="AG576" s="396" t="n">
        <f aca="false">IF(AND(L575&lt;L_rampe,Poussee&lt;Poids*SIN(M575)),0,(-W575+Poussee)/m-Poids*SIN(M575)/m)</f>
        <v>2.42132830836002</v>
      </c>
      <c r="AH576" s="397" t="n">
        <f aca="false">IF(AND(L575&lt;L_rampe,Poussee&lt;Poids*SIN(M575)), g*SIN(M575), (-W575+Poussee)/m)</f>
        <v>-7.34036412895997</v>
      </c>
    </row>
    <row r="577" customFormat="false" ht="12.75" hidden="false" customHeight="false" outlineLevel="0" collapsed="false">
      <c r="A577" s="396" t="n">
        <f aca="false">IF(B576+0.01&lt;=T_ini+ROUNDUP(Temps_fin_propu,0), 0.01, IF(K576&gt;0, 0.1, 0.0001))</f>
        <v>0.0001</v>
      </c>
      <c r="B577" s="397" t="n">
        <f aca="false">B576+pas</f>
        <v>32.1072000000004</v>
      </c>
      <c r="D577" s="396" t="n">
        <f aca="false">IF(AND(L576&lt;L_rampe,Poussee&lt;Poids*SIN(M576)),0,(-W576+Poussee)/m*COS(M576)-U576/m*SIN(M576))</f>
        <v>-0.727560327176209</v>
      </c>
      <c r="E577" s="398" t="n">
        <f aca="false">IF(AND(L576&lt;L_rampe,Poussee&lt;Poids*SIN(M576)),0,(-W576+Poussee)/m*SIN(M576)+U576/m*COS(M576)-Poids/m)</f>
        <v>-2.5057426156843</v>
      </c>
      <c r="F577" s="397" t="n">
        <f aca="false">SQRT(acc_x^2+acc_z^2)</f>
        <v>2.60923170411084</v>
      </c>
      <c r="G577" s="396" t="n">
        <f aca="false">G576+acc_x*pas</f>
        <v>11.4920684521345</v>
      </c>
      <c r="H577" s="398" t="n">
        <f aca="false">H576+acc_z*pas</f>
        <v>-115.374267196562</v>
      </c>
      <c r="I577" s="397" t="n">
        <f aca="false">SQRT(vit_x^2+vit_z^2)</f>
        <v>115.945198988368</v>
      </c>
      <c r="J577" s="396" t="n">
        <f aca="false">J576+0.5*(vit_x+G576)*pas*(K576&gt;=0)</f>
        <v>690.928492655337</v>
      </c>
      <c r="K577" s="398" t="n">
        <f aca="false">K576+0.5*(vit_z+H576)*pas</f>
        <v>-9.43523456753761</v>
      </c>
      <c r="L577" s="397" t="n">
        <f aca="false">SQRT(pos_x^2+pos_z^2)</f>
        <v>690.992912853902</v>
      </c>
      <c r="M577" s="396" t="n">
        <f aca="false">IF(AND(L576&gt;L_rampe,G577&gt;0),ATAN2(G577,H577),$M$4)</f>
        <v>-1.47151693720208</v>
      </c>
      <c r="N577" s="397" t="n">
        <f aca="false">DEGREES(Beta)</f>
        <v>-84.3117099836966</v>
      </c>
      <c r="P577" s="399" t="n">
        <f aca="false">MATCH(t-pas/2-T_ini,CdP_t)</f>
        <v>23</v>
      </c>
      <c r="Q577" s="397" t="n">
        <f aca="false">(INDEX(CdP,2,i_P+1)-INDEX(CdP,2,i_P+0))/(INDEX(CdP,1,i_P+1)-INDEX(CdP,1,i_P+0))*(t-pas/2-T_ini-INDEX(CdP,1,i_P+0))+INDEX(CdP,2,i_P+0)</f>
        <v>0</v>
      </c>
      <c r="R577" s="396" t="n">
        <f aca="false">Poussee/(g*ISP)</f>
        <v>0</v>
      </c>
      <c r="S577" s="398" t="n">
        <f aca="false">S576-Débit*pas</f>
        <v>8.45</v>
      </c>
      <c r="T577" s="397" t="n">
        <f aca="false">m*g</f>
        <v>82.8945</v>
      </c>
      <c r="U577" s="400" t="n">
        <f aca="false">IF(pos_xz&lt;L_rampe,Poids*COS(Beta),0)</f>
        <v>0</v>
      </c>
      <c r="V577" s="396" t="n">
        <f aca="false">Rho_moyen*(20000-Alt_rampe-pos_z)/(20000+Alt_rampe+pos_z)</f>
        <v>1.22615636176175</v>
      </c>
      <c r="W577" s="397" t="n">
        <f aca="false">1/2*Rho*Sref*Cx*vit_xz^2</f>
        <v>62.0267381400853</v>
      </c>
      <c r="Y577" s="401" t="str">
        <f aca="false">IF(AND(pos_z&lt;=0,K576&gt;0),"Impact balistique","") &amp; IF(AND(H578&lt;0,vit_z&gt;=0),"Apogée","") &amp; IF(AND(Poussee=0,Q576&gt;0),"Fin de propulsion","") &amp; IF(AND(L578&gt;L_rampe,pos_xz&lt;=L_rampe),"Sortie de rampe","")</f>
        <v/>
      </c>
      <c r="Z577" s="402" t="str">
        <f aca="false">IF(ABS(t-T_para)&lt;pas/2,"Para","")</f>
        <v/>
      </c>
      <c r="AA577" s="403" t="str">
        <f aca="false">IF(ABS(t-T_satellite)&lt;pas/2,"Satellite","")</f>
        <v/>
      </c>
      <c r="AC577" s="399" t="e">
        <f aca="false">IF(ABS(t-ROUND(t,0))&lt;0.001,t,NA())</f>
        <v>#N/A</v>
      </c>
      <c r="AD577" s="404" t="e">
        <f aca="false">IF(ABS(t-ROUND(t,0))&lt;0.001,pos_x,NA())</f>
        <v>#N/A</v>
      </c>
      <c r="AE577" s="405" t="e">
        <f aca="false">IF(t&lt;T_para, pos_z, NA())</f>
        <v>#N/A</v>
      </c>
      <c r="AG577" s="396" t="n">
        <f aca="false">IF(AND(L576&lt;L_rampe,Poussee&lt;Poids*SIN(M576)),0,(-W576+Poussee)/m-Poids*SIN(M576)/m)</f>
        <v>2.42128999639378</v>
      </c>
      <c r="AH577" s="397" t="n">
        <f aca="false">IF(AND(L576&lt;L_rampe,Poussee&lt;Poids*SIN(M576)), g*SIN(M576), (-W576+Poussee)/m)</f>
        <v>-7.34040325636209</v>
      </c>
    </row>
    <row r="578" customFormat="false" ht="12.75" hidden="false" customHeight="false" outlineLevel="0" collapsed="false">
      <c r="A578" s="396" t="n">
        <f aca="false">IF(B577+0.01&lt;=T_ini+ROUNDUP(Temps_fin_propu,0), 0.01, IF(K577&gt;0, 0.1, 0.0001))</f>
        <v>0.0001</v>
      </c>
      <c r="B578" s="397" t="n">
        <f aca="false">B577+pas</f>
        <v>32.1073000000004</v>
      </c>
      <c r="D578" s="396" t="n">
        <f aca="false">IF(AND(L577&lt;L_rampe,Poussee&lt;Poids*SIN(M577)),0,(-W577+Poussee)/m*COS(M577)-U577/m*SIN(M577))</f>
        <v>-0.727558079812589</v>
      </c>
      <c r="E578" s="398" t="n">
        <f aca="false">IF(AND(L577&lt;L_rampe,Poussee&lt;Poids*SIN(M577)),0,(-W577+Poussee)/m*SIN(M577)+U577/m*COS(M577)-Poids/m)</f>
        <v>-2.50570307112781</v>
      </c>
      <c r="F578" s="397" t="n">
        <f aca="false">SQRT(acc_x^2+acc_z^2)</f>
        <v>2.60919310135526</v>
      </c>
      <c r="G578" s="396" t="n">
        <f aca="false">G577+acc_x*pas</f>
        <v>11.4919956963265</v>
      </c>
      <c r="H578" s="398" t="n">
        <f aca="false">H577+acc_z*pas</f>
        <v>-115.374517766869</v>
      </c>
      <c r="I578" s="397" t="n">
        <f aca="false">SQRT(vit_x^2+vit_z^2)</f>
        <v>115.945441113577</v>
      </c>
      <c r="J578" s="396" t="n">
        <f aca="false">J577+0.5*(vit_x+G577)*pas*(K577&gt;=0)</f>
        <v>690.928492655337</v>
      </c>
      <c r="K578" s="398" t="n">
        <f aca="false">K577+0.5*(vit_z+H577)*pas</f>
        <v>-9.44677200678578</v>
      </c>
      <c r="L578" s="397" t="n">
        <f aca="false">SQRT(pos_x^2+pos_z^2)</f>
        <v>690.993070489368</v>
      </c>
      <c r="M578" s="396" t="n">
        <f aca="false">IF(AND(L577&gt;L_rampe,G578&gt;0),ATAN2(G578,H578),$M$4)</f>
        <v>-1.47151777581348</v>
      </c>
      <c r="N578" s="397" t="n">
        <f aca="false">DEGREES(Beta)</f>
        <v>-84.3117580325907</v>
      </c>
      <c r="P578" s="399" t="n">
        <f aca="false">MATCH(t-pas/2-T_ini,CdP_t)</f>
        <v>23</v>
      </c>
      <c r="Q578" s="397" t="n">
        <f aca="false">(INDEX(CdP,2,i_P+1)-INDEX(CdP,2,i_P+0))/(INDEX(CdP,1,i_P+1)-INDEX(CdP,1,i_P+0))*(t-pas/2-T_ini-INDEX(CdP,1,i_P+0))+INDEX(CdP,2,i_P+0)</f>
        <v>0</v>
      </c>
      <c r="R578" s="396" t="n">
        <f aca="false">Poussee/(g*ISP)</f>
        <v>0</v>
      </c>
      <c r="S578" s="398" t="n">
        <f aca="false">S577-Débit*pas</f>
        <v>8.45</v>
      </c>
      <c r="T578" s="397" t="n">
        <f aca="false">m*g</f>
        <v>82.8945</v>
      </c>
      <c r="U578" s="400" t="n">
        <f aca="false">IF(pos_xz&lt;L_rampe,Poids*COS(Beta),0)</f>
        <v>0</v>
      </c>
      <c r="V578" s="396" t="n">
        <f aca="false">Rho_moyen*(20000-Alt_rampe-pos_z)/(20000+Alt_rampe+pos_z)</f>
        <v>1.22615777643333</v>
      </c>
      <c r="W578" s="397" t="n">
        <f aca="false">1/2*Rho*Sref*Cx*vit_xz^2</f>
        <v>62.0270687611886</v>
      </c>
      <c r="Y578" s="401" t="str">
        <f aca="false">IF(AND(pos_z&lt;=0,K577&gt;0),"Impact balistique","") &amp; IF(AND(H579&lt;0,vit_z&gt;=0),"Apogée","") &amp; IF(AND(Poussee=0,Q577&gt;0),"Fin de propulsion","") &amp; IF(AND(L579&gt;L_rampe,pos_xz&lt;=L_rampe),"Sortie de rampe","")</f>
        <v/>
      </c>
      <c r="Z578" s="402" t="str">
        <f aca="false">IF(ABS(t-T_para)&lt;pas/2,"Para","")</f>
        <v/>
      </c>
      <c r="AA578" s="403" t="str">
        <f aca="false">IF(ABS(t-T_satellite)&lt;pas/2,"Satellite","")</f>
        <v/>
      </c>
      <c r="AC578" s="399" t="e">
        <f aca="false">IF(ABS(t-ROUND(t,0))&lt;0.001,t,NA())</f>
        <v>#N/A</v>
      </c>
      <c r="AD578" s="404" t="e">
        <f aca="false">IF(ABS(t-ROUND(t,0))&lt;0.001,pos_x,NA())</f>
        <v>#N/A</v>
      </c>
      <c r="AE578" s="405" t="e">
        <f aca="false">IF(t&lt;T_para, pos_z, NA())</f>
        <v>#N/A</v>
      </c>
      <c r="AG578" s="396" t="n">
        <f aca="false">IF(AND(L577&lt;L_rampe,Poussee&lt;Poids*SIN(M577)),0,(-W577+Poussee)/m-Poids*SIN(M577)/m)</f>
        <v>2.42125168473427</v>
      </c>
      <c r="AH578" s="397" t="n">
        <f aca="false">IF(AND(L577&lt;L_rampe,Poussee&lt;Poids*SIN(M577)), g*SIN(M577), (-W577+Poussee)/m)</f>
        <v>-7.34044238344205</v>
      </c>
    </row>
    <row r="579" customFormat="false" ht="12.75" hidden="false" customHeight="false" outlineLevel="0" collapsed="false">
      <c r="A579" s="396" t="n">
        <f aca="false">IF(B578+0.01&lt;=T_ini+ROUNDUP(Temps_fin_propu,0), 0.01, IF(K578&gt;0, 0.1, 0.0001))</f>
        <v>0.0001</v>
      </c>
      <c r="B579" s="397" t="n">
        <f aca="false">B578+pas</f>
        <v>32.1074000000004</v>
      </c>
      <c r="D579" s="396" t="n">
        <f aca="false">IF(AND(L578&lt;L_rampe,Poussee&lt;Poids*SIN(M578)),0,(-W578+Poussee)/m*COS(M578)-U578/m*SIN(M578))</f>
        <v>-0.727555832415586</v>
      </c>
      <c r="E579" s="398" t="n">
        <f aca="false">IF(AND(L578&lt;L_rampe,Poussee&lt;Poids*SIN(M578)),0,(-W578+Poussee)/m*SIN(M578)+U578/m*COS(M578)-Poids/m)</f>
        <v>-2.50566352689693</v>
      </c>
      <c r="F579" s="397" t="n">
        <f aca="false">SQRT(acc_x^2+acc_z^2)</f>
        <v>2.60915449893323</v>
      </c>
      <c r="G579" s="396" t="n">
        <f aca="false">G578+acc_x*pas</f>
        <v>11.4919229407433</v>
      </c>
      <c r="H579" s="398" t="n">
        <f aca="false">H578+acc_z*pas</f>
        <v>-115.374768333221</v>
      </c>
      <c r="I579" s="397" t="n">
        <f aca="false">SQRT(vit_x^2+vit_z^2)</f>
        <v>115.945683234955</v>
      </c>
      <c r="J579" s="396" t="n">
        <f aca="false">J578+0.5*(vit_x+G578)*pas*(K578&gt;=0)</f>
        <v>690.928492655337</v>
      </c>
      <c r="K579" s="398" t="n">
        <f aca="false">K578+0.5*(vit_z+H578)*pas</f>
        <v>-9.45830947109079</v>
      </c>
      <c r="L579" s="397" t="n">
        <f aca="false">SQRT(pos_x^2+pos_z^2)</f>
        <v>690.993228317779</v>
      </c>
      <c r="M579" s="396" t="n">
        <f aca="false">IF(AND(L578&gt;L_rampe,G579&gt;0),ATAN2(G579,H579),$M$4)</f>
        <v>-1.47151861441608</v>
      </c>
      <c r="N579" s="397" t="n">
        <f aca="false">DEGREES(Beta)</f>
        <v>-84.3118060809799</v>
      </c>
      <c r="P579" s="399" t="n">
        <f aca="false">MATCH(t-pas/2-T_ini,CdP_t)</f>
        <v>23</v>
      </c>
      <c r="Q579" s="397" t="n">
        <f aca="false">(INDEX(CdP,2,i_P+1)-INDEX(CdP,2,i_P+0))/(INDEX(CdP,1,i_P+1)-INDEX(CdP,1,i_P+0))*(t-pas/2-T_ini-INDEX(CdP,1,i_P+0))+INDEX(CdP,2,i_P+0)</f>
        <v>0</v>
      </c>
      <c r="R579" s="396" t="n">
        <f aca="false">Poussee/(g*ISP)</f>
        <v>0</v>
      </c>
      <c r="S579" s="398" t="n">
        <f aca="false">S578-Débit*pas</f>
        <v>8.45</v>
      </c>
      <c r="T579" s="397" t="n">
        <f aca="false">m*g</f>
        <v>82.8945</v>
      </c>
      <c r="U579" s="400" t="n">
        <f aca="false">IF(pos_xz&lt;L_rampe,Poids*COS(Beta),0)</f>
        <v>0</v>
      </c>
      <c r="V579" s="396" t="n">
        <f aca="false">Rho_moyen*(20000-Alt_rampe-pos_z)/(20000+Alt_rampe+pos_z)</f>
        <v>1.22615919110962</v>
      </c>
      <c r="W579" s="397" t="n">
        <f aca="false">1/2*Rho*Sref*Cx*vit_xz^2</f>
        <v>62.0273993795697</v>
      </c>
      <c r="Y579" s="401" t="str">
        <f aca="false">IF(AND(pos_z&lt;=0,K578&gt;0),"Impact balistique","") &amp; IF(AND(H580&lt;0,vit_z&gt;=0),"Apogée","") &amp; IF(AND(Poussee=0,Q578&gt;0),"Fin de propulsion","") &amp; IF(AND(L580&gt;L_rampe,pos_xz&lt;=L_rampe),"Sortie de rampe","")</f>
        <v/>
      </c>
      <c r="Z579" s="402" t="str">
        <f aca="false">IF(ABS(t-T_para)&lt;pas/2,"Para","")</f>
        <v/>
      </c>
      <c r="AA579" s="403" t="str">
        <f aca="false">IF(ABS(t-T_satellite)&lt;pas/2,"Satellite","")</f>
        <v/>
      </c>
      <c r="AC579" s="399" t="e">
        <f aca="false">IF(ABS(t-ROUND(t,0))&lt;0.001,t,NA())</f>
        <v>#N/A</v>
      </c>
      <c r="AD579" s="404" t="e">
        <f aca="false">IF(ABS(t-ROUND(t,0))&lt;0.001,pos_x,NA())</f>
        <v>#N/A</v>
      </c>
      <c r="AE579" s="405" t="e">
        <f aca="false">IF(t&lt;T_para, pos_z, NA())</f>
        <v>#N/A</v>
      </c>
      <c r="AG579" s="396" t="n">
        <f aca="false">IF(AND(L578&lt;L_rampe,Poussee&lt;Poids*SIN(M578)),0,(-W578+Poussee)/m-Poids*SIN(M578)/m)</f>
        <v>2.42121337338149</v>
      </c>
      <c r="AH579" s="397" t="n">
        <f aca="false">IF(AND(L578&lt;L_rampe,Poussee&lt;Poids*SIN(M578)), g*SIN(M578), (-W578+Poussee)/m)</f>
        <v>-7.34048151019984</v>
      </c>
    </row>
    <row r="580" customFormat="false" ht="12.75" hidden="false" customHeight="false" outlineLevel="0" collapsed="false">
      <c r="A580" s="396" t="n">
        <f aca="false">IF(B579+0.01&lt;=T_ini+ROUNDUP(Temps_fin_propu,0), 0.01, IF(K579&gt;0, 0.1, 0.0001))</f>
        <v>0.0001</v>
      </c>
      <c r="B580" s="397" t="n">
        <f aca="false">B579+pas</f>
        <v>32.1075000000004</v>
      </c>
      <c r="D580" s="396" t="n">
        <f aca="false">IF(AND(L579&lt;L_rampe,Poussee&lt;Poids*SIN(M579)),0,(-W579+Poussee)/m*COS(M579)-U579/m*SIN(M579))</f>
        <v>-0.727553584985205</v>
      </c>
      <c r="E580" s="398" t="n">
        <f aca="false">IF(AND(L579&lt;L_rampe,Poussee&lt;Poids*SIN(M579)),0,(-W579+Poussee)/m*SIN(M579)+U579/m*COS(M579)-Poids/m)</f>
        <v>-2.50562398299168</v>
      </c>
      <c r="F580" s="397" t="n">
        <f aca="false">SQRT(acc_x^2+acc_z^2)</f>
        <v>2.60911589684473</v>
      </c>
      <c r="G580" s="396" t="n">
        <f aca="false">G579+acc_x*pas</f>
        <v>11.4918501853848</v>
      </c>
      <c r="H580" s="398" t="n">
        <f aca="false">H579+acc_z*pas</f>
        <v>-115.37501889562</v>
      </c>
      <c r="I580" s="397" t="n">
        <f aca="false">SQRT(vit_x^2+vit_z^2)</f>
        <v>115.945925352502</v>
      </c>
      <c r="J580" s="396" t="n">
        <f aca="false">J579+0.5*(vit_x+G579)*pas*(K579&gt;=0)</f>
        <v>690.928492655337</v>
      </c>
      <c r="K580" s="398" t="n">
        <f aca="false">K579+0.5*(vit_z+H579)*pas</f>
        <v>-9.46984696045223</v>
      </c>
      <c r="L580" s="397" t="n">
        <f aca="false">SQRT(pos_x^2+pos_z^2)</f>
        <v>690.993386339139</v>
      </c>
      <c r="M580" s="396" t="n">
        <f aca="false">IF(AND(L579&gt;L_rampe,G580&gt;0),ATAN2(G580,H580),$M$4)</f>
        <v>-1.47151945300986</v>
      </c>
      <c r="N580" s="397" t="n">
        <f aca="false">DEGREES(Beta)</f>
        <v>-84.3118541288643</v>
      </c>
      <c r="P580" s="399" t="n">
        <f aca="false">MATCH(t-pas/2-T_ini,CdP_t)</f>
        <v>23</v>
      </c>
      <c r="Q580" s="397" t="n">
        <f aca="false">(INDEX(CdP,2,i_P+1)-INDEX(CdP,2,i_P+0))/(INDEX(CdP,1,i_P+1)-INDEX(CdP,1,i_P+0))*(t-pas/2-T_ini-INDEX(CdP,1,i_P+0))+INDEX(CdP,2,i_P+0)</f>
        <v>0</v>
      </c>
      <c r="R580" s="396" t="n">
        <f aca="false">Poussee/(g*ISP)</f>
        <v>0</v>
      </c>
      <c r="S580" s="398" t="n">
        <f aca="false">S579-Débit*pas</f>
        <v>8.45</v>
      </c>
      <c r="T580" s="397" t="n">
        <f aca="false">m*g</f>
        <v>82.8945</v>
      </c>
      <c r="U580" s="400" t="n">
        <f aca="false">IF(pos_xz&lt;L_rampe,Poids*COS(Beta),0)</f>
        <v>0</v>
      </c>
      <c r="V580" s="396" t="n">
        <f aca="false">Rho_moyen*(20000-Alt_rampe-pos_z)/(20000+Alt_rampe+pos_z)</f>
        <v>1.22616060579062</v>
      </c>
      <c r="W580" s="397" t="n">
        <f aca="false">1/2*Rho*Sref*Cx*vit_xz^2</f>
        <v>62.0277299952285</v>
      </c>
      <c r="Y580" s="401" t="str">
        <f aca="false">IF(AND(pos_z&lt;=0,K579&gt;0),"Impact balistique","") &amp; IF(AND(H581&lt;0,vit_z&gt;=0),"Apogée","") &amp; IF(AND(Poussee=0,Q579&gt;0),"Fin de propulsion","") &amp; IF(AND(L581&gt;L_rampe,pos_xz&lt;=L_rampe),"Sortie de rampe","")</f>
        <v/>
      </c>
      <c r="Z580" s="402" t="str">
        <f aca="false">IF(ABS(t-T_para)&lt;pas/2,"Para","")</f>
        <v/>
      </c>
      <c r="AA580" s="403" t="str">
        <f aca="false">IF(ABS(t-T_satellite)&lt;pas/2,"Satellite","")</f>
        <v/>
      </c>
      <c r="AC580" s="399" t="e">
        <f aca="false">IF(ABS(t-ROUND(t,0))&lt;0.001,t,NA())</f>
        <v>#N/A</v>
      </c>
      <c r="AD580" s="404" t="e">
        <f aca="false">IF(ABS(t-ROUND(t,0))&lt;0.001,pos_x,NA())</f>
        <v>#N/A</v>
      </c>
      <c r="AE580" s="405" t="e">
        <f aca="false">IF(t&lt;T_para, pos_z, NA())</f>
        <v>#N/A</v>
      </c>
      <c r="AG580" s="396" t="n">
        <f aca="false">IF(AND(L579&lt;L_rampe,Poussee&lt;Poids*SIN(M579)),0,(-W579+Poussee)/m-Poids*SIN(M579)/m)</f>
        <v>2.42117506233544</v>
      </c>
      <c r="AH580" s="397" t="n">
        <f aca="false">IF(AND(L579&lt;L_rampe,Poussee&lt;Poids*SIN(M579)), g*SIN(M579), (-W579+Poussee)/m)</f>
        <v>-7.34052063663547</v>
      </c>
    </row>
    <row r="581" customFormat="false" ht="12.75" hidden="false" customHeight="false" outlineLevel="0" collapsed="false">
      <c r="A581" s="396" t="n">
        <f aca="false">IF(B580+0.01&lt;=T_ini+ROUNDUP(Temps_fin_propu,0), 0.01, IF(K580&gt;0, 0.1, 0.0001))</f>
        <v>0.0001</v>
      </c>
      <c r="B581" s="397" t="n">
        <f aca="false">B580+pas</f>
        <v>32.1076000000004</v>
      </c>
      <c r="D581" s="396" t="n">
        <f aca="false">IF(AND(L580&lt;L_rampe,Poussee&lt;Poids*SIN(M580)),0,(-W580+Poussee)/m*COS(M580)-U580/m*SIN(M580))</f>
        <v>-0.727551337521444</v>
      </c>
      <c r="E581" s="398" t="n">
        <f aca="false">IF(AND(L580&lt;L_rampe,Poussee&lt;Poids*SIN(M580)),0,(-W580+Poussee)/m*SIN(M580)+U580/m*COS(M580)-Poids/m)</f>
        <v>-2.50558443941205</v>
      </c>
      <c r="F581" s="397" t="n">
        <f aca="false">SQRT(acc_x^2+acc_z^2)</f>
        <v>2.60907729508978</v>
      </c>
      <c r="G581" s="396" t="n">
        <f aca="false">G580+acc_x*pas</f>
        <v>11.491777430251</v>
      </c>
      <c r="H581" s="398" t="n">
        <f aca="false">H580+acc_z*pas</f>
        <v>-115.375269454064</v>
      </c>
      <c r="I581" s="397" t="n">
        <f aca="false">SQRT(vit_x^2+vit_z^2)</f>
        <v>115.946167466218</v>
      </c>
      <c r="J581" s="396" t="n">
        <f aca="false">J580+0.5*(vit_x+G580)*pas*(K580&gt;=0)</f>
        <v>690.928492655337</v>
      </c>
      <c r="K581" s="398" t="n">
        <f aca="false">K580+0.5*(vit_z+H580)*pas</f>
        <v>-9.48138447486971</v>
      </c>
      <c r="L581" s="397" t="n">
        <f aca="false">SQRT(pos_x^2+pos_z^2)</f>
        <v>690.993544553447</v>
      </c>
      <c r="M581" s="396" t="n">
        <f aca="false">IF(AND(L580&gt;L_rampe,G581&gt;0),ATAN2(G581,H581),$M$4)</f>
        <v>-1.47152029159483</v>
      </c>
      <c r="N581" s="397" t="n">
        <f aca="false">DEGREES(Beta)</f>
        <v>-84.3119021762439</v>
      </c>
      <c r="P581" s="399" t="n">
        <f aca="false">MATCH(t-pas/2-T_ini,CdP_t)</f>
        <v>23</v>
      </c>
      <c r="Q581" s="397" t="n">
        <f aca="false">(INDEX(CdP,2,i_P+1)-INDEX(CdP,2,i_P+0))/(INDEX(CdP,1,i_P+1)-INDEX(CdP,1,i_P+0))*(t-pas/2-T_ini-INDEX(CdP,1,i_P+0))+INDEX(CdP,2,i_P+0)</f>
        <v>0</v>
      </c>
      <c r="R581" s="396" t="n">
        <f aca="false">Poussee/(g*ISP)</f>
        <v>0</v>
      </c>
      <c r="S581" s="398" t="n">
        <f aca="false">S580-Débit*pas</f>
        <v>8.45</v>
      </c>
      <c r="T581" s="397" t="n">
        <f aca="false">m*g</f>
        <v>82.8945</v>
      </c>
      <c r="U581" s="400" t="n">
        <f aca="false">IF(pos_xz&lt;L_rampe,Poids*COS(Beta),0)</f>
        <v>0</v>
      </c>
      <c r="V581" s="396" t="n">
        <f aca="false">Rho_moyen*(20000-Alt_rampe-pos_z)/(20000+Alt_rampe+pos_z)</f>
        <v>1.22616202047632</v>
      </c>
      <c r="W581" s="397" t="n">
        <f aca="false">1/2*Rho*Sref*Cx*vit_xz^2</f>
        <v>62.0280606081649</v>
      </c>
      <c r="Y581" s="401" t="str">
        <f aca="false">IF(AND(pos_z&lt;=0,K580&gt;0),"Impact balistique","") &amp; IF(AND(H582&lt;0,vit_z&gt;=0),"Apogée","") &amp; IF(AND(Poussee=0,Q580&gt;0),"Fin de propulsion","") &amp; IF(AND(L582&gt;L_rampe,pos_xz&lt;=L_rampe),"Sortie de rampe","")</f>
        <v/>
      </c>
      <c r="Z581" s="402" t="str">
        <f aca="false">IF(ABS(t-T_para)&lt;pas/2,"Para","")</f>
        <v/>
      </c>
      <c r="AA581" s="403" t="str">
        <f aca="false">IF(ABS(t-T_satellite)&lt;pas/2,"Satellite","")</f>
        <v/>
      </c>
      <c r="AC581" s="399" t="e">
        <f aca="false">IF(ABS(t-ROUND(t,0))&lt;0.001,t,NA())</f>
        <v>#N/A</v>
      </c>
      <c r="AD581" s="404" t="e">
        <f aca="false">IF(ABS(t-ROUND(t,0))&lt;0.001,pos_x,NA())</f>
        <v>#N/A</v>
      </c>
      <c r="AE581" s="405" t="e">
        <f aca="false">IF(t&lt;T_para, pos_z, NA())</f>
        <v>#N/A</v>
      </c>
      <c r="AG581" s="396" t="n">
        <f aca="false">IF(AND(L580&lt;L_rampe,Poussee&lt;Poids*SIN(M580)),0,(-W580+Poussee)/m-Poids*SIN(M580)/m)</f>
        <v>2.42113675159612</v>
      </c>
      <c r="AH581" s="397" t="n">
        <f aca="false">IF(AND(L580&lt;L_rampe,Poussee&lt;Poids*SIN(M580)), g*SIN(M580), (-W580+Poussee)/m)</f>
        <v>-7.34055976274893</v>
      </c>
    </row>
    <row r="582" customFormat="false" ht="12.75" hidden="false" customHeight="false" outlineLevel="0" collapsed="false">
      <c r="A582" s="396" t="n">
        <f aca="false">IF(B581+0.01&lt;=T_ini+ROUNDUP(Temps_fin_propu,0), 0.01, IF(K581&gt;0, 0.1, 0.0001))</f>
        <v>0.0001</v>
      </c>
      <c r="B582" s="397" t="n">
        <f aca="false">B581+pas</f>
        <v>32.1077000000004</v>
      </c>
      <c r="D582" s="396" t="n">
        <f aca="false">IF(AND(L581&lt;L_rampe,Poussee&lt;Poids*SIN(M581)),0,(-W581+Poussee)/m*COS(M581)-U581/m*SIN(M581))</f>
        <v>-0.727549090024303</v>
      </c>
      <c r="E582" s="398" t="n">
        <f aca="false">IF(AND(L581&lt;L_rampe,Poussee&lt;Poids*SIN(M581)),0,(-W581+Poussee)/m*SIN(M581)+U581/m*COS(M581)-Poids/m)</f>
        <v>-2.50554489615804</v>
      </c>
      <c r="F582" s="397" t="n">
        <f aca="false">SQRT(acc_x^2+acc_z^2)</f>
        <v>2.60903869366838</v>
      </c>
      <c r="G582" s="396" t="n">
        <f aca="false">G581+acc_x*pas</f>
        <v>11.491704675342</v>
      </c>
      <c r="H582" s="398" t="n">
        <f aca="false">H581+acc_z*pas</f>
        <v>-115.375520008553</v>
      </c>
      <c r="I582" s="397" t="n">
        <f aca="false">SQRT(vit_x^2+vit_z^2)</f>
        <v>115.946409576103</v>
      </c>
      <c r="J582" s="396" t="n">
        <f aca="false">J581+0.5*(vit_x+G581)*pas*(K581&gt;=0)</f>
        <v>690.928492655337</v>
      </c>
      <c r="K582" s="398" t="n">
        <f aca="false">K581+0.5*(vit_z+H581)*pas</f>
        <v>-9.49292201434285</v>
      </c>
      <c r="L582" s="397" t="n">
        <f aca="false">SQRT(pos_x^2+pos_z^2)</f>
        <v>690.993702960704</v>
      </c>
      <c r="M582" s="396" t="n">
        <f aca="false">IF(AND(L581&gt;L_rampe,G582&gt;0),ATAN2(G582,H582),$M$4)</f>
        <v>-1.47152113017099</v>
      </c>
      <c r="N582" s="397" t="n">
        <f aca="false">DEGREES(Beta)</f>
        <v>-84.3119502231185</v>
      </c>
      <c r="P582" s="399" t="n">
        <f aca="false">MATCH(t-pas/2-T_ini,CdP_t)</f>
        <v>23</v>
      </c>
      <c r="Q582" s="397" t="n">
        <f aca="false">(INDEX(CdP,2,i_P+1)-INDEX(CdP,2,i_P+0))/(INDEX(CdP,1,i_P+1)-INDEX(CdP,1,i_P+0))*(t-pas/2-T_ini-INDEX(CdP,1,i_P+0))+INDEX(CdP,2,i_P+0)</f>
        <v>0</v>
      </c>
      <c r="R582" s="396" t="n">
        <f aca="false">Poussee/(g*ISP)</f>
        <v>0</v>
      </c>
      <c r="S582" s="398" t="n">
        <f aca="false">S581-Débit*pas</f>
        <v>8.45</v>
      </c>
      <c r="T582" s="397" t="n">
        <f aca="false">m*g</f>
        <v>82.8945</v>
      </c>
      <c r="U582" s="400" t="n">
        <f aca="false">IF(pos_xz&lt;L_rampe,Poids*COS(Beta),0)</f>
        <v>0</v>
      </c>
      <c r="V582" s="396" t="n">
        <f aca="false">Rho_moyen*(20000-Alt_rampe-pos_z)/(20000+Alt_rampe+pos_z)</f>
        <v>1.22616343516672</v>
      </c>
      <c r="W582" s="397" t="n">
        <f aca="false">1/2*Rho*Sref*Cx*vit_xz^2</f>
        <v>62.028391218379</v>
      </c>
      <c r="Y582" s="401" t="str">
        <f aca="false">IF(AND(pos_z&lt;=0,K581&gt;0),"Impact balistique","") &amp; IF(AND(H583&lt;0,vit_z&gt;=0),"Apogée","") &amp; IF(AND(Poussee=0,Q581&gt;0),"Fin de propulsion","") &amp; IF(AND(L583&gt;L_rampe,pos_xz&lt;=L_rampe),"Sortie de rampe","")</f>
        <v/>
      </c>
      <c r="Z582" s="402" t="str">
        <f aca="false">IF(ABS(t-T_para)&lt;pas/2,"Para","")</f>
        <v/>
      </c>
      <c r="AA582" s="403" t="str">
        <f aca="false">IF(ABS(t-T_satellite)&lt;pas/2,"Satellite","")</f>
        <v/>
      </c>
      <c r="AC582" s="399" t="e">
        <f aca="false">IF(ABS(t-ROUND(t,0))&lt;0.001,t,NA())</f>
        <v>#N/A</v>
      </c>
      <c r="AD582" s="404" t="e">
        <f aca="false">IF(ABS(t-ROUND(t,0))&lt;0.001,pos_x,NA())</f>
        <v>#N/A</v>
      </c>
      <c r="AE582" s="405" t="e">
        <f aca="false">IF(t&lt;T_para, pos_z, NA())</f>
        <v>#N/A</v>
      </c>
      <c r="AG582" s="396" t="n">
        <f aca="false">IF(AND(L581&lt;L_rampe,Poussee&lt;Poids*SIN(M581)),0,(-W581+Poussee)/m-Poids*SIN(M581)/m)</f>
        <v>2.42109844116354</v>
      </c>
      <c r="AH582" s="397" t="n">
        <f aca="false">IF(AND(L581&lt;L_rampe,Poussee&lt;Poids*SIN(M581)), g*SIN(M581), (-W581+Poussee)/m)</f>
        <v>-7.34059888854023</v>
      </c>
    </row>
    <row r="583" customFormat="false" ht="12.75" hidden="false" customHeight="false" outlineLevel="0" collapsed="false">
      <c r="A583" s="396" t="n">
        <f aca="false">IF(B582+0.01&lt;=T_ini+ROUNDUP(Temps_fin_propu,0), 0.01, IF(K582&gt;0, 0.1, 0.0001))</f>
        <v>0.0001</v>
      </c>
      <c r="B583" s="397" t="n">
        <f aca="false">B582+pas</f>
        <v>32.1078000000004</v>
      </c>
      <c r="D583" s="396" t="n">
        <f aca="false">IF(AND(L582&lt;L_rampe,Poussee&lt;Poids*SIN(M582)),0,(-W582+Poussee)/m*COS(M582)-U582/m*SIN(M582))</f>
        <v>-0.727546842493785</v>
      </c>
      <c r="E583" s="398" t="n">
        <f aca="false">IF(AND(L582&lt;L_rampe,Poussee&lt;Poids*SIN(M582)),0,(-W582+Poussee)/m*SIN(M582)+U582/m*COS(M582)-Poids/m)</f>
        <v>-2.50550535322966</v>
      </c>
      <c r="F583" s="397" t="n">
        <f aca="false">SQRT(acc_x^2+acc_z^2)</f>
        <v>2.60900009258052</v>
      </c>
      <c r="G583" s="396" t="n">
        <f aca="false">G582+acc_x*pas</f>
        <v>11.4916319206578</v>
      </c>
      <c r="H583" s="398" t="n">
        <f aca="false">H582+acc_z*pas</f>
        <v>-115.375770559089</v>
      </c>
      <c r="I583" s="397" t="n">
        <f aca="false">SQRT(vit_x^2+vit_z^2)</f>
        <v>115.946651682157</v>
      </c>
      <c r="J583" s="396" t="n">
        <f aca="false">J582+0.5*(vit_x+G582)*pas*(K582&gt;=0)</f>
        <v>690.928492655337</v>
      </c>
      <c r="K583" s="398" t="n">
        <f aca="false">K582+0.5*(vit_z+H582)*pas</f>
        <v>-9.50445957887123</v>
      </c>
      <c r="L583" s="397" t="n">
        <f aca="false">SQRT(pos_x^2+pos_z^2)</f>
        <v>690.993861560913</v>
      </c>
      <c r="M583" s="396" t="n">
        <f aca="false">IF(AND(L582&gt;L_rampe,G583&gt;0),ATAN2(G583,H583),$M$4)</f>
        <v>-1.47152196873833</v>
      </c>
      <c r="N583" s="397" t="n">
        <f aca="false">DEGREES(Beta)</f>
        <v>-84.3119982694884</v>
      </c>
      <c r="P583" s="399" t="n">
        <f aca="false">MATCH(t-pas/2-T_ini,CdP_t)</f>
        <v>23</v>
      </c>
      <c r="Q583" s="397" t="n">
        <f aca="false">(INDEX(CdP,2,i_P+1)-INDEX(CdP,2,i_P+0))/(INDEX(CdP,1,i_P+1)-INDEX(CdP,1,i_P+0))*(t-pas/2-T_ini-INDEX(CdP,1,i_P+0))+INDEX(CdP,2,i_P+0)</f>
        <v>0</v>
      </c>
      <c r="R583" s="396" t="n">
        <f aca="false">Poussee/(g*ISP)</f>
        <v>0</v>
      </c>
      <c r="S583" s="398" t="n">
        <f aca="false">S582-Débit*pas</f>
        <v>8.45</v>
      </c>
      <c r="T583" s="397" t="n">
        <f aca="false">m*g</f>
        <v>82.8945</v>
      </c>
      <c r="U583" s="400" t="n">
        <f aca="false">IF(pos_xz&lt;L_rampe,Poids*COS(Beta),0)</f>
        <v>0</v>
      </c>
      <c r="V583" s="396" t="n">
        <f aca="false">Rho_moyen*(20000-Alt_rampe-pos_z)/(20000+Alt_rampe+pos_z)</f>
        <v>1.22616484986183</v>
      </c>
      <c r="W583" s="397" t="n">
        <f aca="false">1/2*Rho*Sref*Cx*vit_xz^2</f>
        <v>62.0287218258709</v>
      </c>
      <c r="Y583" s="401" t="str">
        <f aca="false">IF(AND(pos_z&lt;=0,K582&gt;0),"Impact balistique","") &amp; IF(AND(H584&lt;0,vit_z&gt;=0),"Apogée","") &amp; IF(AND(Poussee=0,Q582&gt;0),"Fin de propulsion","") &amp; IF(AND(L584&gt;L_rampe,pos_xz&lt;=L_rampe),"Sortie de rampe","")</f>
        <v/>
      </c>
      <c r="Z583" s="402" t="str">
        <f aca="false">IF(ABS(t-T_para)&lt;pas/2,"Para","")</f>
        <v/>
      </c>
      <c r="AA583" s="403" t="str">
        <f aca="false">IF(ABS(t-T_satellite)&lt;pas/2,"Satellite","")</f>
        <v/>
      </c>
      <c r="AC583" s="399" t="e">
        <f aca="false">IF(ABS(t-ROUND(t,0))&lt;0.001,t,NA())</f>
        <v>#N/A</v>
      </c>
      <c r="AD583" s="404" t="e">
        <f aca="false">IF(ABS(t-ROUND(t,0))&lt;0.001,pos_x,NA())</f>
        <v>#N/A</v>
      </c>
      <c r="AE583" s="405" t="e">
        <f aca="false">IF(t&lt;T_para, pos_z, NA())</f>
        <v>#N/A</v>
      </c>
      <c r="AG583" s="396" t="n">
        <f aca="false">IF(AND(L582&lt;L_rampe,Poussee&lt;Poids*SIN(M582)),0,(-W582+Poussee)/m-Poids*SIN(M582)/m)</f>
        <v>2.4210601310377</v>
      </c>
      <c r="AH583" s="397" t="n">
        <f aca="false">IF(AND(L582&lt;L_rampe,Poussee&lt;Poids*SIN(M582)), g*SIN(M582), (-W582+Poussee)/m)</f>
        <v>-7.34063801400936</v>
      </c>
    </row>
    <row r="584" customFormat="false" ht="12.75" hidden="false" customHeight="false" outlineLevel="0" collapsed="false">
      <c r="A584" s="396" t="n">
        <f aca="false">IF(B583+0.01&lt;=T_ini+ROUNDUP(Temps_fin_propu,0), 0.01, IF(K583&gt;0, 0.1, 0.0001))</f>
        <v>0.0001</v>
      </c>
      <c r="B584" s="397" t="n">
        <f aca="false">B583+pas</f>
        <v>32.1079000000005</v>
      </c>
      <c r="D584" s="396" t="n">
        <f aca="false">IF(AND(L583&lt;L_rampe,Poussee&lt;Poids*SIN(M583)),0,(-W583+Poussee)/m*COS(M583)-U583/m*SIN(M583))</f>
        <v>-0.727544594929888</v>
      </c>
      <c r="E584" s="398" t="n">
        <f aca="false">IF(AND(L583&lt;L_rampe,Poussee&lt;Poids*SIN(M583)),0,(-W583+Poussee)/m*SIN(M583)+U583/m*COS(M583)-Poids/m)</f>
        <v>-2.5054658106269</v>
      </c>
      <c r="F584" s="397" t="n">
        <f aca="false">SQRT(acc_x^2+acc_z^2)</f>
        <v>2.60896149182621</v>
      </c>
      <c r="G584" s="396" t="n">
        <f aca="false">G583+acc_x*pas</f>
        <v>11.4915591661983</v>
      </c>
      <c r="H584" s="398" t="n">
        <f aca="false">H583+acc_z*pas</f>
        <v>-115.37602110567</v>
      </c>
      <c r="I584" s="397" t="n">
        <f aca="false">SQRT(vit_x^2+vit_z^2)</f>
        <v>115.946893784379</v>
      </c>
      <c r="J584" s="396" t="n">
        <f aca="false">J583+0.5*(vit_x+G583)*pas*(K583&gt;=0)</f>
        <v>690.928492655337</v>
      </c>
      <c r="K584" s="398" t="n">
        <f aca="false">K583+0.5*(vit_z+H583)*pas</f>
        <v>-9.51599716845447</v>
      </c>
      <c r="L584" s="397" t="n">
        <f aca="false">SQRT(pos_x^2+pos_z^2)</f>
        <v>690.994020354074</v>
      </c>
      <c r="M584" s="396" t="n">
        <f aca="false">IF(AND(L583&gt;L_rampe,G584&gt;0),ATAN2(G584,H584),$M$4)</f>
        <v>-1.47152280729687</v>
      </c>
      <c r="N584" s="397" t="n">
        <f aca="false">DEGREES(Beta)</f>
        <v>-84.3120463153534</v>
      </c>
      <c r="P584" s="399" t="n">
        <f aca="false">MATCH(t-pas/2-T_ini,CdP_t)</f>
        <v>23</v>
      </c>
      <c r="Q584" s="397" t="n">
        <f aca="false">(INDEX(CdP,2,i_P+1)-INDEX(CdP,2,i_P+0))/(INDEX(CdP,1,i_P+1)-INDEX(CdP,1,i_P+0))*(t-pas/2-T_ini-INDEX(CdP,1,i_P+0))+INDEX(CdP,2,i_P+0)</f>
        <v>0</v>
      </c>
      <c r="R584" s="396" t="n">
        <f aca="false">Poussee/(g*ISP)</f>
        <v>0</v>
      </c>
      <c r="S584" s="398" t="n">
        <f aca="false">S583-Débit*pas</f>
        <v>8.45</v>
      </c>
      <c r="T584" s="397" t="n">
        <f aca="false">m*g</f>
        <v>82.8945</v>
      </c>
      <c r="U584" s="400" t="n">
        <f aca="false">IF(pos_xz&lt;L_rampe,Poids*COS(Beta),0)</f>
        <v>0</v>
      </c>
      <c r="V584" s="396" t="n">
        <f aca="false">Rho_moyen*(20000-Alt_rampe-pos_z)/(20000+Alt_rampe+pos_z)</f>
        <v>1.22616626456165</v>
      </c>
      <c r="W584" s="397" t="n">
        <f aca="false">1/2*Rho*Sref*Cx*vit_xz^2</f>
        <v>62.0290524306404</v>
      </c>
      <c r="Y584" s="401" t="str">
        <f aca="false">IF(AND(pos_z&lt;=0,K583&gt;0),"Impact balistique","") &amp; IF(AND(H585&lt;0,vit_z&gt;=0),"Apogée","") &amp; IF(AND(Poussee=0,Q583&gt;0),"Fin de propulsion","") &amp; IF(AND(L585&gt;L_rampe,pos_xz&lt;=L_rampe),"Sortie de rampe","")</f>
        <v/>
      </c>
      <c r="Z584" s="402" t="str">
        <f aca="false">IF(ABS(t-T_para)&lt;pas/2,"Para","")</f>
        <v/>
      </c>
      <c r="AA584" s="403" t="str">
        <f aca="false">IF(ABS(t-T_satellite)&lt;pas/2,"Satellite","")</f>
        <v/>
      </c>
      <c r="AC584" s="399" t="e">
        <f aca="false">IF(ABS(t-ROUND(t,0))&lt;0.001,t,NA())</f>
        <v>#N/A</v>
      </c>
      <c r="AD584" s="404" t="e">
        <f aca="false">IF(ABS(t-ROUND(t,0))&lt;0.001,pos_x,NA())</f>
        <v>#N/A</v>
      </c>
      <c r="AE584" s="405" t="e">
        <f aca="false">IF(t&lt;T_para, pos_z, NA())</f>
        <v>#N/A</v>
      </c>
      <c r="AG584" s="396" t="n">
        <f aca="false">IF(AND(L583&lt;L_rampe,Poussee&lt;Poids*SIN(M583)),0,(-W583+Poussee)/m-Poids*SIN(M583)/m)</f>
        <v>2.42102182121859</v>
      </c>
      <c r="AH584" s="397" t="n">
        <f aca="false">IF(AND(L583&lt;L_rampe,Poussee&lt;Poids*SIN(M583)), g*SIN(M583), (-W583+Poussee)/m)</f>
        <v>-7.34067713915632</v>
      </c>
    </row>
    <row r="585" customFormat="false" ht="12.75" hidden="false" customHeight="false" outlineLevel="0" collapsed="false">
      <c r="A585" s="396" t="n">
        <f aca="false">IF(B584+0.01&lt;=T_ini+ROUNDUP(Temps_fin_propu,0), 0.01, IF(K584&gt;0, 0.1, 0.0001))</f>
        <v>0.0001</v>
      </c>
      <c r="B585" s="397" t="n">
        <f aca="false">B584+pas</f>
        <v>32.1080000000005</v>
      </c>
      <c r="D585" s="396" t="n">
        <f aca="false">IF(AND(L584&lt;L_rampe,Poussee&lt;Poids*SIN(M584)),0,(-W584+Poussee)/m*COS(M584)-U584/m*SIN(M584))</f>
        <v>-0.727542347332615</v>
      </c>
      <c r="E585" s="398" t="n">
        <f aca="false">IF(AND(L584&lt;L_rampe,Poussee&lt;Poids*SIN(M584)),0,(-W584+Poussee)/m*SIN(M584)+U584/m*COS(M584)-Poids/m)</f>
        <v>-2.50542626834977</v>
      </c>
      <c r="F585" s="397" t="n">
        <f aca="false">SQRT(acc_x^2+acc_z^2)</f>
        <v>2.60892289140544</v>
      </c>
      <c r="G585" s="396" t="n">
        <f aca="false">G584+acc_x*pas</f>
        <v>11.4914864119635</v>
      </c>
      <c r="H585" s="398" t="n">
        <f aca="false">H584+acc_z*pas</f>
        <v>-115.376271648297</v>
      </c>
      <c r="I585" s="397" t="n">
        <f aca="false">SQRT(vit_x^2+vit_z^2)</f>
        <v>115.947135882771</v>
      </c>
      <c r="J585" s="396" t="n">
        <f aca="false">J584+0.5*(vit_x+G584)*pas*(K584&gt;=0)</f>
        <v>690.928492655337</v>
      </c>
      <c r="K585" s="398" t="n">
        <f aca="false">K584+0.5*(vit_z+H584)*pas</f>
        <v>-9.52753478309216</v>
      </c>
      <c r="L585" s="397" t="n">
        <f aca="false">SQRT(pos_x^2+pos_z^2)</f>
        <v>690.994179340187</v>
      </c>
      <c r="M585" s="396" t="n">
        <f aca="false">IF(AND(L584&gt;L_rampe,G585&gt;0),ATAN2(G585,H585),$M$4)</f>
        <v>-1.4715236458466</v>
      </c>
      <c r="N585" s="397" t="n">
        <f aca="false">DEGREES(Beta)</f>
        <v>-84.3120943607136</v>
      </c>
      <c r="P585" s="399" t="n">
        <f aca="false">MATCH(t-pas/2-T_ini,CdP_t)</f>
        <v>23</v>
      </c>
      <c r="Q585" s="397" t="n">
        <f aca="false">(INDEX(CdP,2,i_P+1)-INDEX(CdP,2,i_P+0))/(INDEX(CdP,1,i_P+1)-INDEX(CdP,1,i_P+0))*(t-pas/2-T_ini-INDEX(CdP,1,i_P+0))+INDEX(CdP,2,i_P+0)</f>
        <v>0</v>
      </c>
      <c r="R585" s="396" t="n">
        <f aca="false">Poussee/(g*ISP)</f>
        <v>0</v>
      </c>
      <c r="S585" s="398" t="n">
        <f aca="false">S584-Débit*pas</f>
        <v>8.45</v>
      </c>
      <c r="T585" s="397" t="n">
        <f aca="false">m*g</f>
        <v>82.8945</v>
      </c>
      <c r="U585" s="400" t="n">
        <f aca="false">IF(pos_xz&lt;L_rampe,Poids*COS(Beta),0)</f>
        <v>0</v>
      </c>
      <c r="V585" s="396" t="n">
        <f aca="false">Rho_moyen*(20000-Alt_rampe-pos_z)/(20000+Alt_rampe+pos_z)</f>
        <v>1.22616767926617</v>
      </c>
      <c r="W585" s="397" t="n">
        <f aca="false">1/2*Rho*Sref*Cx*vit_xz^2</f>
        <v>62.0293830326876</v>
      </c>
      <c r="Y585" s="401" t="str">
        <f aca="false">IF(AND(pos_z&lt;=0,K584&gt;0),"Impact balistique","") &amp; IF(AND(H586&lt;0,vit_z&gt;=0),"Apogée","") &amp; IF(AND(Poussee=0,Q584&gt;0),"Fin de propulsion","") &amp; IF(AND(L586&gt;L_rampe,pos_xz&lt;=L_rampe),"Sortie de rampe","")</f>
        <v/>
      </c>
      <c r="Z585" s="402" t="str">
        <f aca="false">IF(ABS(t-T_para)&lt;pas/2,"Para","")</f>
        <v/>
      </c>
      <c r="AA585" s="403" t="str">
        <f aca="false">IF(ABS(t-T_satellite)&lt;pas/2,"Satellite","")</f>
        <v/>
      </c>
      <c r="AC585" s="399" t="e">
        <f aca="false">IF(ABS(t-ROUND(t,0))&lt;0.001,t,NA())</f>
        <v>#N/A</v>
      </c>
      <c r="AD585" s="404" t="e">
        <f aca="false">IF(ABS(t-ROUND(t,0))&lt;0.001,pos_x,NA())</f>
        <v>#N/A</v>
      </c>
      <c r="AE585" s="405" t="e">
        <f aca="false">IF(t&lt;T_para, pos_z, NA())</f>
        <v>#N/A</v>
      </c>
      <c r="AG585" s="396" t="n">
        <f aca="false">IF(AND(L584&lt;L_rampe,Poussee&lt;Poids*SIN(M584)),0,(-W584+Poussee)/m-Poids*SIN(M584)/m)</f>
        <v>2.42098351170622</v>
      </c>
      <c r="AH585" s="397" t="n">
        <f aca="false">IF(AND(L584&lt;L_rampe,Poussee&lt;Poids*SIN(M584)), g*SIN(M584), (-W584+Poussee)/m)</f>
        <v>-7.34071626398111</v>
      </c>
    </row>
    <row r="586" customFormat="false" ht="12.75" hidden="false" customHeight="false" outlineLevel="0" collapsed="false">
      <c r="A586" s="396" t="n">
        <f aca="false">IF(B585+0.01&lt;=T_ini+ROUNDUP(Temps_fin_propu,0), 0.01, IF(K585&gt;0, 0.1, 0.0001))</f>
        <v>0.0001</v>
      </c>
      <c r="B586" s="397" t="n">
        <f aca="false">B585+pas</f>
        <v>32.1081000000005</v>
      </c>
      <c r="D586" s="396" t="n">
        <f aca="false">IF(AND(L585&lt;L_rampe,Poussee&lt;Poids*SIN(M585)),0,(-W585+Poussee)/m*COS(M585)-U585/m*SIN(M585))</f>
        <v>-0.727540099701966</v>
      </c>
      <c r="E586" s="398" t="n">
        <f aca="false">IF(AND(L585&lt;L_rampe,Poussee&lt;Poids*SIN(M585)),0,(-W585+Poussee)/m*SIN(M585)+U585/m*COS(M585)-Poids/m)</f>
        <v>-2.50538672639827</v>
      </c>
      <c r="F586" s="397" t="n">
        <f aca="false">SQRT(acc_x^2+acc_z^2)</f>
        <v>2.60888429131822</v>
      </c>
      <c r="G586" s="396" t="n">
        <f aca="false">G585+acc_x*pas</f>
        <v>11.4914136579536</v>
      </c>
      <c r="H586" s="398" t="n">
        <f aca="false">H585+acc_z*pas</f>
        <v>-115.376522186969</v>
      </c>
      <c r="I586" s="397" t="n">
        <f aca="false">SQRT(vit_x^2+vit_z^2)</f>
        <v>115.947377977332</v>
      </c>
      <c r="J586" s="396" t="n">
        <f aca="false">J585+0.5*(vit_x+G585)*pas*(K585&gt;=0)</f>
        <v>690.928492655337</v>
      </c>
      <c r="K586" s="398" t="n">
        <f aca="false">K585+0.5*(vit_z+H585)*pas</f>
        <v>-9.53907242278393</v>
      </c>
      <c r="L586" s="397" t="n">
        <f aca="false">SQRT(pos_x^2+pos_z^2)</f>
        <v>690.994338519255</v>
      </c>
      <c r="M586" s="396" t="n">
        <f aca="false">IF(AND(L585&gt;L_rampe,G586&gt;0),ATAN2(G586,H586),$M$4)</f>
        <v>-1.47152448438751</v>
      </c>
      <c r="N586" s="397" t="n">
        <f aca="false">DEGREES(Beta)</f>
        <v>-84.312142405569</v>
      </c>
      <c r="P586" s="399" t="n">
        <f aca="false">MATCH(t-pas/2-T_ini,CdP_t)</f>
        <v>23</v>
      </c>
      <c r="Q586" s="397" t="n">
        <f aca="false">(INDEX(CdP,2,i_P+1)-INDEX(CdP,2,i_P+0))/(INDEX(CdP,1,i_P+1)-INDEX(CdP,1,i_P+0))*(t-pas/2-T_ini-INDEX(CdP,1,i_P+0))+INDEX(CdP,2,i_P+0)</f>
        <v>0</v>
      </c>
      <c r="R586" s="396" t="n">
        <f aca="false">Poussee/(g*ISP)</f>
        <v>0</v>
      </c>
      <c r="S586" s="398" t="n">
        <f aca="false">S585-Débit*pas</f>
        <v>8.45</v>
      </c>
      <c r="T586" s="397" t="n">
        <f aca="false">m*g</f>
        <v>82.8945</v>
      </c>
      <c r="U586" s="400" t="n">
        <f aca="false">IF(pos_xz&lt;L_rampe,Poids*COS(Beta),0)</f>
        <v>0</v>
      </c>
      <c r="V586" s="396" t="n">
        <f aca="false">Rho_moyen*(20000-Alt_rampe-pos_z)/(20000+Alt_rampe+pos_z)</f>
        <v>1.2261690939754</v>
      </c>
      <c r="W586" s="397" t="n">
        <f aca="false">1/2*Rho*Sref*Cx*vit_xz^2</f>
        <v>62.0297136320124</v>
      </c>
      <c r="Y586" s="401" t="str">
        <f aca="false">IF(AND(pos_z&lt;=0,K585&gt;0),"Impact balistique","") &amp; IF(AND(H587&lt;0,vit_z&gt;=0),"Apogée","") &amp; IF(AND(Poussee=0,Q585&gt;0),"Fin de propulsion","") &amp; IF(AND(L587&gt;L_rampe,pos_xz&lt;=L_rampe),"Sortie de rampe","")</f>
        <v/>
      </c>
      <c r="Z586" s="402" t="str">
        <f aca="false">IF(ABS(t-T_para)&lt;pas/2,"Para","")</f>
        <v/>
      </c>
      <c r="AA586" s="403" t="str">
        <f aca="false">IF(ABS(t-T_satellite)&lt;pas/2,"Satellite","")</f>
        <v/>
      </c>
      <c r="AC586" s="399" t="e">
        <f aca="false">IF(ABS(t-ROUND(t,0))&lt;0.001,t,NA())</f>
        <v>#N/A</v>
      </c>
      <c r="AD586" s="404" t="e">
        <f aca="false">IF(ABS(t-ROUND(t,0))&lt;0.001,pos_x,NA())</f>
        <v>#N/A</v>
      </c>
      <c r="AE586" s="405" t="e">
        <f aca="false">IF(t&lt;T_para, pos_z, NA())</f>
        <v>#N/A</v>
      </c>
      <c r="AG586" s="396" t="n">
        <f aca="false">IF(AND(L585&lt;L_rampe,Poussee&lt;Poids*SIN(M585)),0,(-W585+Poussee)/m-Poids*SIN(M585)/m)</f>
        <v>2.42094520250059</v>
      </c>
      <c r="AH586" s="397" t="n">
        <f aca="false">IF(AND(L585&lt;L_rampe,Poussee&lt;Poids*SIN(M585)), g*SIN(M585), (-W585+Poussee)/m)</f>
        <v>-7.34075538848373</v>
      </c>
    </row>
    <row r="587" customFormat="false" ht="12.75" hidden="false" customHeight="false" outlineLevel="0" collapsed="false">
      <c r="A587" s="396" t="n">
        <f aca="false">IF(B586+0.01&lt;=T_ini+ROUNDUP(Temps_fin_propu,0), 0.01, IF(K586&gt;0, 0.1, 0.0001))</f>
        <v>0.0001</v>
      </c>
      <c r="B587" s="397" t="n">
        <f aca="false">B586+pas</f>
        <v>32.1082000000005</v>
      </c>
      <c r="D587" s="396" t="n">
        <f aca="false">IF(AND(L586&lt;L_rampe,Poussee&lt;Poids*SIN(M586)),0,(-W586+Poussee)/m*COS(M586)-U586/m*SIN(M586))</f>
        <v>-0.727537852037942</v>
      </c>
      <c r="E587" s="398" t="n">
        <f aca="false">IF(AND(L586&lt;L_rampe,Poussee&lt;Poids*SIN(M586)),0,(-W586+Poussee)/m*SIN(M586)+U586/m*COS(M586)-Poids/m)</f>
        <v>-2.50534718477239</v>
      </c>
      <c r="F587" s="397" t="n">
        <f aca="false">SQRT(acc_x^2+acc_z^2)</f>
        <v>2.60884569156455</v>
      </c>
      <c r="G587" s="396" t="n">
        <f aca="false">G586+acc_x*pas</f>
        <v>11.4913409041684</v>
      </c>
      <c r="H587" s="398" t="n">
        <f aca="false">H586+acc_z*pas</f>
        <v>-115.376772721688</v>
      </c>
      <c r="I587" s="397" t="n">
        <f aca="false">SQRT(vit_x^2+vit_z^2)</f>
        <v>115.947620068063</v>
      </c>
      <c r="J587" s="396" t="n">
        <f aca="false">J586+0.5*(vit_x+G586)*pas*(K586&gt;=0)</f>
        <v>690.928492655337</v>
      </c>
      <c r="K587" s="398" t="n">
        <f aca="false">K586+0.5*(vit_z+H586)*pas</f>
        <v>-9.55061008752936</v>
      </c>
      <c r="L587" s="397" t="n">
        <f aca="false">SQRT(pos_x^2+pos_z^2)</f>
        <v>690.994497891278</v>
      </c>
      <c r="M587" s="396" t="n">
        <f aca="false">IF(AND(L586&gt;L_rampe,G587&gt;0),ATAN2(G587,H587),$M$4)</f>
        <v>-1.47152532291962</v>
      </c>
      <c r="N587" s="397" t="n">
        <f aca="false">DEGREES(Beta)</f>
        <v>-84.3121904499196</v>
      </c>
      <c r="P587" s="399" t="n">
        <f aca="false">MATCH(t-pas/2-T_ini,CdP_t)</f>
        <v>23</v>
      </c>
      <c r="Q587" s="397" t="n">
        <f aca="false">(INDEX(CdP,2,i_P+1)-INDEX(CdP,2,i_P+0))/(INDEX(CdP,1,i_P+1)-INDEX(CdP,1,i_P+0))*(t-pas/2-T_ini-INDEX(CdP,1,i_P+0))+INDEX(CdP,2,i_P+0)</f>
        <v>0</v>
      </c>
      <c r="R587" s="396" t="n">
        <f aca="false">Poussee/(g*ISP)</f>
        <v>0</v>
      </c>
      <c r="S587" s="398" t="n">
        <f aca="false">S586-Débit*pas</f>
        <v>8.45</v>
      </c>
      <c r="T587" s="397" t="n">
        <f aca="false">m*g</f>
        <v>82.8945</v>
      </c>
      <c r="U587" s="400" t="n">
        <f aca="false">IF(pos_xz&lt;L_rampe,Poids*COS(Beta),0)</f>
        <v>0</v>
      </c>
      <c r="V587" s="396" t="n">
        <f aca="false">Rho_moyen*(20000-Alt_rampe-pos_z)/(20000+Alt_rampe+pos_z)</f>
        <v>1.22617050868933</v>
      </c>
      <c r="W587" s="397" t="n">
        <f aca="false">1/2*Rho*Sref*Cx*vit_xz^2</f>
        <v>62.0300442286149</v>
      </c>
      <c r="Y587" s="401" t="str">
        <f aca="false">IF(AND(pos_z&lt;=0,K586&gt;0),"Impact balistique","") &amp; IF(AND(H588&lt;0,vit_z&gt;=0),"Apogée","") &amp; IF(AND(Poussee=0,Q586&gt;0),"Fin de propulsion","") &amp; IF(AND(L588&gt;L_rampe,pos_xz&lt;=L_rampe),"Sortie de rampe","")</f>
        <v/>
      </c>
      <c r="Z587" s="402" t="str">
        <f aca="false">IF(ABS(t-T_para)&lt;pas/2,"Para","")</f>
        <v/>
      </c>
      <c r="AA587" s="403" t="str">
        <f aca="false">IF(ABS(t-T_satellite)&lt;pas/2,"Satellite","")</f>
        <v/>
      </c>
      <c r="AC587" s="399" t="e">
        <f aca="false">IF(ABS(t-ROUND(t,0))&lt;0.001,t,NA())</f>
        <v>#N/A</v>
      </c>
      <c r="AD587" s="404" t="e">
        <f aca="false">IF(ABS(t-ROUND(t,0))&lt;0.001,pos_x,NA())</f>
        <v>#N/A</v>
      </c>
      <c r="AE587" s="405" t="e">
        <f aca="false">IF(t&lt;T_para, pos_z, NA())</f>
        <v>#N/A</v>
      </c>
      <c r="AG587" s="396" t="n">
        <f aca="false">IF(AND(L586&lt;L_rampe,Poussee&lt;Poids*SIN(M586)),0,(-W586+Poussee)/m-Poids*SIN(M586)/m)</f>
        <v>2.42090689360169</v>
      </c>
      <c r="AH587" s="397" t="n">
        <f aca="false">IF(AND(L586&lt;L_rampe,Poussee&lt;Poids*SIN(M586)), g*SIN(M586), (-W586+Poussee)/m)</f>
        <v>-7.34079451266419</v>
      </c>
    </row>
    <row r="588" customFormat="false" ht="12.75" hidden="false" customHeight="false" outlineLevel="0" collapsed="false">
      <c r="A588" s="396" t="n">
        <f aca="false">IF(B587+0.01&lt;=T_ini+ROUNDUP(Temps_fin_propu,0), 0.01, IF(K587&gt;0, 0.1, 0.0001))</f>
        <v>0.0001</v>
      </c>
      <c r="B588" s="397" t="n">
        <f aca="false">B587+pas</f>
        <v>32.1083000000005</v>
      </c>
      <c r="D588" s="396" t="n">
        <f aca="false">IF(AND(L587&lt;L_rampe,Poussee&lt;Poids*SIN(M587)),0,(-W587+Poussee)/m*COS(M587)-U587/m*SIN(M587))</f>
        <v>-0.727535604340545</v>
      </c>
      <c r="E588" s="398" t="n">
        <f aca="false">IF(AND(L587&lt;L_rampe,Poussee&lt;Poids*SIN(M587)),0,(-W587+Poussee)/m*SIN(M587)+U587/m*COS(M587)-Poids/m)</f>
        <v>-2.50530764347213</v>
      </c>
      <c r="F588" s="397" t="n">
        <f aca="false">SQRT(acc_x^2+acc_z^2)</f>
        <v>2.60880709214442</v>
      </c>
      <c r="G588" s="396" t="n">
        <f aca="false">G587+acc_x*pas</f>
        <v>11.4912681506079</v>
      </c>
      <c r="H588" s="398" t="n">
        <f aca="false">H587+acc_z*pas</f>
        <v>-115.377023252452</v>
      </c>
      <c r="I588" s="397" t="n">
        <f aca="false">SQRT(vit_x^2+vit_z^2)</f>
        <v>115.947862154962</v>
      </c>
      <c r="J588" s="396" t="n">
        <f aca="false">J587+0.5*(vit_x+G587)*pas*(K587&gt;=0)</f>
        <v>690.928492655337</v>
      </c>
      <c r="K588" s="398" t="n">
        <f aca="false">K587+0.5*(vit_z+H587)*pas</f>
        <v>-9.56214777732807</v>
      </c>
      <c r="L588" s="397" t="n">
        <f aca="false">SQRT(pos_x^2+pos_z^2)</f>
        <v>690.994657456258</v>
      </c>
      <c r="M588" s="396" t="n">
        <f aca="false">IF(AND(L587&gt;L_rampe,G588&gt;0),ATAN2(G588,H588),$M$4)</f>
        <v>-1.47152616144291</v>
      </c>
      <c r="N588" s="397" t="n">
        <f aca="false">DEGREES(Beta)</f>
        <v>-84.3122384937653</v>
      </c>
      <c r="P588" s="399" t="n">
        <f aca="false">MATCH(t-pas/2-T_ini,CdP_t)</f>
        <v>23</v>
      </c>
      <c r="Q588" s="397" t="n">
        <f aca="false">(INDEX(CdP,2,i_P+1)-INDEX(CdP,2,i_P+0))/(INDEX(CdP,1,i_P+1)-INDEX(CdP,1,i_P+0))*(t-pas/2-T_ini-INDEX(CdP,1,i_P+0))+INDEX(CdP,2,i_P+0)</f>
        <v>0</v>
      </c>
      <c r="R588" s="396" t="n">
        <f aca="false">Poussee/(g*ISP)</f>
        <v>0</v>
      </c>
      <c r="S588" s="398" t="n">
        <f aca="false">S587-Débit*pas</f>
        <v>8.45</v>
      </c>
      <c r="T588" s="397" t="n">
        <f aca="false">m*g</f>
        <v>82.8945</v>
      </c>
      <c r="U588" s="400" t="n">
        <f aca="false">IF(pos_xz&lt;L_rampe,Poids*COS(Beta),0)</f>
        <v>0</v>
      </c>
      <c r="V588" s="396" t="n">
        <f aca="false">Rho_moyen*(20000-Alt_rampe-pos_z)/(20000+Alt_rampe+pos_z)</f>
        <v>1.22617192340796</v>
      </c>
      <c r="W588" s="397" t="n">
        <f aca="false">1/2*Rho*Sref*Cx*vit_xz^2</f>
        <v>62.0303748224951</v>
      </c>
      <c r="Y588" s="401" t="str">
        <f aca="false">IF(AND(pos_z&lt;=0,K587&gt;0),"Impact balistique","") &amp; IF(AND(H589&lt;0,vit_z&gt;=0),"Apogée","") &amp; IF(AND(Poussee=0,Q587&gt;0),"Fin de propulsion","") &amp; IF(AND(L589&gt;L_rampe,pos_xz&lt;=L_rampe),"Sortie de rampe","")</f>
        <v/>
      </c>
      <c r="Z588" s="402" t="str">
        <f aca="false">IF(ABS(t-T_para)&lt;pas/2,"Para","")</f>
        <v/>
      </c>
      <c r="AA588" s="403" t="str">
        <f aca="false">IF(ABS(t-T_satellite)&lt;pas/2,"Satellite","")</f>
        <v/>
      </c>
      <c r="AC588" s="399" t="e">
        <f aca="false">IF(ABS(t-ROUND(t,0))&lt;0.001,t,NA())</f>
        <v>#N/A</v>
      </c>
      <c r="AD588" s="404" t="e">
        <f aca="false">IF(ABS(t-ROUND(t,0))&lt;0.001,pos_x,NA())</f>
        <v>#N/A</v>
      </c>
      <c r="AE588" s="405" t="e">
        <f aca="false">IF(t&lt;T_para, pos_z, NA())</f>
        <v>#N/A</v>
      </c>
      <c r="AG588" s="396" t="n">
        <f aca="false">IF(AND(L587&lt;L_rampe,Poussee&lt;Poids*SIN(M587)),0,(-W587+Poussee)/m-Poids*SIN(M587)/m)</f>
        <v>2.42086858500953</v>
      </c>
      <c r="AH588" s="397" t="n">
        <f aca="false">IF(AND(L587&lt;L_rampe,Poussee&lt;Poids*SIN(M587)), g*SIN(M587), (-W587+Poussee)/m)</f>
        <v>-7.34083363652248</v>
      </c>
    </row>
    <row r="589" customFormat="false" ht="12.75" hidden="false" customHeight="false" outlineLevel="0" collapsed="false">
      <c r="A589" s="396" t="n">
        <f aca="false">IF(B588+0.01&lt;=T_ini+ROUNDUP(Temps_fin_propu,0), 0.01, IF(K588&gt;0, 0.1, 0.0001))</f>
        <v>0.0001</v>
      </c>
      <c r="B589" s="397" t="n">
        <f aca="false">B588+pas</f>
        <v>32.1084000000005</v>
      </c>
      <c r="D589" s="396" t="n">
        <f aca="false">IF(AND(L588&lt;L_rampe,Poussee&lt;Poids*SIN(M588)),0,(-W588+Poussee)/m*COS(M588)-U588/m*SIN(M588))</f>
        <v>-0.727533356609773</v>
      </c>
      <c r="E589" s="398" t="n">
        <f aca="false">IF(AND(L588&lt;L_rampe,Poussee&lt;Poids*SIN(M588)),0,(-W588+Poussee)/m*SIN(M588)+U588/m*COS(M588)-Poids/m)</f>
        <v>-2.5052681024975</v>
      </c>
      <c r="F589" s="397" t="n">
        <f aca="false">SQRT(acc_x^2+acc_z^2)</f>
        <v>2.60876849305785</v>
      </c>
      <c r="G589" s="396" t="n">
        <f aca="false">G588+acc_x*pas</f>
        <v>11.4911953972723</v>
      </c>
      <c r="H589" s="398" t="n">
        <f aca="false">H588+acc_z*pas</f>
        <v>-115.377273779262</v>
      </c>
      <c r="I589" s="397" t="n">
        <f aca="false">SQRT(vit_x^2+vit_z^2)</f>
        <v>115.94810423803</v>
      </c>
      <c r="J589" s="396" t="n">
        <f aca="false">J588+0.5*(vit_x+G588)*pas*(K588&gt;=0)</f>
        <v>690.928492655337</v>
      </c>
      <c r="K589" s="398" t="n">
        <f aca="false">K588+0.5*(vit_z+H588)*pas</f>
        <v>-9.57368549217965</v>
      </c>
      <c r="L589" s="397" t="n">
        <f aca="false">SQRT(pos_x^2+pos_z^2)</f>
        <v>690.994817214195</v>
      </c>
      <c r="M589" s="396" t="n">
        <f aca="false">IF(AND(L588&gt;L_rampe,G589&gt;0),ATAN2(G589,H589),$M$4)</f>
        <v>-1.47152699995739</v>
      </c>
      <c r="N589" s="397" t="n">
        <f aca="false">DEGREES(Beta)</f>
        <v>-84.3122865371063</v>
      </c>
      <c r="P589" s="399" t="n">
        <f aca="false">MATCH(t-pas/2-T_ini,CdP_t)</f>
        <v>23</v>
      </c>
      <c r="Q589" s="397" t="n">
        <f aca="false">(INDEX(CdP,2,i_P+1)-INDEX(CdP,2,i_P+0))/(INDEX(CdP,1,i_P+1)-INDEX(CdP,1,i_P+0))*(t-pas/2-T_ini-INDEX(CdP,1,i_P+0))+INDEX(CdP,2,i_P+0)</f>
        <v>0</v>
      </c>
      <c r="R589" s="396" t="n">
        <f aca="false">Poussee/(g*ISP)</f>
        <v>0</v>
      </c>
      <c r="S589" s="398" t="n">
        <f aca="false">S588-Débit*pas</f>
        <v>8.45</v>
      </c>
      <c r="T589" s="397" t="n">
        <f aca="false">m*g</f>
        <v>82.8945</v>
      </c>
      <c r="U589" s="400" t="n">
        <f aca="false">IF(pos_xz&lt;L_rampe,Poids*COS(Beta),0)</f>
        <v>0</v>
      </c>
      <c r="V589" s="396" t="n">
        <f aca="false">Rho_moyen*(20000-Alt_rampe-pos_z)/(20000+Alt_rampe+pos_z)</f>
        <v>1.2261733381313</v>
      </c>
      <c r="W589" s="397" t="n">
        <f aca="false">1/2*Rho*Sref*Cx*vit_xz^2</f>
        <v>62.030705413653</v>
      </c>
      <c r="Y589" s="401" t="str">
        <f aca="false">IF(AND(pos_z&lt;=0,K588&gt;0),"Impact balistique","") &amp; IF(AND(H590&lt;0,vit_z&gt;=0),"Apogée","") &amp; IF(AND(Poussee=0,Q588&gt;0),"Fin de propulsion","") &amp; IF(AND(L590&gt;L_rampe,pos_xz&lt;=L_rampe),"Sortie de rampe","")</f>
        <v/>
      </c>
      <c r="Z589" s="402" t="str">
        <f aca="false">IF(ABS(t-T_para)&lt;pas/2,"Para","")</f>
        <v/>
      </c>
      <c r="AA589" s="403" t="str">
        <f aca="false">IF(ABS(t-T_satellite)&lt;pas/2,"Satellite","")</f>
        <v/>
      </c>
      <c r="AC589" s="399" t="e">
        <f aca="false">IF(ABS(t-ROUND(t,0))&lt;0.001,t,NA())</f>
        <v>#N/A</v>
      </c>
      <c r="AD589" s="404" t="e">
        <f aca="false">IF(ABS(t-ROUND(t,0))&lt;0.001,pos_x,NA())</f>
        <v>#N/A</v>
      </c>
      <c r="AE589" s="405" t="e">
        <f aca="false">IF(t&lt;T_para, pos_z, NA())</f>
        <v>#N/A</v>
      </c>
      <c r="AG589" s="396" t="n">
        <f aca="false">IF(AND(L588&lt;L_rampe,Poussee&lt;Poids*SIN(M588)),0,(-W588+Poussee)/m-Poids*SIN(M588)/m)</f>
        <v>2.42083027672412</v>
      </c>
      <c r="AH589" s="397" t="n">
        <f aca="false">IF(AND(L588&lt;L_rampe,Poussee&lt;Poids*SIN(M588)), g*SIN(M588), (-W588+Poussee)/m)</f>
        <v>-7.3408727600586</v>
      </c>
    </row>
    <row r="590" customFormat="false" ht="12.75" hidden="false" customHeight="false" outlineLevel="0" collapsed="false">
      <c r="A590" s="396" t="n">
        <f aca="false">IF(B589+0.01&lt;=T_ini+ROUNDUP(Temps_fin_propu,0), 0.01, IF(K589&gt;0, 0.1, 0.0001))</f>
        <v>0.0001</v>
      </c>
      <c r="B590" s="397" t="n">
        <f aca="false">B589+pas</f>
        <v>32.1085000000005</v>
      </c>
      <c r="D590" s="396" t="n">
        <f aca="false">IF(AND(L589&lt;L_rampe,Poussee&lt;Poids*SIN(M589)),0,(-W589+Poussee)/m*COS(M589)-U589/m*SIN(M589))</f>
        <v>-0.727531108845629</v>
      </c>
      <c r="E590" s="398" t="n">
        <f aca="false">IF(AND(L589&lt;L_rampe,Poussee&lt;Poids*SIN(M589)),0,(-W589+Poussee)/m*SIN(M589)+U589/m*COS(M589)-Poids/m)</f>
        <v>-2.50522856184851</v>
      </c>
      <c r="F590" s="397" t="n">
        <f aca="false">SQRT(acc_x^2+acc_z^2)</f>
        <v>2.60872989430483</v>
      </c>
      <c r="G590" s="396" t="n">
        <f aca="false">G589+acc_x*pas</f>
        <v>11.4911226441614</v>
      </c>
      <c r="H590" s="398" t="n">
        <f aca="false">H589+acc_z*pas</f>
        <v>-115.377524302118</v>
      </c>
      <c r="I590" s="397" t="n">
        <f aca="false">SQRT(vit_x^2+vit_z^2)</f>
        <v>115.948346317268</v>
      </c>
      <c r="J590" s="396" t="n">
        <f aca="false">J589+0.5*(vit_x+G589)*pas*(K589&gt;=0)</f>
        <v>690.928492655337</v>
      </c>
      <c r="K590" s="398" t="n">
        <f aca="false">K589+0.5*(vit_z+H589)*pas</f>
        <v>-9.58522323208372</v>
      </c>
      <c r="L590" s="397" t="n">
        <f aca="false">SQRT(pos_x^2+pos_z^2)</f>
        <v>690.994977165091</v>
      </c>
      <c r="M590" s="396" t="n">
        <f aca="false">IF(AND(L589&gt;L_rampe,G590&gt;0),ATAN2(G590,H590),$M$4)</f>
        <v>-1.47152783846307</v>
      </c>
      <c r="N590" s="397" t="n">
        <f aca="false">DEGREES(Beta)</f>
        <v>-84.3123345799425</v>
      </c>
      <c r="P590" s="399" t="n">
        <f aca="false">MATCH(t-pas/2-T_ini,CdP_t)</f>
        <v>23</v>
      </c>
      <c r="Q590" s="397" t="n">
        <f aca="false">(INDEX(CdP,2,i_P+1)-INDEX(CdP,2,i_P+0))/(INDEX(CdP,1,i_P+1)-INDEX(CdP,1,i_P+0))*(t-pas/2-T_ini-INDEX(CdP,1,i_P+0))+INDEX(CdP,2,i_P+0)</f>
        <v>0</v>
      </c>
      <c r="R590" s="396" t="n">
        <f aca="false">Poussee/(g*ISP)</f>
        <v>0</v>
      </c>
      <c r="S590" s="398" t="n">
        <f aca="false">S589-Débit*pas</f>
        <v>8.45</v>
      </c>
      <c r="T590" s="397" t="n">
        <f aca="false">m*g</f>
        <v>82.8945</v>
      </c>
      <c r="U590" s="400" t="n">
        <f aca="false">IF(pos_xz&lt;L_rampe,Poids*COS(Beta),0)</f>
        <v>0</v>
      </c>
      <c r="V590" s="396" t="n">
        <f aca="false">Rho_moyen*(20000-Alt_rampe-pos_z)/(20000+Alt_rampe+pos_z)</f>
        <v>1.22617475285935</v>
      </c>
      <c r="W590" s="397" t="n">
        <f aca="false">1/2*Rho*Sref*Cx*vit_xz^2</f>
        <v>62.0310360020885</v>
      </c>
      <c r="Y590" s="401" t="str">
        <f aca="false">IF(AND(pos_z&lt;=0,K589&gt;0),"Impact balistique","") &amp; IF(AND(H591&lt;0,vit_z&gt;=0),"Apogée","") &amp; IF(AND(Poussee=0,Q589&gt;0),"Fin de propulsion","") &amp; IF(AND(L591&gt;L_rampe,pos_xz&lt;=L_rampe),"Sortie de rampe","")</f>
        <v/>
      </c>
      <c r="Z590" s="402" t="str">
        <f aca="false">IF(ABS(t-T_para)&lt;pas/2,"Para","")</f>
        <v/>
      </c>
      <c r="AA590" s="403" t="str">
        <f aca="false">IF(ABS(t-T_satellite)&lt;pas/2,"Satellite","")</f>
        <v/>
      </c>
      <c r="AC590" s="399" t="e">
        <f aca="false">IF(ABS(t-ROUND(t,0))&lt;0.001,t,NA())</f>
        <v>#N/A</v>
      </c>
      <c r="AD590" s="404" t="e">
        <f aca="false">IF(ABS(t-ROUND(t,0))&lt;0.001,pos_x,NA())</f>
        <v>#N/A</v>
      </c>
      <c r="AE590" s="405" t="e">
        <f aca="false">IF(t&lt;T_para, pos_z, NA())</f>
        <v>#N/A</v>
      </c>
      <c r="AG590" s="396" t="n">
        <f aca="false">IF(AND(L589&lt;L_rampe,Poussee&lt;Poids*SIN(M589)),0,(-W589+Poussee)/m-Poids*SIN(M589)/m)</f>
        <v>2.42079196874544</v>
      </c>
      <c r="AH590" s="397" t="n">
        <f aca="false">IF(AND(L589&lt;L_rampe,Poussee&lt;Poids*SIN(M589)), g*SIN(M589), (-W589+Poussee)/m)</f>
        <v>-7.34091188327254</v>
      </c>
    </row>
    <row r="591" customFormat="false" ht="12.75" hidden="false" customHeight="false" outlineLevel="0" collapsed="false">
      <c r="A591" s="396" t="n">
        <f aca="false">IF(B590+0.01&lt;=T_ini+ROUNDUP(Temps_fin_propu,0), 0.01, IF(K590&gt;0, 0.1, 0.0001))</f>
        <v>0.0001</v>
      </c>
      <c r="B591" s="397" t="n">
        <f aca="false">B590+pas</f>
        <v>32.1086000000005</v>
      </c>
      <c r="D591" s="396" t="n">
        <f aca="false">IF(AND(L590&lt;L_rampe,Poussee&lt;Poids*SIN(M590)),0,(-W590+Poussee)/m*COS(M590)-U590/m*SIN(M590))</f>
        <v>-0.727528861048113</v>
      </c>
      <c r="E591" s="398" t="n">
        <f aca="false">IF(AND(L590&lt;L_rampe,Poussee&lt;Poids*SIN(M590)),0,(-W590+Poussee)/m*SIN(M590)+U590/m*COS(M590)-Poids/m)</f>
        <v>-2.50518902152513</v>
      </c>
      <c r="F591" s="397" t="n">
        <f aca="false">SQRT(acc_x^2+acc_z^2)</f>
        <v>2.60869129588536</v>
      </c>
      <c r="G591" s="396" t="n">
        <f aca="false">G590+acc_x*pas</f>
        <v>11.4910498912753</v>
      </c>
      <c r="H591" s="398" t="n">
        <f aca="false">H590+acc_z*pas</f>
        <v>-115.377774821021</v>
      </c>
      <c r="I591" s="397" t="n">
        <f aca="false">SQRT(vit_x^2+vit_z^2)</f>
        <v>115.948588392675</v>
      </c>
      <c r="J591" s="396" t="n">
        <f aca="false">J590+0.5*(vit_x+G590)*pas*(K590&gt;=0)</f>
        <v>690.928492655337</v>
      </c>
      <c r="K591" s="398" t="n">
        <f aca="false">K590+0.5*(vit_z+H590)*pas</f>
        <v>-9.59676099703988</v>
      </c>
      <c r="L591" s="397" t="n">
        <f aca="false">SQRT(pos_x^2+pos_z^2)</f>
        <v>690.995137308947</v>
      </c>
      <c r="M591" s="396" t="n">
        <f aca="false">IF(AND(L590&gt;L_rampe,G591&gt;0),ATAN2(G591,H591),$M$4)</f>
        <v>-1.47152867695993</v>
      </c>
      <c r="N591" s="397" t="n">
        <f aca="false">DEGREES(Beta)</f>
        <v>-84.312382622274</v>
      </c>
      <c r="P591" s="399" t="n">
        <f aca="false">MATCH(t-pas/2-T_ini,CdP_t)</f>
        <v>23</v>
      </c>
      <c r="Q591" s="397" t="n">
        <f aca="false">(INDEX(CdP,2,i_P+1)-INDEX(CdP,2,i_P+0))/(INDEX(CdP,1,i_P+1)-INDEX(CdP,1,i_P+0))*(t-pas/2-T_ini-INDEX(CdP,1,i_P+0))+INDEX(CdP,2,i_P+0)</f>
        <v>0</v>
      </c>
      <c r="R591" s="396" t="n">
        <f aca="false">Poussee/(g*ISP)</f>
        <v>0</v>
      </c>
      <c r="S591" s="398" t="n">
        <f aca="false">S590-Débit*pas</f>
        <v>8.45</v>
      </c>
      <c r="T591" s="397" t="n">
        <f aca="false">m*g</f>
        <v>82.8945</v>
      </c>
      <c r="U591" s="400" t="n">
        <f aca="false">IF(pos_xz&lt;L_rampe,Poids*COS(Beta),0)</f>
        <v>0</v>
      </c>
      <c r="V591" s="396" t="n">
        <f aca="false">Rho_moyen*(20000-Alt_rampe-pos_z)/(20000+Alt_rampe+pos_z)</f>
        <v>1.2261761675921</v>
      </c>
      <c r="W591" s="397" t="n">
        <f aca="false">1/2*Rho*Sref*Cx*vit_xz^2</f>
        <v>62.0313665878017</v>
      </c>
      <c r="Y591" s="401" t="str">
        <f aca="false">IF(AND(pos_z&lt;=0,K590&gt;0),"Impact balistique","") &amp; IF(AND(H592&lt;0,vit_z&gt;=0),"Apogée","") &amp; IF(AND(Poussee=0,Q590&gt;0),"Fin de propulsion","") &amp; IF(AND(L592&gt;L_rampe,pos_xz&lt;=L_rampe),"Sortie de rampe","")</f>
        <v/>
      </c>
      <c r="Z591" s="402" t="str">
        <f aca="false">IF(ABS(t-T_para)&lt;pas/2,"Para","")</f>
        <v/>
      </c>
      <c r="AA591" s="403" t="str">
        <f aca="false">IF(ABS(t-T_satellite)&lt;pas/2,"Satellite","")</f>
        <v/>
      </c>
      <c r="AC591" s="399" t="e">
        <f aca="false">IF(ABS(t-ROUND(t,0))&lt;0.001,t,NA())</f>
        <v>#N/A</v>
      </c>
      <c r="AD591" s="404" t="e">
        <f aca="false">IF(ABS(t-ROUND(t,0))&lt;0.001,pos_x,NA())</f>
        <v>#N/A</v>
      </c>
      <c r="AE591" s="405" t="e">
        <f aca="false">IF(t&lt;T_para, pos_z, NA())</f>
        <v>#N/A</v>
      </c>
      <c r="AG591" s="396" t="n">
        <f aca="false">IF(AND(L590&lt;L_rampe,Poussee&lt;Poids*SIN(M590)),0,(-W590+Poussee)/m-Poids*SIN(M590)/m)</f>
        <v>2.42075366107351</v>
      </c>
      <c r="AH591" s="397" t="n">
        <f aca="false">IF(AND(L590&lt;L_rampe,Poussee&lt;Poids*SIN(M590)), g*SIN(M590), (-W590+Poussee)/m)</f>
        <v>-7.34095100616432</v>
      </c>
    </row>
    <row r="592" customFormat="false" ht="12.75" hidden="false" customHeight="false" outlineLevel="0" collapsed="false">
      <c r="A592" s="396" t="n">
        <f aca="false">IF(B591+0.01&lt;=T_ini+ROUNDUP(Temps_fin_propu,0), 0.01, IF(K591&gt;0, 0.1, 0.0001))</f>
        <v>0.0001</v>
      </c>
      <c r="B592" s="397" t="n">
        <f aca="false">B591+pas</f>
        <v>32.1087000000005</v>
      </c>
      <c r="D592" s="396" t="n">
        <f aca="false">IF(AND(L591&lt;L_rampe,Poussee&lt;Poids*SIN(M591)),0,(-W591+Poussee)/m*COS(M591)-U591/m*SIN(M591))</f>
        <v>-0.727526613217226</v>
      </c>
      <c r="E592" s="398" t="n">
        <f aca="false">IF(AND(L591&lt;L_rampe,Poussee&lt;Poids*SIN(M591)),0,(-W591+Poussee)/m*SIN(M591)+U591/m*COS(M591)-Poids/m)</f>
        <v>-2.50514948152739</v>
      </c>
      <c r="F592" s="397" t="n">
        <f aca="false">SQRT(acc_x^2+acc_z^2)</f>
        <v>2.60865269779944</v>
      </c>
      <c r="G592" s="396" t="n">
        <f aca="false">G591+acc_x*pas</f>
        <v>11.4909771386139</v>
      </c>
      <c r="H592" s="398" t="n">
        <f aca="false">H591+acc_z*pas</f>
        <v>-115.378025335969</v>
      </c>
      <c r="I592" s="397" t="n">
        <f aca="false">SQRT(vit_x^2+vit_z^2)</f>
        <v>115.948830464251</v>
      </c>
      <c r="J592" s="396" t="n">
        <f aca="false">J591+0.5*(vit_x+G591)*pas*(K591&gt;=0)</f>
        <v>690.928492655337</v>
      </c>
      <c r="K592" s="398" t="n">
        <f aca="false">K591+0.5*(vit_z+H591)*pas</f>
        <v>-9.60829878704773</v>
      </c>
      <c r="L592" s="397" t="n">
        <f aca="false">SQRT(pos_x^2+pos_z^2)</f>
        <v>690.995297645763</v>
      </c>
      <c r="M592" s="396" t="n">
        <f aca="false">IF(AND(L591&gt;L_rampe,G592&gt;0),ATAN2(G592,H592),$M$4)</f>
        <v>-1.47152951544798</v>
      </c>
      <c r="N592" s="397" t="n">
        <f aca="false">DEGREES(Beta)</f>
        <v>-84.3124306641006</v>
      </c>
      <c r="P592" s="399" t="n">
        <f aca="false">MATCH(t-pas/2-T_ini,CdP_t)</f>
        <v>23</v>
      </c>
      <c r="Q592" s="397" t="n">
        <f aca="false">(INDEX(CdP,2,i_P+1)-INDEX(CdP,2,i_P+0))/(INDEX(CdP,1,i_P+1)-INDEX(CdP,1,i_P+0))*(t-pas/2-T_ini-INDEX(CdP,1,i_P+0))+INDEX(CdP,2,i_P+0)</f>
        <v>0</v>
      </c>
      <c r="R592" s="396" t="n">
        <f aca="false">Poussee/(g*ISP)</f>
        <v>0</v>
      </c>
      <c r="S592" s="398" t="n">
        <f aca="false">S591-Débit*pas</f>
        <v>8.45</v>
      </c>
      <c r="T592" s="397" t="n">
        <f aca="false">m*g</f>
        <v>82.8945</v>
      </c>
      <c r="U592" s="400" t="n">
        <f aca="false">IF(pos_xz&lt;L_rampe,Poids*COS(Beta),0)</f>
        <v>0</v>
      </c>
      <c r="V592" s="396" t="n">
        <f aca="false">Rho_moyen*(20000-Alt_rampe-pos_z)/(20000+Alt_rampe+pos_z)</f>
        <v>1.22617758232956</v>
      </c>
      <c r="W592" s="397" t="n">
        <f aca="false">1/2*Rho*Sref*Cx*vit_xz^2</f>
        <v>62.0316971707925</v>
      </c>
      <c r="Y592" s="401" t="str">
        <f aca="false">IF(AND(pos_z&lt;=0,K591&gt;0),"Impact balistique","") &amp; IF(AND(H593&lt;0,vit_z&gt;=0),"Apogée","") &amp; IF(AND(Poussee=0,Q591&gt;0),"Fin de propulsion","") &amp; IF(AND(L593&gt;L_rampe,pos_xz&lt;=L_rampe),"Sortie de rampe","")</f>
        <v/>
      </c>
      <c r="Z592" s="402" t="str">
        <f aca="false">IF(ABS(t-T_para)&lt;pas/2,"Para","")</f>
        <v/>
      </c>
      <c r="AA592" s="403" t="str">
        <f aca="false">IF(ABS(t-T_satellite)&lt;pas/2,"Satellite","")</f>
        <v/>
      </c>
      <c r="AC592" s="399" t="e">
        <f aca="false">IF(ABS(t-ROUND(t,0))&lt;0.001,t,NA())</f>
        <v>#N/A</v>
      </c>
      <c r="AD592" s="404" t="e">
        <f aca="false">IF(ABS(t-ROUND(t,0))&lt;0.001,pos_x,NA())</f>
        <v>#N/A</v>
      </c>
      <c r="AE592" s="405" t="e">
        <f aca="false">IF(t&lt;T_para, pos_z, NA())</f>
        <v>#N/A</v>
      </c>
      <c r="AG592" s="396" t="n">
        <f aca="false">IF(AND(L591&lt;L_rampe,Poussee&lt;Poids*SIN(M591)),0,(-W591+Poussee)/m-Poids*SIN(M591)/m)</f>
        <v>2.42071535370832</v>
      </c>
      <c r="AH592" s="397" t="n">
        <f aca="false">IF(AND(L591&lt;L_rampe,Poussee&lt;Poids*SIN(M591)), g*SIN(M591), (-W591+Poussee)/m)</f>
        <v>-7.34099012873392</v>
      </c>
    </row>
    <row r="593" customFormat="false" ht="12.75" hidden="false" customHeight="false" outlineLevel="0" collapsed="false">
      <c r="A593" s="396" t="n">
        <f aca="false">IF(B592+0.01&lt;=T_ini+ROUNDUP(Temps_fin_propu,0), 0.01, IF(K592&gt;0, 0.1, 0.0001))</f>
        <v>0.0001</v>
      </c>
      <c r="B593" s="397" t="n">
        <f aca="false">B592+pas</f>
        <v>32.1088000000005</v>
      </c>
      <c r="D593" s="396" t="n">
        <f aca="false">IF(AND(L592&lt;L_rampe,Poussee&lt;Poids*SIN(M592)),0,(-W592+Poussee)/m*COS(M592)-U592/m*SIN(M592))</f>
        <v>-0.727524365352969</v>
      </c>
      <c r="E593" s="398" t="n">
        <f aca="false">IF(AND(L592&lt;L_rampe,Poussee&lt;Poids*SIN(M592)),0,(-W592+Poussee)/m*SIN(M592)+U592/m*COS(M592)-Poids/m)</f>
        <v>-2.50510994185527</v>
      </c>
      <c r="F593" s="397" t="n">
        <f aca="false">SQRT(acc_x^2+acc_z^2)</f>
        <v>2.60861410004707</v>
      </c>
      <c r="G593" s="396" t="n">
        <f aca="false">G592+acc_x*pas</f>
        <v>11.4909043861774</v>
      </c>
      <c r="H593" s="398" t="n">
        <f aca="false">H592+acc_z*pas</f>
        <v>-115.378275846963</v>
      </c>
      <c r="I593" s="397" t="n">
        <f aca="false">SQRT(vit_x^2+vit_z^2)</f>
        <v>115.949072531996</v>
      </c>
      <c r="J593" s="396" t="n">
        <f aca="false">J592+0.5*(vit_x+G592)*pas*(K592&gt;=0)</f>
        <v>690.928492655337</v>
      </c>
      <c r="K593" s="398" t="n">
        <f aca="false">K592+0.5*(vit_z+H592)*pas</f>
        <v>-9.61983660210688</v>
      </c>
      <c r="L593" s="397" t="n">
        <f aca="false">SQRT(pos_x^2+pos_z^2)</f>
        <v>690.995458175542</v>
      </c>
      <c r="M593" s="396" t="n">
        <f aca="false">IF(AND(L592&gt;L_rampe,G593&gt;0),ATAN2(G593,H593),$M$4)</f>
        <v>-1.47153035392723</v>
      </c>
      <c r="N593" s="397" t="n">
        <f aca="false">DEGREES(Beta)</f>
        <v>-84.3124787054225</v>
      </c>
      <c r="P593" s="399" t="n">
        <f aca="false">MATCH(t-pas/2-T_ini,CdP_t)</f>
        <v>23</v>
      </c>
      <c r="Q593" s="397" t="n">
        <f aca="false">(INDEX(CdP,2,i_P+1)-INDEX(CdP,2,i_P+0))/(INDEX(CdP,1,i_P+1)-INDEX(CdP,1,i_P+0))*(t-pas/2-T_ini-INDEX(CdP,1,i_P+0))+INDEX(CdP,2,i_P+0)</f>
        <v>0</v>
      </c>
      <c r="R593" s="396" t="n">
        <f aca="false">Poussee/(g*ISP)</f>
        <v>0</v>
      </c>
      <c r="S593" s="398" t="n">
        <f aca="false">S592-Débit*pas</f>
        <v>8.45</v>
      </c>
      <c r="T593" s="397" t="n">
        <f aca="false">m*g</f>
        <v>82.8945</v>
      </c>
      <c r="U593" s="400" t="n">
        <f aca="false">IF(pos_xz&lt;L_rampe,Poids*COS(Beta),0)</f>
        <v>0</v>
      </c>
      <c r="V593" s="396" t="n">
        <f aca="false">Rho_moyen*(20000-Alt_rampe-pos_z)/(20000+Alt_rampe+pos_z)</f>
        <v>1.22617899707172</v>
      </c>
      <c r="W593" s="397" t="n">
        <f aca="false">1/2*Rho*Sref*Cx*vit_xz^2</f>
        <v>62.0320277510609</v>
      </c>
      <c r="Y593" s="401" t="str">
        <f aca="false">IF(AND(pos_z&lt;=0,K592&gt;0),"Impact balistique","") &amp; IF(AND(H594&lt;0,vit_z&gt;=0),"Apogée","") &amp; IF(AND(Poussee=0,Q592&gt;0),"Fin de propulsion","") &amp; IF(AND(L594&gt;L_rampe,pos_xz&lt;=L_rampe),"Sortie de rampe","")</f>
        <v/>
      </c>
      <c r="Z593" s="402" t="str">
        <f aca="false">IF(ABS(t-T_para)&lt;pas/2,"Para","")</f>
        <v/>
      </c>
      <c r="AA593" s="403" t="str">
        <f aca="false">IF(ABS(t-T_satellite)&lt;pas/2,"Satellite","")</f>
        <v/>
      </c>
      <c r="AC593" s="399" t="e">
        <f aca="false">IF(ABS(t-ROUND(t,0))&lt;0.001,t,NA())</f>
        <v>#N/A</v>
      </c>
      <c r="AD593" s="404" t="e">
        <f aca="false">IF(ABS(t-ROUND(t,0))&lt;0.001,pos_x,NA())</f>
        <v>#N/A</v>
      </c>
      <c r="AE593" s="405" t="e">
        <f aca="false">IF(t&lt;T_para, pos_z, NA())</f>
        <v>#N/A</v>
      </c>
      <c r="AG593" s="396" t="n">
        <f aca="false">IF(AND(L592&lt;L_rampe,Poussee&lt;Poids*SIN(M592)),0,(-W592+Poussee)/m-Poids*SIN(M592)/m)</f>
        <v>2.42067704664987</v>
      </c>
      <c r="AH593" s="397" t="n">
        <f aca="false">IF(AND(L592&lt;L_rampe,Poussee&lt;Poids*SIN(M592)), g*SIN(M592), (-W592+Poussee)/m)</f>
        <v>-7.34102925098136</v>
      </c>
    </row>
    <row r="594" customFormat="false" ht="12.75" hidden="false" customHeight="false" outlineLevel="0" collapsed="false">
      <c r="A594" s="396" t="n">
        <f aca="false">IF(B593+0.01&lt;=T_ini+ROUNDUP(Temps_fin_propu,0), 0.01, IF(K593&gt;0, 0.1, 0.0001))</f>
        <v>0.0001</v>
      </c>
      <c r="B594" s="397" t="n">
        <f aca="false">B593+pas</f>
        <v>32.1089000000005</v>
      </c>
      <c r="D594" s="396" t="n">
        <f aca="false">IF(AND(L593&lt;L_rampe,Poussee&lt;Poids*SIN(M593)),0,(-W593+Poussee)/m*COS(M593)-U593/m*SIN(M593))</f>
        <v>-0.727522117455343</v>
      </c>
      <c r="E594" s="398" t="n">
        <f aca="false">IF(AND(L593&lt;L_rampe,Poussee&lt;Poids*SIN(M593)),0,(-W593+Poussee)/m*SIN(M593)+U593/m*COS(M593)-Poids/m)</f>
        <v>-2.50507040250879</v>
      </c>
      <c r="F594" s="397" t="n">
        <f aca="false">SQRT(acc_x^2+acc_z^2)</f>
        <v>2.60857550262825</v>
      </c>
      <c r="G594" s="396" t="n">
        <f aca="false">G593+acc_x*pas</f>
        <v>11.4908316339657</v>
      </c>
      <c r="H594" s="398" t="n">
        <f aca="false">H593+acc_z*pas</f>
        <v>-115.378526354003</v>
      </c>
      <c r="I594" s="397" t="n">
        <f aca="false">SQRT(vit_x^2+vit_z^2)</f>
        <v>115.949314595911</v>
      </c>
      <c r="J594" s="396" t="n">
        <f aca="false">J593+0.5*(vit_x+G593)*pas*(K593&gt;=0)</f>
        <v>690.928492655337</v>
      </c>
      <c r="K594" s="398" t="n">
        <f aca="false">K593+0.5*(vit_z+H593)*pas</f>
        <v>-9.63137444221692</v>
      </c>
      <c r="L594" s="397" t="n">
        <f aca="false">SQRT(pos_x^2+pos_z^2)</f>
        <v>690.995618898284</v>
      </c>
      <c r="M594" s="396" t="n">
        <f aca="false">IF(AND(L593&gt;L_rampe,G594&gt;0),ATAN2(G594,H594),$M$4)</f>
        <v>-1.47153119239766</v>
      </c>
      <c r="N594" s="397" t="n">
        <f aca="false">DEGREES(Beta)</f>
        <v>-84.3125267462397</v>
      </c>
      <c r="P594" s="399" t="n">
        <f aca="false">MATCH(t-pas/2-T_ini,CdP_t)</f>
        <v>23</v>
      </c>
      <c r="Q594" s="397" t="n">
        <f aca="false">(INDEX(CdP,2,i_P+1)-INDEX(CdP,2,i_P+0))/(INDEX(CdP,1,i_P+1)-INDEX(CdP,1,i_P+0))*(t-pas/2-T_ini-INDEX(CdP,1,i_P+0))+INDEX(CdP,2,i_P+0)</f>
        <v>0</v>
      </c>
      <c r="R594" s="396" t="n">
        <f aca="false">Poussee/(g*ISP)</f>
        <v>0</v>
      </c>
      <c r="S594" s="398" t="n">
        <f aca="false">S593-Débit*pas</f>
        <v>8.45</v>
      </c>
      <c r="T594" s="397" t="n">
        <f aca="false">m*g</f>
        <v>82.8945</v>
      </c>
      <c r="U594" s="400" t="n">
        <f aca="false">IF(pos_xz&lt;L_rampe,Poids*COS(Beta),0)</f>
        <v>0</v>
      </c>
      <c r="V594" s="396" t="n">
        <f aca="false">Rho_moyen*(20000-Alt_rampe-pos_z)/(20000+Alt_rampe+pos_z)</f>
        <v>1.22618041181858</v>
      </c>
      <c r="W594" s="397" t="n">
        <f aca="false">1/2*Rho*Sref*Cx*vit_xz^2</f>
        <v>62.0323583286071</v>
      </c>
      <c r="Y594" s="401" t="str">
        <f aca="false">IF(AND(pos_z&lt;=0,K593&gt;0),"Impact balistique","") &amp; IF(AND(H595&lt;0,vit_z&gt;=0),"Apogée","") &amp; IF(AND(Poussee=0,Q593&gt;0),"Fin de propulsion","") &amp; IF(AND(L595&gt;L_rampe,pos_xz&lt;=L_rampe),"Sortie de rampe","")</f>
        <v/>
      </c>
      <c r="Z594" s="402" t="str">
        <f aca="false">IF(ABS(t-T_para)&lt;pas/2,"Para","")</f>
        <v/>
      </c>
      <c r="AA594" s="403" t="str">
        <f aca="false">IF(ABS(t-T_satellite)&lt;pas/2,"Satellite","")</f>
        <v/>
      </c>
      <c r="AC594" s="399" t="e">
        <f aca="false">IF(ABS(t-ROUND(t,0))&lt;0.001,t,NA())</f>
        <v>#N/A</v>
      </c>
      <c r="AD594" s="404" t="e">
        <f aca="false">IF(ABS(t-ROUND(t,0))&lt;0.001,pos_x,NA())</f>
        <v>#N/A</v>
      </c>
      <c r="AE594" s="405" t="e">
        <f aca="false">IF(t&lt;T_para, pos_z, NA())</f>
        <v>#N/A</v>
      </c>
      <c r="AG594" s="396" t="n">
        <f aca="false">IF(AND(L593&lt;L_rampe,Poussee&lt;Poids*SIN(M593)),0,(-W593+Poussee)/m-Poids*SIN(M593)/m)</f>
        <v>2.42063873989816</v>
      </c>
      <c r="AH594" s="397" t="n">
        <f aca="false">IF(AND(L593&lt;L_rampe,Poussee&lt;Poids*SIN(M593)), g*SIN(M593), (-W593+Poussee)/m)</f>
        <v>-7.34106837290662</v>
      </c>
    </row>
    <row r="595" customFormat="false" ht="12.75" hidden="false" customHeight="false" outlineLevel="0" collapsed="false">
      <c r="A595" s="396" t="n">
        <f aca="false">IF(B594+0.01&lt;=T_ini+ROUNDUP(Temps_fin_propu,0), 0.01, IF(K594&gt;0, 0.1, 0.0001))</f>
        <v>0.0001</v>
      </c>
      <c r="B595" s="397" t="n">
        <f aca="false">B594+pas</f>
        <v>32.1090000000005</v>
      </c>
      <c r="D595" s="396" t="n">
        <f aca="false">IF(AND(L594&lt;L_rampe,Poussee&lt;Poids*SIN(M594)),0,(-W594+Poussee)/m*COS(M594)-U594/m*SIN(M594))</f>
        <v>-0.727519869524347</v>
      </c>
      <c r="E595" s="398" t="n">
        <f aca="false">IF(AND(L594&lt;L_rampe,Poussee&lt;Poids*SIN(M594)),0,(-W594+Poussee)/m*SIN(M594)+U594/m*COS(M594)-Poids/m)</f>
        <v>-2.50503086348793</v>
      </c>
      <c r="F595" s="397" t="n">
        <f aca="false">SQRT(acc_x^2+acc_z^2)</f>
        <v>2.60853690554299</v>
      </c>
      <c r="G595" s="396" t="n">
        <f aca="false">G594+acc_x*pas</f>
        <v>11.4907588819787</v>
      </c>
      <c r="H595" s="398" t="n">
        <f aca="false">H594+acc_z*pas</f>
        <v>-115.37877685709</v>
      </c>
      <c r="I595" s="397" t="n">
        <f aca="false">SQRT(vit_x^2+vit_z^2)</f>
        <v>115.949556655995</v>
      </c>
      <c r="J595" s="396" t="n">
        <f aca="false">J594+0.5*(vit_x+G594)*pas*(K594&gt;=0)</f>
        <v>690.928492655337</v>
      </c>
      <c r="K595" s="398" t="n">
        <f aca="false">K594+0.5*(vit_z+H594)*pas</f>
        <v>-9.64291230737748</v>
      </c>
      <c r="L595" s="397" t="n">
        <f aca="false">SQRT(pos_x^2+pos_z^2)</f>
        <v>690.99577981399</v>
      </c>
      <c r="M595" s="396" t="n">
        <f aca="false">IF(AND(L594&gt;L_rampe,G595&gt;0),ATAN2(G595,H595),$M$4)</f>
        <v>-1.47153203085929</v>
      </c>
      <c r="N595" s="397" t="n">
        <f aca="false">DEGREES(Beta)</f>
        <v>-84.3125747865521</v>
      </c>
      <c r="P595" s="399" t="n">
        <f aca="false">MATCH(t-pas/2-T_ini,CdP_t)</f>
        <v>23</v>
      </c>
      <c r="Q595" s="397" t="n">
        <f aca="false">(INDEX(CdP,2,i_P+1)-INDEX(CdP,2,i_P+0))/(INDEX(CdP,1,i_P+1)-INDEX(CdP,1,i_P+0))*(t-pas/2-T_ini-INDEX(CdP,1,i_P+0))+INDEX(CdP,2,i_P+0)</f>
        <v>0</v>
      </c>
      <c r="R595" s="396" t="n">
        <f aca="false">Poussee/(g*ISP)</f>
        <v>0</v>
      </c>
      <c r="S595" s="398" t="n">
        <f aca="false">S594-Débit*pas</f>
        <v>8.45</v>
      </c>
      <c r="T595" s="397" t="n">
        <f aca="false">m*g</f>
        <v>82.8945</v>
      </c>
      <c r="U595" s="400" t="n">
        <f aca="false">IF(pos_xz&lt;L_rampe,Poids*COS(Beta),0)</f>
        <v>0</v>
      </c>
      <c r="V595" s="396" t="n">
        <f aca="false">Rho_moyen*(20000-Alt_rampe-pos_z)/(20000+Alt_rampe+pos_z)</f>
        <v>1.22618182657015</v>
      </c>
      <c r="W595" s="397" t="n">
        <f aca="false">1/2*Rho*Sref*Cx*vit_xz^2</f>
        <v>62.0326889034308</v>
      </c>
      <c r="Y595" s="401" t="str">
        <f aca="false">IF(AND(pos_z&lt;=0,K594&gt;0),"Impact balistique","") &amp; IF(AND(H596&lt;0,vit_z&gt;=0),"Apogée","") &amp; IF(AND(Poussee=0,Q594&gt;0),"Fin de propulsion","") &amp; IF(AND(L596&gt;L_rampe,pos_xz&lt;=L_rampe),"Sortie de rampe","")</f>
        <v/>
      </c>
      <c r="Z595" s="402" t="str">
        <f aca="false">IF(ABS(t-T_para)&lt;pas/2,"Para","")</f>
        <v/>
      </c>
      <c r="AA595" s="403" t="str">
        <f aca="false">IF(ABS(t-T_satellite)&lt;pas/2,"Satellite","")</f>
        <v/>
      </c>
      <c r="AC595" s="399" t="e">
        <f aca="false">IF(ABS(t-ROUND(t,0))&lt;0.001,t,NA())</f>
        <v>#N/A</v>
      </c>
      <c r="AD595" s="404" t="e">
        <f aca="false">IF(ABS(t-ROUND(t,0))&lt;0.001,pos_x,NA())</f>
        <v>#N/A</v>
      </c>
      <c r="AE595" s="405" t="e">
        <f aca="false">IF(t&lt;T_para, pos_z, NA())</f>
        <v>#N/A</v>
      </c>
      <c r="AG595" s="396" t="n">
        <f aca="false">IF(AND(L594&lt;L_rampe,Poussee&lt;Poids*SIN(M594)),0,(-W594+Poussee)/m-Poids*SIN(M594)/m)</f>
        <v>2.4206004334532</v>
      </c>
      <c r="AH595" s="397" t="n">
        <f aca="false">IF(AND(L594&lt;L_rampe,Poussee&lt;Poids*SIN(M594)), g*SIN(M594), (-W594+Poussee)/m)</f>
        <v>-7.34110749450971</v>
      </c>
    </row>
    <row r="596" customFormat="false" ht="12.75" hidden="false" customHeight="false" outlineLevel="0" collapsed="false">
      <c r="A596" s="396" t="n">
        <f aca="false">IF(B595+0.01&lt;=T_ini+ROUNDUP(Temps_fin_propu,0), 0.01, IF(K595&gt;0, 0.1, 0.0001))</f>
        <v>0.0001</v>
      </c>
      <c r="B596" s="397" t="n">
        <f aca="false">B595+pas</f>
        <v>32.1091000000005</v>
      </c>
      <c r="D596" s="396" t="n">
        <f aca="false">IF(AND(L595&lt;L_rampe,Poussee&lt;Poids*SIN(M595)),0,(-W595+Poussee)/m*COS(M595)-U595/m*SIN(M595))</f>
        <v>-0.727517621559983</v>
      </c>
      <c r="E596" s="398" t="n">
        <f aca="false">IF(AND(L595&lt;L_rampe,Poussee&lt;Poids*SIN(M595)),0,(-W595+Poussee)/m*SIN(M595)+U595/m*COS(M595)-Poids/m)</f>
        <v>-2.5049913247927</v>
      </c>
      <c r="F596" s="397" t="n">
        <f aca="false">SQRT(acc_x^2+acc_z^2)</f>
        <v>2.60849830879129</v>
      </c>
      <c r="G596" s="396" t="n">
        <f aca="false">G595+acc_x*pas</f>
        <v>11.4906861302166</v>
      </c>
      <c r="H596" s="398" t="n">
        <f aca="false">H595+acc_z*pas</f>
        <v>-115.379027356222</v>
      </c>
      <c r="I596" s="397" t="n">
        <f aca="false">SQRT(vit_x^2+vit_z^2)</f>
        <v>115.949798712249</v>
      </c>
      <c r="J596" s="396" t="n">
        <f aca="false">J595+0.5*(vit_x+G595)*pas*(K595&gt;=0)</f>
        <v>690.928492655337</v>
      </c>
      <c r="K596" s="398" t="n">
        <f aca="false">K595+0.5*(vit_z+H595)*pas</f>
        <v>-9.65445019758814</v>
      </c>
      <c r="L596" s="397" t="n">
        <f aca="false">SQRT(pos_x^2+pos_z^2)</f>
        <v>690.995940922661</v>
      </c>
      <c r="M596" s="396" t="n">
        <f aca="false">IF(AND(L595&gt;L_rampe,G596&gt;0),ATAN2(G596,H596),$M$4)</f>
        <v>-1.4715328693121</v>
      </c>
      <c r="N596" s="397" t="n">
        <f aca="false">DEGREES(Beta)</f>
        <v>-84.3126228263597</v>
      </c>
      <c r="P596" s="399" t="n">
        <f aca="false">MATCH(t-pas/2-T_ini,CdP_t)</f>
        <v>23</v>
      </c>
      <c r="Q596" s="397" t="n">
        <f aca="false">(INDEX(CdP,2,i_P+1)-INDEX(CdP,2,i_P+0))/(INDEX(CdP,1,i_P+1)-INDEX(CdP,1,i_P+0))*(t-pas/2-T_ini-INDEX(CdP,1,i_P+0))+INDEX(CdP,2,i_P+0)</f>
        <v>0</v>
      </c>
      <c r="R596" s="396" t="n">
        <f aca="false">Poussee/(g*ISP)</f>
        <v>0</v>
      </c>
      <c r="S596" s="398" t="n">
        <f aca="false">S595-Débit*pas</f>
        <v>8.45</v>
      </c>
      <c r="T596" s="397" t="n">
        <f aca="false">m*g</f>
        <v>82.8945</v>
      </c>
      <c r="U596" s="400" t="n">
        <f aca="false">IF(pos_xz&lt;L_rampe,Poids*COS(Beta),0)</f>
        <v>0</v>
      </c>
      <c r="V596" s="396" t="n">
        <f aca="false">Rho_moyen*(20000-Alt_rampe-pos_z)/(20000+Alt_rampe+pos_z)</f>
        <v>1.22618324132643</v>
      </c>
      <c r="W596" s="397" t="n">
        <f aca="false">1/2*Rho*Sref*Cx*vit_xz^2</f>
        <v>62.0330194755322</v>
      </c>
      <c r="Y596" s="401" t="str">
        <f aca="false">IF(AND(pos_z&lt;=0,K595&gt;0),"Impact balistique","") &amp; IF(AND(H597&lt;0,vit_z&gt;=0),"Apogée","") &amp; IF(AND(Poussee=0,Q595&gt;0),"Fin de propulsion","") &amp; IF(AND(L597&gt;L_rampe,pos_xz&lt;=L_rampe),"Sortie de rampe","")</f>
        <v/>
      </c>
      <c r="Z596" s="402" t="str">
        <f aca="false">IF(ABS(t-T_para)&lt;pas/2,"Para","")</f>
        <v/>
      </c>
      <c r="AA596" s="403" t="str">
        <f aca="false">IF(ABS(t-T_satellite)&lt;pas/2,"Satellite","")</f>
        <v/>
      </c>
      <c r="AC596" s="399" t="e">
        <f aca="false">IF(ABS(t-ROUND(t,0))&lt;0.001,t,NA())</f>
        <v>#N/A</v>
      </c>
      <c r="AD596" s="404" t="e">
        <f aca="false">IF(ABS(t-ROUND(t,0))&lt;0.001,pos_x,NA())</f>
        <v>#N/A</v>
      </c>
      <c r="AE596" s="405" t="e">
        <f aca="false">IF(t&lt;T_para, pos_z, NA())</f>
        <v>#N/A</v>
      </c>
      <c r="AG596" s="396" t="n">
        <f aca="false">IF(AND(L595&lt;L_rampe,Poussee&lt;Poids*SIN(M595)),0,(-W595+Poussee)/m-Poids*SIN(M595)/m)</f>
        <v>2.42056212731499</v>
      </c>
      <c r="AH596" s="397" t="n">
        <f aca="false">IF(AND(L595&lt;L_rampe,Poussee&lt;Poids*SIN(M595)), g*SIN(M595), (-W595+Poussee)/m)</f>
        <v>-7.34114661579063</v>
      </c>
    </row>
    <row r="597" customFormat="false" ht="12.75" hidden="false" customHeight="false" outlineLevel="0" collapsed="false">
      <c r="A597" s="396" t="n">
        <f aca="false">IF(B596+0.01&lt;=T_ini+ROUNDUP(Temps_fin_propu,0), 0.01, IF(K596&gt;0, 0.1, 0.0001))</f>
        <v>0.0001</v>
      </c>
      <c r="B597" s="397" t="n">
        <f aca="false">B596+pas</f>
        <v>32.1092000000005</v>
      </c>
      <c r="D597" s="396" t="n">
        <f aca="false">IF(AND(L596&lt;L_rampe,Poussee&lt;Poids*SIN(M596)),0,(-W596+Poussee)/m*COS(M596)-U596/m*SIN(M596))</f>
        <v>-0.727515373562252</v>
      </c>
      <c r="E597" s="398" t="n">
        <f aca="false">IF(AND(L596&lt;L_rampe,Poussee&lt;Poids*SIN(M596)),0,(-W596+Poussee)/m*SIN(M596)+U596/m*COS(M596)-Poids/m)</f>
        <v>-2.50495178642311</v>
      </c>
      <c r="F597" s="397" t="n">
        <f aca="false">SQRT(acc_x^2+acc_z^2)</f>
        <v>2.60845971237314</v>
      </c>
      <c r="G597" s="396" t="n">
        <f aca="false">G596+acc_x*pas</f>
        <v>11.4906133786792</v>
      </c>
      <c r="H597" s="398" t="n">
        <f aca="false">H596+acc_z*pas</f>
        <v>-115.379277851401</v>
      </c>
      <c r="I597" s="397" t="n">
        <f aca="false">SQRT(vit_x^2+vit_z^2)</f>
        <v>115.950040764672</v>
      </c>
      <c r="J597" s="396" t="n">
        <f aca="false">J596+0.5*(vit_x+G596)*pas*(K596&gt;=0)</f>
        <v>690.928492655337</v>
      </c>
      <c r="K597" s="398" t="n">
        <f aca="false">K596+0.5*(vit_z+H596)*pas</f>
        <v>-9.66598811284853</v>
      </c>
      <c r="L597" s="397" t="n">
        <f aca="false">SQRT(pos_x^2+pos_z^2)</f>
        <v>690.996102224299</v>
      </c>
      <c r="M597" s="396" t="n">
        <f aca="false">IF(AND(L596&gt;L_rampe,G597&gt;0),ATAN2(G597,H597),$M$4)</f>
        <v>-1.47153370775611</v>
      </c>
      <c r="N597" s="397" t="n">
        <f aca="false">DEGREES(Beta)</f>
        <v>-84.3126708656627</v>
      </c>
      <c r="P597" s="399" t="n">
        <f aca="false">MATCH(t-pas/2-T_ini,CdP_t)</f>
        <v>23</v>
      </c>
      <c r="Q597" s="397" t="n">
        <f aca="false">(INDEX(CdP,2,i_P+1)-INDEX(CdP,2,i_P+0))/(INDEX(CdP,1,i_P+1)-INDEX(CdP,1,i_P+0))*(t-pas/2-T_ini-INDEX(CdP,1,i_P+0))+INDEX(CdP,2,i_P+0)</f>
        <v>0</v>
      </c>
      <c r="R597" s="396" t="n">
        <f aca="false">Poussee/(g*ISP)</f>
        <v>0</v>
      </c>
      <c r="S597" s="398" t="n">
        <f aca="false">S596-Débit*pas</f>
        <v>8.45</v>
      </c>
      <c r="T597" s="397" t="n">
        <f aca="false">m*g</f>
        <v>82.8945</v>
      </c>
      <c r="U597" s="400" t="n">
        <f aca="false">IF(pos_xz&lt;L_rampe,Poids*COS(Beta),0)</f>
        <v>0</v>
      </c>
      <c r="V597" s="396" t="n">
        <f aca="false">Rho_moyen*(20000-Alt_rampe-pos_z)/(20000+Alt_rampe+pos_z)</f>
        <v>1.22618465608741</v>
      </c>
      <c r="W597" s="397" t="n">
        <f aca="false">1/2*Rho*Sref*Cx*vit_xz^2</f>
        <v>62.0333500449112</v>
      </c>
      <c r="Y597" s="401" t="str">
        <f aca="false">IF(AND(pos_z&lt;=0,K596&gt;0),"Impact balistique","") &amp; IF(AND(H598&lt;0,vit_z&gt;=0),"Apogée","") &amp; IF(AND(Poussee=0,Q596&gt;0),"Fin de propulsion","") &amp; IF(AND(L598&gt;L_rampe,pos_xz&lt;=L_rampe),"Sortie de rampe","")</f>
        <v/>
      </c>
      <c r="Z597" s="402" t="str">
        <f aca="false">IF(ABS(t-T_para)&lt;pas/2,"Para","")</f>
        <v/>
      </c>
      <c r="AA597" s="403" t="str">
        <f aca="false">IF(ABS(t-T_satellite)&lt;pas/2,"Satellite","")</f>
        <v/>
      </c>
      <c r="AC597" s="399" t="e">
        <f aca="false">IF(ABS(t-ROUND(t,0))&lt;0.001,t,NA())</f>
        <v>#N/A</v>
      </c>
      <c r="AD597" s="404" t="e">
        <f aca="false">IF(ABS(t-ROUND(t,0))&lt;0.001,pos_x,NA())</f>
        <v>#N/A</v>
      </c>
      <c r="AE597" s="405" t="e">
        <f aca="false">IF(t&lt;T_para, pos_z, NA())</f>
        <v>#N/A</v>
      </c>
      <c r="AG597" s="396" t="n">
        <f aca="false">IF(AND(L596&lt;L_rampe,Poussee&lt;Poids*SIN(M596)),0,(-W596+Poussee)/m-Poids*SIN(M596)/m)</f>
        <v>2.42052382148353</v>
      </c>
      <c r="AH597" s="397" t="n">
        <f aca="false">IF(AND(L596&lt;L_rampe,Poussee&lt;Poids*SIN(M596)), g*SIN(M596), (-W596+Poussee)/m)</f>
        <v>-7.34118573674937</v>
      </c>
    </row>
    <row r="598" customFormat="false" ht="12.75" hidden="false" customHeight="false" outlineLevel="0" collapsed="false">
      <c r="A598" s="396" t="n">
        <f aca="false">IF(B597+0.01&lt;=T_ini+ROUNDUP(Temps_fin_propu,0), 0.01, IF(K597&gt;0, 0.1, 0.0001))</f>
        <v>0.0001</v>
      </c>
      <c r="B598" s="397" t="n">
        <f aca="false">B597+pas</f>
        <v>32.1093000000005</v>
      </c>
      <c r="D598" s="396" t="n">
        <f aca="false">IF(AND(L597&lt;L_rampe,Poussee&lt;Poids*SIN(M597)),0,(-W597+Poussee)/m*COS(M597)-U597/m*SIN(M597))</f>
        <v>-0.727513125531156</v>
      </c>
      <c r="E598" s="398" t="n">
        <f aca="false">IF(AND(L597&lt;L_rampe,Poussee&lt;Poids*SIN(M597)),0,(-W597+Poussee)/m*SIN(M597)+U597/m*COS(M597)-Poids/m)</f>
        <v>-2.50491224837914</v>
      </c>
      <c r="F598" s="397" t="n">
        <f aca="false">SQRT(acc_x^2+acc_z^2)</f>
        <v>2.60842111628854</v>
      </c>
      <c r="G598" s="396" t="n">
        <f aca="false">G597+acc_x*pas</f>
        <v>11.4905406273667</v>
      </c>
      <c r="H598" s="398" t="n">
        <f aca="false">H597+acc_z*pas</f>
        <v>-115.379528342625</v>
      </c>
      <c r="I598" s="397" t="n">
        <f aca="false">SQRT(vit_x^2+vit_z^2)</f>
        <v>115.950282813264</v>
      </c>
      <c r="J598" s="396" t="n">
        <f aca="false">J597+0.5*(vit_x+G597)*pas*(K597&gt;=0)</f>
        <v>690.928492655337</v>
      </c>
      <c r="K598" s="398" t="n">
        <f aca="false">K597+0.5*(vit_z+H597)*pas</f>
        <v>-9.67752605315823</v>
      </c>
      <c r="L598" s="397" t="n">
        <f aca="false">SQRT(pos_x^2+pos_z^2)</f>
        <v>690.996263718904</v>
      </c>
      <c r="M598" s="396" t="n">
        <f aca="false">IF(AND(L597&gt;L_rampe,G598&gt;0),ATAN2(G598,H598),$M$4)</f>
        <v>-1.47153454619131</v>
      </c>
      <c r="N598" s="397" t="n">
        <f aca="false">DEGREES(Beta)</f>
        <v>-84.3127189044609</v>
      </c>
      <c r="P598" s="399" t="n">
        <f aca="false">MATCH(t-pas/2-T_ini,CdP_t)</f>
        <v>23</v>
      </c>
      <c r="Q598" s="397" t="n">
        <f aca="false">(INDEX(CdP,2,i_P+1)-INDEX(CdP,2,i_P+0))/(INDEX(CdP,1,i_P+1)-INDEX(CdP,1,i_P+0))*(t-pas/2-T_ini-INDEX(CdP,1,i_P+0))+INDEX(CdP,2,i_P+0)</f>
        <v>0</v>
      </c>
      <c r="R598" s="396" t="n">
        <f aca="false">Poussee/(g*ISP)</f>
        <v>0</v>
      </c>
      <c r="S598" s="398" t="n">
        <f aca="false">S597-Débit*pas</f>
        <v>8.45</v>
      </c>
      <c r="T598" s="397" t="n">
        <f aca="false">m*g</f>
        <v>82.8945</v>
      </c>
      <c r="U598" s="400" t="n">
        <f aca="false">IF(pos_xz&lt;L_rampe,Poids*COS(Beta),0)</f>
        <v>0</v>
      </c>
      <c r="V598" s="396" t="n">
        <f aca="false">Rho_moyen*(20000-Alt_rampe-pos_z)/(20000+Alt_rampe+pos_z)</f>
        <v>1.22618607085309</v>
      </c>
      <c r="W598" s="397" t="n">
        <f aca="false">1/2*Rho*Sref*Cx*vit_xz^2</f>
        <v>62.0336806115678</v>
      </c>
      <c r="Y598" s="401" t="str">
        <f aca="false">IF(AND(pos_z&lt;=0,K597&gt;0),"Impact balistique","") &amp; IF(AND(H599&lt;0,vit_z&gt;=0),"Apogée","") &amp; IF(AND(Poussee=0,Q597&gt;0),"Fin de propulsion","") &amp; IF(AND(L599&gt;L_rampe,pos_xz&lt;=L_rampe),"Sortie de rampe","")</f>
        <v/>
      </c>
      <c r="Z598" s="402" t="str">
        <f aca="false">IF(ABS(t-T_para)&lt;pas/2,"Para","")</f>
        <v/>
      </c>
      <c r="AA598" s="403" t="str">
        <f aca="false">IF(ABS(t-T_satellite)&lt;pas/2,"Satellite","")</f>
        <v/>
      </c>
      <c r="AC598" s="399" t="e">
        <f aca="false">IF(ABS(t-ROUND(t,0))&lt;0.001,t,NA())</f>
        <v>#N/A</v>
      </c>
      <c r="AD598" s="404" t="e">
        <f aca="false">IF(ABS(t-ROUND(t,0))&lt;0.001,pos_x,NA())</f>
        <v>#N/A</v>
      </c>
      <c r="AE598" s="405" t="e">
        <f aca="false">IF(t&lt;T_para, pos_z, NA())</f>
        <v>#N/A</v>
      </c>
      <c r="AG598" s="396" t="n">
        <f aca="false">IF(AND(L597&lt;L_rampe,Poussee&lt;Poids*SIN(M597)),0,(-W597+Poussee)/m-Poids*SIN(M597)/m)</f>
        <v>2.42048551595881</v>
      </c>
      <c r="AH598" s="397" t="n">
        <f aca="false">IF(AND(L597&lt;L_rampe,Poussee&lt;Poids*SIN(M597)), g*SIN(M597), (-W597+Poussee)/m)</f>
        <v>-7.34122485738594</v>
      </c>
    </row>
    <row r="599" customFormat="false" ht="12.75" hidden="false" customHeight="false" outlineLevel="0" collapsed="false">
      <c r="A599" s="396" t="n">
        <f aca="false">IF(B598+0.01&lt;=T_ini+ROUNDUP(Temps_fin_propu,0), 0.01, IF(K598&gt;0, 0.1, 0.0001))</f>
        <v>0.0001</v>
      </c>
      <c r="B599" s="397" t="n">
        <f aca="false">B598+pas</f>
        <v>32.1094000000005</v>
      </c>
      <c r="D599" s="396" t="n">
        <f aca="false">IF(AND(L598&lt;L_rampe,Poussee&lt;Poids*SIN(M598)),0,(-W598+Poussee)/m*COS(M598)-U598/m*SIN(M598))</f>
        <v>-0.727510877466695</v>
      </c>
      <c r="E599" s="398" t="n">
        <f aca="false">IF(AND(L598&lt;L_rampe,Poussee&lt;Poids*SIN(M598)),0,(-W598+Poussee)/m*SIN(M598)+U598/m*COS(M598)-Poids/m)</f>
        <v>-2.50487271066081</v>
      </c>
      <c r="F599" s="397" t="n">
        <f aca="false">SQRT(acc_x^2+acc_z^2)</f>
        <v>2.60838252053751</v>
      </c>
      <c r="G599" s="396" t="n">
        <f aca="false">G598+acc_x*pas</f>
        <v>11.4904678762789</v>
      </c>
      <c r="H599" s="398" t="n">
        <f aca="false">H598+acc_z*pas</f>
        <v>-115.379778829897</v>
      </c>
      <c r="I599" s="397" t="n">
        <f aca="false">SQRT(vit_x^2+vit_z^2)</f>
        <v>115.950524858026</v>
      </c>
      <c r="J599" s="396" t="n">
        <f aca="false">J598+0.5*(vit_x+G598)*pas*(K598&gt;=0)</f>
        <v>690.928492655337</v>
      </c>
      <c r="K599" s="398" t="n">
        <f aca="false">K598+0.5*(vit_z+H598)*pas</f>
        <v>-9.68906401851685</v>
      </c>
      <c r="L599" s="397" t="n">
        <f aca="false">SQRT(pos_x^2+pos_z^2)</f>
        <v>690.996425406478</v>
      </c>
      <c r="M599" s="396" t="n">
        <f aca="false">IF(AND(L598&gt;L_rampe,G599&gt;0),ATAN2(G599,H599),$M$4)</f>
        <v>-1.4715353846177</v>
      </c>
      <c r="N599" s="397" t="n">
        <f aca="false">DEGREES(Beta)</f>
        <v>-84.3127669427544</v>
      </c>
      <c r="P599" s="399" t="n">
        <f aca="false">MATCH(t-pas/2-T_ini,CdP_t)</f>
        <v>23</v>
      </c>
      <c r="Q599" s="397" t="n">
        <f aca="false">(INDEX(CdP,2,i_P+1)-INDEX(CdP,2,i_P+0))/(INDEX(CdP,1,i_P+1)-INDEX(CdP,1,i_P+0))*(t-pas/2-T_ini-INDEX(CdP,1,i_P+0))+INDEX(CdP,2,i_P+0)</f>
        <v>0</v>
      </c>
      <c r="R599" s="396" t="n">
        <f aca="false">Poussee/(g*ISP)</f>
        <v>0</v>
      </c>
      <c r="S599" s="398" t="n">
        <f aca="false">S598-Débit*pas</f>
        <v>8.45</v>
      </c>
      <c r="T599" s="397" t="n">
        <f aca="false">m*g</f>
        <v>82.8945</v>
      </c>
      <c r="U599" s="400" t="n">
        <f aca="false">IF(pos_xz&lt;L_rampe,Poids*COS(Beta),0)</f>
        <v>0</v>
      </c>
      <c r="V599" s="396" t="n">
        <f aca="false">Rho_moyen*(20000-Alt_rampe-pos_z)/(20000+Alt_rampe+pos_z)</f>
        <v>1.22618748562348</v>
      </c>
      <c r="W599" s="397" t="n">
        <f aca="false">1/2*Rho*Sref*Cx*vit_xz^2</f>
        <v>62.0340111755021</v>
      </c>
      <c r="Y599" s="401" t="str">
        <f aca="false">IF(AND(pos_z&lt;=0,K598&gt;0),"Impact balistique","") &amp; IF(AND(H600&lt;0,vit_z&gt;=0),"Apogée","") &amp; IF(AND(Poussee=0,Q598&gt;0),"Fin de propulsion","") &amp; IF(AND(L600&gt;L_rampe,pos_xz&lt;=L_rampe),"Sortie de rampe","")</f>
        <v/>
      </c>
      <c r="Z599" s="402" t="str">
        <f aca="false">IF(ABS(t-T_para)&lt;pas/2,"Para","")</f>
        <v/>
      </c>
      <c r="AA599" s="403" t="str">
        <f aca="false">IF(ABS(t-T_satellite)&lt;pas/2,"Satellite","")</f>
        <v/>
      </c>
      <c r="AC599" s="399" t="e">
        <f aca="false">IF(ABS(t-ROUND(t,0))&lt;0.001,t,NA())</f>
        <v>#N/A</v>
      </c>
      <c r="AD599" s="404" t="e">
        <f aca="false">IF(ABS(t-ROUND(t,0))&lt;0.001,pos_x,NA())</f>
        <v>#N/A</v>
      </c>
      <c r="AE599" s="405" t="e">
        <f aca="false">IF(t&lt;T_para, pos_z, NA())</f>
        <v>#N/A</v>
      </c>
      <c r="AG599" s="396" t="n">
        <f aca="false">IF(AND(L598&lt;L_rampe,Poussee&lt;Poids*SIN(M598)),0,(-W598+Poussee)/m-Poids*SIN(M598)/m)</f>
        <v>2.42044721074084</v>
      </c>
      <c r="AH599" s="397" t="n">
        <f aca="false">IF(AND(L598&lt;L_rampe,Poussee&lt;Poids*SIN(M598)), g*SIN(M598), (-W598+Poussee)/m)</f>
        <v>-7.34126397770033</v>
      </c>
    </row>
    <row r="600" customFormat="false" ht="12.75" hidden="false" customHeight="false" outlineLevel="0" collapsed="false">
      <c r="A600" s="396" t="n">
        <f aca="false">IF(B599+0.01&lt;=T_ini+ROUNDUP(Temps_fin_propu,0), 0.01, IF(K599&gt;0, 0.1, 0.0001))</f>
        <v>0.0001</v>
      </c>
      <c r="B600" s="397" t="n">
        <f aca="false">B599+pas</f>
        <v>32.1095000000005</v>
      </c>
      <c r="D600" s="396" t="n">
        <f aca="false">IF(AND(L599&lt;L_rampe,Poussee&lt;Poids*SIN(M599)),0,(-W599+Poussee)/m*COS(M599)-U599/m*SIN(M599))</f>
        <v>-0.727508629368868</v>
      </c>
      <c r="E600" s="398" t="n">
        <f aca="false">IF(AND(L599&lt;L_rampe,Poussee&lt;Poids*SIN(M599)),0,(-W599+Poussee)/m*SIN(M599)+U599/m*COS(M599)-Poids/m)</f>
        <v>-2.50483317326811</v>
      </c>
      <c r="F600" s="397" t="n">
        <f aca="false">SQRT(acc_x^2+acc_z^2)</f>
        <v>2.60834392512003</v>
      </c>
      <c r="G600" s="396" t="n">
        <f aca="false">G599+acc_x*pas</f>
        <v>11.490395125416</v>
      </c>
      <c r="H600" s="398" t="n">
        <f aca="false">H599+acc_z*pas</f>
        <v>-115.380029313214</v>
      </c>
      <c r="I600" s="397" t="n">
        <f aca="false">SQRT(vit_x^2+vit_z^2)</f>
        <v>115.950766898957</v>
      </c>
      <c r="J600" s="396" t="n">
        <f aca="false">J599+0.5*(vit_x+G599)*pas*(K599&gt;=0)</f>
        <v>690.928492655337</v>
      </c>
      <c r="K600" s="398" t="n">
        <f aca="false">K599+0.5*(vit_z+H599)*pas</f>
        <v>-9.70060200892401</v>
      </c>
      <c r="L600" s="397" t="n">
        <f aca="false">SQRT(pos_x^2+pos_z^2)</f>
        <v>690.996587287022</v>
      </c>
      <c r="M600" s="396" t="n">
        <f aca="false">IF(AND(L599&gt;L_rampe,G600&gt;0),ATAN2(G600,H600),$M$4)</f>
        <v>-1.47153622303528</v>
      </c>
      <c r="N600" s="397" t="n">
        <f aca="false">DEGREES(Beta)</f>
        <v>-84.3128149805432</v>
      </c>
      <c r="P600" s="399" t="n">
        <f aca="false">MATCH(t-pas/2-T_ini,CdP_t)</f>
        <v>23</v>
      </c>
      <c r="Q600" s="397" t="n">
        <f aca="false">(INDEX(CdP,2,i_P+1)-INDEX(CdP,2,i_P+0))/(INDEX(CdP,1,i_P+1)-INDEX(CdP,1,i_P+0))*(t-pas/2-T_ini-INDEX(CdP,1,i_P+0))+INDEX(CdP,2,i_P+0)</f>
        <v>0</v>
      </c>
      <c r="R600" s="396" t="n">
        <f aca="false">Poussee/(g*ISP)</f>
        <v>0</v>
      </c>
      <c r="S600" s="398" t="n">
        <f aca="false">S599-Débit*pas</f>
        <v>8.45</v>
      </c>
      <c r="T600" s="397" t="n">
        <f aca="false">m*g</f>
        <v>82.8945</v>
      </c>
      <c r="U600" s="400" t="n">
        <f aca="false">IF(pos_xz&lt;L_rampe,Poids*COS(Beta),0)</f>
        <v>0</v>
      </c>
      <c r="V600" s="396" t="n">
        <f aca="false">Rho_moyen*(20000-Alt_rampe-pos_z)/(20000+Alt_rampe+pos_z)</f>
        <v>1.22618890039857</v>
      </c>
      <c r="W600" s="397" t="n">
        <f aca="false">1/2*Rho*Sref*Cx*vit_xz^2</f>
        <v>62.0343417367139</v>
      </c>
      <c r="Y600" s="401" t="str">
        <f aca="false">IF(AND(pos_z&lt;=0,K599&gt;0),"Impact balistique","") &amp; IF(AND(H601&lt;0,vit_z&gt;=0),"Apogée","") &amp; IF(AND(Poussee=0,Q599&gt;0),"Fin de propulsion","") &amp; IF(AND(L601&gt;L_rampe,pos_xz&lt;=L_rampe),"Sortie de rampe","")</f>
        <v/>
      </c>
      <c r="Z600" s="402" t="str">
        <f aca="false">IF(ABS(t-T_para)&lt;pas/2,"Para","")</f>
        <v/>
      </c>
      <c r="AA600" s="403" t="str">
        <f aca="false">IF(ABS(t-T_satellite)&lt;pas/2,"Satellite","")</f>
        <v/>
      </c>
      <c r="AC600" s="399" t="e">
        <f aca="false">IF(ABS(t-ROUND(t,0))&lt;0.001,t,NA())</f>
        <v>#N/A</v>
      </c>
      <c r="AD600" s="404" t="e">
        <f aca="false">IF(ABS(t-ROUND(t,0))&lt;0.001,pos_x,NA())</f>
        <v>#N/A</v>
      </c>
      <c r="AE600" s="405" t="e">
        <f aca="false">IF(t&lt;T_para, pos_z, NA())</f>
        <v>#N/A</v>
      </c>
      <c r="AG600" s="396" t="n">
        <f aca="false">IF(AND(L599&lt;L_rampe,Poussee&lt;Poids*SIN(M599)),0,(-W599+Poussee)/m-Poids*SIN(M599)/m)</f>
        <v>2.42040890582962</v>
      </c>
      <c r="AH600" s="397" t="n">
        <f aca="false">IF(AND(L599&lt;L_rampe,Poussee&lt;Poids*SIN(M599)), g*SIN(M599), (-W599+Poussee)/m)</f>
        <v>-7.34130309769255</v>
      </c>
    </row>
    <row r="601" customFormat="false" ht="12.75" hidden="false" customHeight="false" outlineLevel="0" collapsed="false">
      <c r="A601" s="396" t="n">
        <f aca="false">IF(B600+0.01&lt;=T_ini+ROUNDUP(Temps_fin_propu,0), 0.01, IF(K600&gt;0, 0.1, 0.0001))</f>
        <v>0.0001</v>
      </c>
      <c r="B601" s="397" t="n">
        <f aca="false">B600+pas</f>
        <v>32.1096000000005</v>
      </c>
      <c r="D601" s="396" t="n">
        <f aca="false">IF(AND(L600&lt;L_rampe,Poussee&lt;Poids*SIN(M600)),0,(-W600+Poussee)/m*COS(M600)-U600/m*SIN(M600))</f>
        <v>-0.727506381237677</v>
      </c>
      <c r="E601" s="398" t="n">
        <f aca="false">IF(AND(L600&lt;L_rampe,Poussee&lt;Poids*SIN(M600)),0,(-W600+Poussee)/m*SIN(M600)+U600/m*COS(M600)-Poids/m)</f>
        <v>-2.50479363620104</v>
      </c>
      <c r="F601" s="397" t="n">
        <f aca="false">SQRT(acc_x^2+acc_z^2)</f>
        <v>2.60830533003611</v>
      </c>
      <c r="G601" s="396" t="n">
        <f aca="false">G600+acc_x*pas</f>
        <v>11.4903223747778</v>
      </c>
      <c r="H601" s="398" t="n">
        <f aca="false">H600+acc_z*pas</f>
        <v>-115.380279792577</v>
      </c>
      <c r="I601" s="397" t="n">
        <f aca="false">SQRT(vit_x^2+vit_z^2)</f>
        <v>115.951008936058</v>
      </c>
      <c r="J601" s="396" t="n">
        <f aca="false">J600+0.5*(vit_x+G600)*pas*(K600&gt;=0)</f>
        <v>690.928492655337</v>
      </c>
      <c r="K601" s="398" t="n">
        <f aca="false">K600+0.5*(vit_z+H600)*pas</f>
        <v>-9.7121400243793</v>
      </c>
      <c r="L601" s="397" t="n">
        <f aca="false">SQRT(pos_x^2+pos_z^2)</f>
        <v>690.996749360537</v>
      </c>
      <c r="M601" s="396" t="n">
        <f aca="false">IF(AND(L600&gt;L_rampe,G601&gt;0),ATAN2(G601,H601),$M$4)</f>
        <v>-1.47153706144405</v>
      </c>
      <c r="N601" s="397" t="n">
        <f aca="false">DEGREES(Beta)</f>
        <v>-84.3128630178273</v>
      </c>
      <c r="P601" s="399" t="n">
        <f aca="false">MATCH(t-pas/2-T_ini,CdP_t)</f>
        <v>23</v>
      </c>
      <c r="Q601" s="397" t="n">
        <f aca="false">(INDEX(CdP,2,i_P+1)-INDEX(CdP,2,i_P+0))/(INDEX(CdP,1,i_P+1)-INDEX(CdP,1,i_P+0))*(t-pas/2-T_ini-INDEX(CdP,1,i_P+0))+INDEX(CdP,2,i_P+0)</f>
        <v>0</v>
      </c>
      <c r="R601" s="396" t="n">
        <f aca="false">Poussee/(g*ISP)</f>
        <v>0</v>
      </c>
      <c r="S601" s="398" t="n">
        <f aca="false">S600-Débit*pas</f>
        <v>8.45</v>
      </c>
      <c r="T601" s="397" t="n">
        <f aca="false">m*g</f>
        <v>82.8945</v>
      </c>
      <c r="U601" s="400" t="n">
        <f aca="false">IF(pos_xz&lt;L_rampe,Poids*COS(Beta),0)</f>
        <v>0</v>
      </c>
      <c r="V601" s="396" t="n">
        <f aca="false">Rho_moyen*(20000-Alt_rampe-pos_z)/(20000+Alt_rampe+pos_z)</f>
        <v>1.22619031517837</v>
      </c>
      <c r="W601" s="397" t="n">
        <f aca="false">1/2*Rho*Sref*Cx*vit_xz^2</f>
        <v>62.0346722952034</v>
      </c>
      <c r="Y601" s="401" t="str">
        <f aca="false">IF(AND(pos_z&lt;=0,K600&gt;0),"Impact balistique","") &amp; IF(AND(H602&lt;0,vit_z&gt;=0),"Apogée","") &amp; IF(AND(Poussee=0,Q600&gt;0),"Fin de propulsion","") &amp; IF(AND(L602&gt;L_rampe,pos_xz&lt;=L_rampe),"Sortie de rampe","")</f>
        <v/>
      </c>
      <c r="Z601" s="402" t="str">
        <f aca="false">IF(ABS(t-T_para)&lt;pas/2,"Para","")</f>
        <v/>
      </c>
      <c r="AA601" s="403" t="str">
        <f aca="false">IF(ABS(t-T_satellite)&lt;pas/2,"Satellite","")</f>
        <v/>
      </c>
      <c r="AC601" s="399" t="e">
        <f aca="false">IF(ABS(t-ROUND(t,0))&lt;0.001,t,NA())</f>
        <v>#N/A</v>
      </c>
      <c r="AD601" s="404" t="e">
        <f aca="false">IF(ABS(t-ROUND(t,0))&lt;0.001,pos_x,NA())</f>
        <v>#N/A</v>
      </c>
      <c r="AE601" s="405" t="e">
        <f aca="false">IF(t&lt;T_para, pos_z, NA())</f>
        <v>#N/A</v>
      </c>
      <c r="AG601" s="396" t="n">
        <f aca="false">IF(AND(L600&lt;L_rampe,Poussee&lt;Poids*SIN(M600)),0,(-W600+Poussee)/m-Poids*SIN(M600)/m)</f>
        <v>2.42037060122514</v>
      </c>
      <c r="AH601" s="397" t="n">
        <f aca="false">IF(AND(L600&lt;L_rampe,Poussee&lt;Poids*SIN(M600)), g*SIN(M600), (-W600+Poussee)/m)</f>
        <v>-7.3413422173626</v>
      </c>
    </row>
    <row r="602" customFormat="false" ht="12.75" hidden="false" customHeight="false" outlineLevel="0" collapsed="false">
      <c r="A602" s="396" t="n">
        <f aca="false">IF(B601+0.01&lt;=T_ini+ROUNDUP(Temps_fin_propu,0), 0.01, IF(K601&gt;0, 0.1, 0.0001))</f>
        <v>0.0001</v>
      </c>
      <c r="B602" s="397" t="n">
        <f aca="false">B601+pas</f>
        <v>32.1097000000005</v>
      </c>
      <c r="D602" s="396" t="n">
        <f aca="false">IF(AND(L601&lt;L_rampe,Poussee&lt;Poids*SIN(M601)),0,(-W601+Poussee)/m*COS(M601)-U601/m*SIN(M601))</f>
        <v>-0.727504133073122</v>
      </c>
      <c r="E602" s="398" t="n">
        <f aca="false">IF(AND(L601&lt;L_rampe,Poussee&lt;Poids*SIN(M601)),0,(-W601+Poussee)/m*SIN(M601)+U601/m*COS(M601)-Poids/m)</f>
        <v>-2.50475409945961</v>
      </c>
      <c r="F602" s="397" t="n">
        <f aca="false">SQRT(acc_x^2+acc_z^2)</f>
        <v>2.60826673528575</v>
      </c>
      <c r="G602" s="396" t="n">
        <f aca="false">G601+acc_x*pas</f>
        <v>11.4902496243645</v>
      </c>
      <c r="H602" s="398" t="n">
        <f aca="false">H601+acc_z*pas</f>
        <v>-115.380530267987</v>
      </c>
      <c r="I602" s="397" t="n">
        <f aca="false">SQRT(vit_x^2+vit_z^2)</f>
        <v>115.951250969328</v>
      </c>
      <c r="J602" s="396" t="n">
        <f aca="false">J601+0.5*(vit_x+G601)*pas*(K601&gt;=0)</f>
        <v>690.928492655337</v>
      </c>
      <c r="K602" s="398" t="n">
        <f aca="false">K601+0.5*(vit_z+H601)*pas</f>
        <v>-9.72367806488233</v>
      </c>
      <c r="L602" s="397" t="n">
        <f aca="false">SQRT(pos_x^2+pos_z^2)</f>
        <v>690.996911627024</v>
      </c>
      <c r="M602" s="396" t="n">
        <f aca="false">IF(AND(L601&gt;L_rampe,G602&gt;0),ATAN2(G602,H602),$M$4)</f>
        <v>-1.47153789984401</v>
      </c>
      <c r="N602" s="397" t="n">
        <f aca="false">DEGREES(Beta)</f>
        <v>-84.3129110546067</v>
      </c>
      <c r="P602" s="399" t="n">
        <f aca="false">MATCH(t-pas/2-T_ini,CdP_t)</f>
        <v>23</v>
      </c>
      <c r="Q602" s="397" t="n">
        <f aca="false">(INDEX(CdP,2,i_P+1)-INDEX(CdP,2,i_P+0))/(INDEX(CdP,1,i_P+1)-INDEX(CdP,1,i_P+0))*(t-pas/2-T_ini-INDEX(CdP,1,i_P+0))+INDEX(CdP,2,i_P+0)</f>
        <v>0</v>
      </c>
      <c r="R602" s="396" t="n">
        <f aca="false">Poussee/(g*ISP)</f>
        <v>0</v>
      </c>
      <c r="S602" s="398" t="n">
        <f aca="false">S601-Débit*pas</f>
        <v>8.45</v>
      </c>
      <c r="T602" s="397" t="n">
        <f aca="false">m*g</f>
        <v>82.8945</v>
      </c>
      <c r="U602" s="400" t="n">
        <f aca="false">IF(pos_xz&lt;L_rampe,Poids*COS(Beta),0)</f>
        <v>0</v>
      </c>
      <c r="V602" s="396" t="n">
        <f aca="false">Rho_moyen*(20000-Alt_rampe-pos_z)/(20000+Alt_rampe+pos_z)</f>
        <v>1.22619172996287</v>
      </c>
      <c r="W602" s="397" t="n">
        <f aca="false">1/2*Rho*Sref*Cx*vit_xz^2</f>
        <v>62.0350028509705</v>
      </c>
      <c r="Y602" s="401" t="str">
        <f aca="false">IF(AND(pos_z&lt;=0,K601&gt;0),"Impact balistique","") &amp; IF(AND(H603&lt;0,vit_z&gt;=0),"Apogée","") &amp; IF(AND(Poussee=0,Q601&gt;0),"Fin de propulsion","") &amp; IF(AND(L603&gt;L_rampe,pos_xz&lt;=L_rampe),"Sortie de rampe","")</f>
        <v/>
      </c>
      <c r="Z602" s="402" t="str">
        <f aca="false">IF(ABS(t-T_para)&lt;pas/2,"Para","")</f>
        <v/>
      </c>
      <c r="AA602" s="403" t="str">
        <f aca="false">IF(ABS(t-T_satellite)&lt;pas/2,"Satellite","")</f>
        <v/>
      </c>
      <c r="AC602" s="399" t="e">
        <f aca="false">IF(ABS(t-ROUND(t,0))&lt;0.001,t,NA())</f>
        <v>#N/A</v>
      </c>
      <c r="AD602" s="404" t="e">
        <f aca="false">IF(ABS(t-ROUND(t,0))&lt;0.001,pos_x,NA())</f>
        <v>#N/A</v>
      </c>
      <c r="AE602" s="405" t="e">
        <f aca="false">IF(t&lt;T_para, pos_z, NA())</f>
        <v>#N/A</v>
      </c>
      <c r="AG602" s="396" t="n">
        <f aca="false">IF(AND(L601&lt;L_rampe,Poussee&lt;Poids*SIN(M601)),0,(-W601+Poussee)/m-Poids*SIN(M601)/m)</f>
        <v>2.42033229692742</v>
      </c>
      <c r="AH602" s="397" t="n">
        <f aca="false">IF(AND(L601&lt;L_rampe,Poussee&lt;Poids*SIN(M601)), g*SIN(M601), (-W601+Poussee)/m)</f>
        <v>-7.34138133671047</v>
      </c>
    </row>
    <row r="603" customFormat="false" ht="12.75" hidden="false" customHeight="false" outlineLevel="0" collapsed="false">
      <c r="A603" s="396" t="n">
        <f aca="false">IF(B602+0.01&lt;=T_ini+ROUNDUP(Temps_fin_propu,0), 0.01, IF(K602&gt;0, 0.1, 0.0001))</f>
        <v>0.0001</v>
      </c>
      <c r="B603" s="397" t="n">
        <f aca="false">B602+pas</f>
        <v>32.1098000000005</v>
      </c>
      <c r="D603" s="396" t="n">
        <f aca="false">IF(AND(L602&lt;L_rampe,Poussee&lt;Poids*SIN(M602)),0,(-W602+Poussee)/m*COS(M602)-U602/m*SIN(M602))</f>
        <v>-0.727501884875207</v>
      </c>
      <c r="E603" s="398" t="n">
        <f aca="false">IF(AND(L602&lt;L_rampe,Poussee&lt;Poids*SIN(M602)),0,(-W602+Poussee)/m*SIN(M602)+U602/m*COS(M602)-Poids/m)</f>
        <v>-2.5047145630438</v>
      </c>
      <c r="F603" s="397" t="n">
        <f aca="false">SQRT(acc_x^2+acc_z^2)</f>
        <v>2.60822814086895</v>
      </c>
      <c r="G603" s="396" t="n">
        <f aca="false">G602+acc_x*pas</f>
        <v>11.490176874176</v>
      </c>
      <c r="H603" s="398" t="n">
        <f aca="false">H602+acc_z*pas</f>
        <v>-115.380780739444</v>
      </c>
      <c r="I603" s="397" t="n">
        <f aca="false">SQRT(vit_x^2+vit_z^2)</f>
        <v>115.951492998768</v>
      </c>
      <c r="J603" s="396" t="n">
        <f aca="false">J602+0.5*(vit_x+G602)*pas*(K602&gt;=0)</f>
        <v>690.928492655337</v>
      </c>
      <c r="K603" s="398" t="n">
        <f aca="false">K602+0.5*(vit_z+H602)*pas</f>
        <v>-9.7352161304327</v>
      </c>
      <c r="L603" s="397" t="n">
        <f aca="false">SQRT(pos_x^2+pos_z^2)</f>
        <v>690.997074086484</v>
      </c>
      <c r="M603" s="396" t="n">
        <f aca="false">IF(AND(L602&gt;L_rampe,G603&gt;0),ATAN2(G603,H603),$M$4)</f>
        <v>-1.47153873823517</v>
      </c>
      <c r="N603" s="397" t="n">
        <f aca="false">DEGREES(Beta)</f>
        <v>-84.3129590908815</v>
      </c>
      <c r="P603" s="399" t="n">
        <f aca="false">MATCH(t-pas/2-T_ini,CdP_t)</f>
        <v>23</v>
      </c>
      <c r="Q603" s="397" t="n">
        <f aca="false">(INDEX(CdP,2,i_P+1)-INDEX(CdP,2,i_P+0))/(INDEX(CdP,1,i_P+1)-INDEX(CdP,1,i_P+0))*(t-pas/2-T_ini-INDEX(CdP,1,i_P+0))+INDEX(CdP,2,i_P+0)</f>
        <v>0</v>
      </c>
      <c r="R603" s="396" t="n">
        <f aca="false">Poussee/(g*ISP)</f>
        <v>0</v>
      </c>
      <c r="S603" s="398" t="n">
        <f aca="false">S602-Débit*pas</f>
        <v>8.45</v>
      </c>
      <c r="T603" s="397" t="n">
        <f aca="false">m*g</f>
        <v>82.8945</v>
      </c>
      <c r="U603" s="400" t="n">
        <f aca="false">IF(pos_xz&lt;L_rampe,Poids*COS(Beta),0)</f>
        <v>0</v>
      </c>
      <c r="V603" s="396" t="n">
        <f aca="false">Rho_moyen*(20000-Alt_rampe-pos_z)/(20000+Alt_rampe+pos_z)</f>
        <v>1.22619314475208</v>
      </c>
      <c r="W603" s="397" t="n">
        <f aca="false">1/2*Rho*Sref*Cx*vit_xz^2</f>
        <v>62.0353334040153</v>
      </c>
      <c r="Y603" s="401" t="str">
        <f aca="false">IF(AND(pos_z&lt;=0,K602&gt;0),"Impact balistique","") &amp; IF(AND(H604&lt;0,vit_z&gt;=0),"Apogée","") &amp; IF(AND(Poussee=0,Q602&gt;0),"Fin de propulsion","") &amp; IF(AND(L604&gt;L_rampe,pos_xz&lt;=L_rampe),"Sortie de rampe","")</f>
        <v/>
      </c>
      <c r="Z603" s="402" t="str">
        <f aca="false">IF(ABS(t-T_para)&lt;pas/2,"Para","")</f>
        <v/>
      </c>
      <c r="AA603" s="403" t="str">
        <f aca="false">IF(ABS(t-T_satellite)&lt;pas/2,"Satellite","")</f>
        <v/>
      </c>
      <c r="AC603" s="399" t="e">
        <f aca="false">IF(ABS(t-ROUND(t,0))&lt;0.001,t,NA())</f>
        <v>#N/A</v>
      </c>
      <c r="AD603" s="404" t="e">
        <f aca="false">IF(ABS(t-ROUND(t,0))&lt;0.001,pos_x,NA())</f>
        <v>#N/A</v>
      </c>
      <c r="AE603" s="405" t="e">
        <f aca="false">IF(t&lt;T_para, pos_z, NA())</f>
        <v>#N/A</v>
      </c>
      <c r="AG603" s="396" t="n">
        <f aca="false">IF(AND(L602&lt;L_rampe,Poussee&lt;Poids*SIN(M602)),0,(-W602+Poussee)/m-Poids*SIN(M602)/m)</f>
        <v>2.42029399293645</v>
      </c>
      <c r="AH603" s="397" t="n">
        <f aca="false">IF(AND(L602&lt;L_rampe,Poussee&lt;Poids*SIN(M602)), g*SIN(M602), (-W602+Poussee)/m)</f>
        <v>-7.34142045573616</v>
      </c>
    </row>
    <row r="604" customFormat="false" ht="12.75" hidden="false" customHeight="false" outlineLevel="0" collapsed="false">
      <c r="A604" s="396" t="n">
        <f aca="false">IF(B603+0.01&lt;=T_ini+ROUNDUP(Temps_fin_propu,0), 0.01, IF(K603&gt;0, 0.1, 0.0001))</f>
        <v>0.0001</v>
      </c>
      <c r="B604" s="397" t="n">
        <f aca="false">B603+pas</f>
        <v>32.1099000000005</v>
      </c>
      <c r="D604" s="396" t="n">
        <f aca="false">IF(AND(L603&lt;L_rampe,Poussee&lt;Poids*SIN(M603)),0,(-W603+Poussee)/m*COS(M603)-U603/m*SIN(M603))</f>
        <v>-0.727499636643928</v>
      </c>
      <c r="E604" s="398" t="n">
        <f aca="false">IF(AND(L603&lt;L_rampe,Poussee&lt;Poids*SIN(M603)),0,(-W603+Poussee)/m*SIN(M603)+U603/m*COS(M603)-Poids/m)</f>
        <v>-2.50467502695363</v>
      </c>
      <c r="F604" s="397" t="n">
        <f aca="false">SQRT(acc_x^2+acc_z^2)</f>
        <v>2.60818954678571</v>
      </c>
      <c r="G604" s="396" t="n">
        <f aca="false">G603+acc_x*pas</f>
        <v>11.4901041242124</v>
      </c>
      <c r="H604" s="398" t="n">
        <f aca="false">H603+acc_z*pas</f>
        <v>-115.381031206946</v>
      </c>
      <c r="I604" s="397" t="n">
        <f aca="false">SQRT(vit_x^2+vit_z^2)</f>
        <v>115.951735024378</v>
      </c>
      <c r="J604" s="396" t="n">
        <f aca="false">J603+0.5*(vit_x+G603)*pas*(K603&gt;=0)</f>
        <v>690.928492655337</v>
      </c>
      <c r="K604" s="398" t="n">
        <f aca="false">K603+0.5*(vit_z+H603)*pas</f>
        <v>-9.74675422103002</v>
      </c>
      <c r="L604" s="397" t="n">
        <f aca="false">SQRT(pos_x^2+pos_z^2)</f>
        <v>690.997236738918</v>
      </c>
      <c r="M604" s="396" t="n">
        <f aca="false">IF(AND(L603&gt;L_rampe,G604&gt;0),ATAN2(G604,H604),$M$4)</f>
        <v>-1.47153957661751</v>
      </c>
      <c r="N604" s="397" t="n">
        <f aca="false">DEGREES(Beta)</f>
        <v>-84.3130071266515</v>
      </c>
      <c r="P604" s="399" t="n">
        <f aca="false">MATCH(t-pas/2-T_ini,CdP_t)</f>
        <v>23</v>
      </c>
      <c r="Q604" s="397" t="n">
        <f aca="false">(INDEX(CdP,2,i_P+1)-INDEX(CdP,2,i_P+0))/(INDEX(CdP,1,i_P+1)-INDEX(CdP,1,i_P+0))*(t-pas/2-T_ini-INDEX(CdP,1,i_P+0))+INDEX(CdP,2,i_P+0)</f>
        <v>0</v>
      </c>
      <c r="R604" s="396" t="n">
        <f aca="false">Poussee/(g*ISP)</f>
        <v>0</v>
      </c>
      <c r="S604" s="398" t="n">
        <f aca="false">S603-Débit*pas</f>
        <v>8.45</v>
      </c>
      <c r="T604" s="397" t="n">
        <f aca="false">m*g</f>
        <v>82.8945</v>
      </c>
      <c r="U604" s="400" t="n">
        <f aca="false">IF(pos_xz&lt;L_rampe,Poids*COS(Beta),0)</f>
        <v>0</v>
      </c>
      <c r="V604" s="396" t="n">
        <f aca="false">Rho_moyen*(20000-Alt_rampe-pos_z)/(20000+Alt_rampe+pos_z)</f>
        <v>1.22619455954599</v>
      </c>
      <c r="W604" s="397" t="n">
        <f aca="false">1/2*Rho*Sref*Cx*vit_xz^2</f>
        <v>62.0356639543376</v>
      </c>
      <c r="Y604" s="401" t="str">
        <f aca="false">IF(AND(pos_z&lt;=0,K603&gt;0),"Impact balistique","") &amp; IF(AND(H605&lt;0,vit_z&gt;=0),"Apogée","") &amp; IF(AND(Poussee=0,Q603&gt;0),"Fin de propulsion","") &amp; IF(AND(L605&gt;L_rampe,pos_xz&lt;=L_rampe),"Sortie de rampe","")</f>
        <v/>
      </c>
      <c r="Z604" s="402" t="str">
        <f aca="false">IF(ABS(t-T_para)&lt;pas/2,"Para","")</f>
        <v/>
      </c>
      <c r="AA604" s="403" t="str">
        <f aca="false">IF(ABS(t-T_satellite)&lt;pas/2,"Satellite","")</f>
        <v/>
      </c>
      <c r="AC604" s="399" t="e">
        <f aca="false">IF(ABS(t-ROUND(t,0))&lt;0.001,t,NA())</f>
        <v>#N/A</v>
      </c>
      <c r="AD604" s="404" t="e">
        <f aca="false">IF(ABS(t-ROUND(t,0))&lt;0.001,pos_x,NA())</f>
        <v>#N/A</v>
      </c>
      <c r="AE604" s="405" t="e">
        <f aca="false">IF(t&lt;T_para, pos_z, NA())</f>
        <v>#N/A</v>
      </c>
      <c r="AG604" s="396" t="n">
        <f aca="false">IF(AND(L603&lt;L_rampe,Poussee&lt;Poids*SIN(M603)),0,(-W603+Poussee)/m-Poids*SIN(M603)/m)</f>
        <v>2.42025568925223</v>
      </c>
      <c r="AH604" s="397" t="n">
        <f aca="false">IF(AND(L603&lt;L_rampe,Poussee&lt;Poids*SIN(M603)), g*SIN(M603), (-W603+Poussee)/m)</f>
        <v>-7.34145957443968</v>
      </c>
    </row>
    <row r="605" customFormat="false" ht="12.75" hidden="false" customHeight="false" outlineLevel="0" collapsed="false">
      <c r="A605" s="396" t="n">
        <f aca="false">IF(B604+0.01&lt;=T_ini+ROUNDUP(Temps_fin_propu,0), 0.01, IF(K604&gt;0, 0.1, 0.0001))</f>
        <v>0.0001</v>
      </c>
      <c r="B605" s="397" t="n">
        <f aca="false">B604+pas</f>
        <v>32.1100000000005</v>
      </c>
      <c r="D605" s="396" t="n">
        <f aca="false">IF(AND(L604&lt;L_rampe,Poussee&lt;Poids*SIN(M604)),0,(-W604+Poussee)/m*COS(M604)-U604/m*SIN(M604))</f>
        <v>-0.727497388379291</v>
      </c>
      <c r="E605" s="398" t="n">
        <f aca="false">IF(AND(L604&lt;L_rampe,Poussee&lt;Poids*SIN(M604)),0,(-W604+Poussee)/m*SIN(M604)+U604/m*COS(M604)-Poids/m)</f>
        <v>-2.5046354911891</v>
      </c>
      <c r="F605" s="397" t="n">
        <f aca="false">SQRT(acc_x^2+acc_z^2)</f>
        <v>2.60815095303603</v>
      </c>
      <c r="G605" s="396" t="n">
        <f aca="false">G604+acc_x*pas</f>
        <v>11.4900313744735</v>
      </c>
      <c r="H605" s="398" t="n">
        <f aca="false">H604+acc_z*pas</f>
        <v>-115.381281670496</v>
      </c>
      <c r="I605" s="397" t="n">
        <f aca="false">SQRT(vit_x^2+vit_z^2)</f>
        <v>115.951977046157</v>
      </c>
      <c r="J605" s="396" t="n">
        <f aca="false">J604+0.5*(vit_x+G604)*pas*(K604&gt;=0)</f>
        <v>690.928492655337</v>
      </c>
      <c r="K605" s="398" t="n">
        <f aca="false">K604+0.5*(vit_z+H604)*pas</f>
        <v>-9.75829233667389</v>
      </c>
      <c r="L605" s="397" t="n">
        <f aca="false">SQRT(pos_x^2+pos_z^2)</f>
        <v>690.997399584328</v>
      </c>
      <c r="M605" s="396" t="n">
        <f aca="false">IF(AND(L604&gt;L_rampe,G605&gt;0),ATAN2(G605,H605),$M$4)</f>
        <v>-1.47154041499105</v>
      </c>
      <c r="N605" s="397" t="n">
        <f aca="false">DEGREES(Beta)</f>
        <v>-84.3130551619169</v>
      </c>
      <c r="P605" s="399" t="n">
        <f aca="false">MATCH(t-pas/2-T_ini,CdP_t)</f>
        <v>23</v>
      </c>
      <c r="Q605" s="397" t="n">
        <f aca="false">(INDEX(CdP,2,i_P+1)-INDEX(CdP,2,i_P+0))/(INDEX(CdP,1,i_P+1)-INDEX(CdP,1,i_P+0))*(t-pas/2-T_ini-INDEX(CdP,1,i_P+0))+INDEX(CdP,2,i_P+0)</f>
        <v>0</v>
      </c>
      <c r="R605" s="396" t="n">
        <f aca="false">Poussee/(g*ISP)</f>
        <v>0</v>
      </c>
      <c r="S605" s="398" t="n">
        <f aca="false">S604-Débit*pas</f>
        <v>8.45</v>
      </c>
      <c r="T605" s="397" t="n">
        <f aca="false">m*g</f>
        <v>82.8945</v>
      </c>
      <c r="U605" s="400" t="n">
        <f aca="false">IF(pos_xz&lt;L_rampe,Poids*COS(Beta),0)</f>
        <v>0</v>
      </c>
      <c r="V605" s="396" t="n">
        <f aca="false">Rho_moyen*(20000-Alt_rampe-pos_z)/(20000+Alt_rampe+pos_z)</f>
        <v>1.22619597434461</v>
      </c>
      <c r="W605" s="397" t="n">
        <f aca="false">1/2*Rho*Sref*Cx*vit_xz^2</f>
        <v>62.0359945019375</v>
      </c>
      <c r="Y605" s="401" t="str">
        <f aca="false">IF(AND(pos_z&lt;=0,K604&gt;0),"Impact balistique","") &amp; IF(AND(H606&lt;0,vit_z&gt;=0),"Apogée","") &amp; IF(AND(Poussee=0,Q604&gt;0),"Fin de propulsion","") &amp; IF(AND(L606&gt;L_rampe,pos_xz&lt;=L_rampe),"Sortie de rampe","")</f>
        <v/>
      </c>
      <c r="Z605" s="402" t="str">
        <f aca="false">IF(ABS(t-T_para)&lt;pas/2,"Para","")</f>
        <v/>
      </c>
      <c r="AA605" s="403" t="str">
        <f aca="false">IF(ABS(t-T_satellite)&lt;pas/2,"Satellite","")</f>
        <v/>
      </c>
      <c r="AC605" s="399" t="e">
        <f aca="false">IF(ABS(t-ROUND(t,0))&lt;0.001,t,NA())</f>
        <v>#N/A</v>
      </c>
      <c r="AD605" s="404" t="e">
        <f aca="false">IF(ABS(t-ROUND(t,0))&lt;0.001,pos_x,NA())</f>
        <v>#N/A</v>
      </c>
      <c r="AE605" s="405" t="e">
        <f aca="false">IF(t&lt;T_para, pos_z, NA())</f>
        <v>#N/A</v>
      </c>
      <c r="AG605" s="396" t="n">
        <f aca="false">IF(AND(L604&lt;L_rampe,Poussee&lt;Poids*SIN(M604)),0,(-W604+Poussee)/m-Poids*SIN(M604)/m)</f>
        <v>2.42021738587477</v>
      </c>
      <c r="AH605" s="397" t="n">
        <f aca="false">IF(AND(L604&lt;L_rampe,Poussee&lt;Poids*SIN(M604)), g*SIN(M604), (-W604+Poussee)/m)</f>
        <v>-7.34149869282101</v>
      </c>
    </row>
    <row r="606" customFormat="false" ht="12.75" hidden="false" customHeight="false" outlineLevel="0" collapsed="false">
      <c r="A606" s="396" t="n">
        <f aca="false">IF(B605+0.01&lt;=T_ini+ROUNDUP(Temps_fin_propu,0), 0.01, IF(K605&gt;0, 0.1, 0.0001))</f>
        <v>0.0001</v>
      </c>
      <c r="B606" s="397" t="n">
        <f aca="false">B605+pas</f>
        <v>32.1101000000005</v>
      </c>
      <c r="D606" s="396" t="n">
        <f aca="false">IF(AND(L605&lt;L_rampe,Poussee&lt;Poids*SIN(M605)),0,(-W605+Poussee)/m*COS(M605)-U605/m*SIN(M605))</f>
        <v>-0.727495140081293</v>
      </c>
      <c r="E606" s="398" t="n">
        <f aca="false">IF(AND(L605&lt;L_rampe,Poussee&lt;Poids*SIN(M605)),0,(-W605+Poussee)/m*SIN(M605)+U605/m*COS(M605)-Poids/m)</f>
        <v>-2.5045959557502</v>
      </c>
      <c r="F606" s="397" t="n">
        <f aca="false">SQRT(acc_x^2+acc_z^2)</f>
        <v>2.60811235961991</v>
      </c>
      <c r="G606" s="396" t="n">
        <f aca="false">G605+acc_x*pas</f>
        <v>11.4899586249595</v>
      </c>
      <c r="H606" s="398" t="n">
        <f aca="false">H605+acc_z*pas</f>
        <v>-115.381532130091</v>
      </c>
      <c r="I606" s="397" t="n">
        <f aca="false">SQRT(vit_x^2+vit_z^2)</f>
        <v>115.952219064106</v>
      </c>
      <c r="J606" s="396" t="n">
        <f aca="false">J605+0.5*(vit_x+G605)*pas*(K605&gt;=0)</f>
        <v>690.928492655337</v>
      </c>
      <c r="K606" s="398" t="n">
        <f aca="false">K605+0.5*(vit_z+H605)*pas</f>
        <v>-9.76983047736392</v>
      </c>
      <c r="L606" s="397" t="n">
        <f aca="false">SQRT(pos_x^2+pos_z^2)</f>
        <v>690.997562622714</v>
      </c>
      <c r="M606" s="396" t="n">
        <f aca="false">IF(AND(L605&gt;L_rampe,G606&gt;0),ATAN2(G606,H606),$M$4)</f>
        <v>-1.47154125335578</v>
      </c>
      <c r="N606" s="397" t="n">
        <f aca="false">DEGREES(Beta)</f>
        <v>-84.3131031966777</v>
      </c>
      <c r="P606" s="399" t="n">
        <f aca="false">MATCH(t-pas/2-T_ini,CdP_t)</f>
        <v>23</v>
      </c>
      <c r="Q606" s="397" t="n">
        <f aca="false">(INDEX(CdP,2,i_P+1)-INDEX(CdP,2,i_P+0))/(INDEX(CdP,1,i_P+1)-INDEX(CdP,1,i_P+0))*(t-pas/2-T_ini-INDEX(CdP,1,i_P+0))+INDEX(CdP,2,i_P+0)</f>
        <v>0</v>
      </c>
      <c r="R606" s="396" t="n">
        <f aca="false">Poussee/(g*ISP)</f>
        <v>0</v>
      </c>
      <c r="S606" s="398" t="n">
        <f aca="false">S605-Débit*pas</f>
        <v>8.45</v>
      </c>
      <c r="T606" s="397" t="n">
        <f aca="false">m*g</f>
        <v>82.8945</v>
      </c>
      <c r="U606" s="400" t="n">
        <f aca="false">IF(pos_xz&lt;L_rampe,Poids*COS(Beta),0)</f>
        <v>0</v>
      </c>
      <c r="V606" s="396" t="n">
        <f aca="false">Rho_moyen*(20000-Alt_rampe-pos_z)/(20000+Alt_rampe+pos_z)</f>
        <v>1.22619738914793</v>
      </c>
      <c r="W606" s="397" t="n">
        <f aca="false">1/2*Rho*Sref*Cx*vit_xz^2</f>
        <v>62.036325046815</v>
      </c>
      <c r="Y606" s="401" t="str">
        <f aca="false">IF(AND(pos_z&lt;=0,K605&gt;0),"Impact balistique","") &amp; IF(AND(H607&lt;0,vit_z&gt;=0),"Apogée","") &amp; IF(AND(Poussee=0,Q605&gt;0),"Fin de propulsion","") &amp; IF(AND(L607&gt;L_rampe,pos_xz&lt;=L_rampe),"Sortie de rampe","")</f>
        <v/>
      </c>
      <c r="Z606" s="402" t="str">
        <f aca="false">IF(ABS(t-T_para)&lt;pas/2,"Para","")</f>
        <v/>
      </c>
      <c r="AA606" s="403" t="str">
        <f aca="false">IF(ABS(t-T_satellite)&lt;pas/2,"Satellite","")</f>
        <v/>
      </c>
      <c r="AC606" s="399" t="e">
        <f aca="false">IF(ABS(t-ROUND(t,0))&lt;0.001,t,NA())</f>
        <v>#N/A</v>
      </c>
      <c r="AD606" s="404" t="e">
        <f aca="false">IF(ABS(t-ROUND(t,0))&lt;0.001,pos_x,NA())</f>
        <v>#N/A</v>
      </c>
      <c r="AE606" s="405" t="e">
        <f aca="false">IF(t&lt;T_para, pos_z, NA())</f>
        <v>#N/A</v>
      </c>
      <c r="AG606" s="396" t="n">
        <f aca="false">IF(AND(L605&lt;L_rampe,Poussee&lt;Poids*SIN(M605)),0,(-W605+Poussee)/m-Poids*SIN(M605)/m)</f>
        <v>2.42017908280406</v>
      </c>
      <c r="AH606" s="397" t="n">
        <f aca="false">IF(AND(L605&lt;L_rampe,Poussee&lt;Poids*SIN(M605)), g*SIN(M605), (-W605+Poussee)/m)</f>
        <v>-7.34153781088018</v>
      </c>
    </row>
    <row r="607" customFormat="false" ht="12.75" hidden="false" customHeight="false" outlineLevel="0" collapsed="false">
      <c r="A607" s="396" t="n">
        <f aca="false">IF(B606+0.01&lt;=T_ini+ROUNDUP(Temps_fin_propu,0), 0.01, IF(K606&gt;0, 0.1, 0.0001))</f>
        <v>0.0001</v>
      </c>
      <c r="B607" s="397" t="n">
        <f aca="false">B606+pas</f>
        <v>32.1102000000005</v>
      </c>
      <c r="D607" s="396" t="n">
        <f aca="false">IF(AND(L606&lt;L_rampe,Poussee&lt;Poids*SIN(M606)),0,(-W606+Poussee)/m*COS(M606)-U606/m*SIN(M606))</f>
        <v>-0.727492891749934</v>
      </c>
      <c r="E607" s="398" t="n">
        <f aca="false">IF(AND(L606&lt;L_rampe,Poussee&lt;Poids*SIN(M606)),0,(-W606+Poussee)/m*SIN(M606)+U606/m*COS(M606)-Poids/m)</f>
        <v>-2.50455642063693</v>
      </c>
      <c r="F607" s="397" t="n">
        <f aca="false">SQRT(acc_x^2+acc_z^2)</f>
        <v>2.60807376653736</v>
      </c>
      <c r="G607" s="396" t="n">
        <f aca="false">G606+acc_x*pas</f>
        <v>11.4898858756704</v>
      </c>
      <c r="H607" s="398" t="n">
        <f aca="false">H606+acc_z*pas</f>
        <v>-115.381782585733</v>
      </c>
      <c r="I607" s="397" t="n">
        <f aca="false">SQRT(vit_x^2+vit_z^2)</f>
        <v>115.952461078225</v>
      </c>
      <c r="J607" s="396" t="n">
        <f aca="false">J606+0.5*(vit_x+G606)*pas*(K606&gt;=0)</f>
        <v>690.928492655337</v>
      </c>
      <c r="K607" s="398" t="n">
        <f aca="false">K606+0.5*(vit_z+H606)*pas</f>
        <v>-9.78136864309971</v>
      </c>
      <c r="L607" s="397" t="n">
        <f aca="false">SQRT(pos_x^2+pos_z^2)</f>
        <v>690.997725854078</v>
      </c>
      <c r="M607" s="396" t="n">
        <f aca="false">IF(AND(L606&gt;L_rampe,G607&gt;0),ATAN2(G607,H607),$M$4)</f>
        <v>-1.4715420917117</v>
      </c>
      <c r="N607" s="397" t="n">
        <f aca="false">DEGREES(Beta)</f>
        <v>-84.3131512309338</v>
      </c>
      <c r="P607" s="399" t="n">
        <f aca="false">MATCH(t-pas/2-T_ini,CdP_t)</f>
        <v>23</v>
      </c>
      <c r="Q607" s="397" t="n">
        <f aca="false">(INDEX(CdP,2,i_P+1)-INDEX(CdP,2,i_P+0))/(INDEX(CdP,1,i_P+1)-INDEX(CdP,1,i_P+0))*(t-pas/2-T_ini-INDEX(CdP,1,i_P+0))+INDEX(CdP,2,i_P+0)</f>
        <v>0</v>
      </c>
      <c r="R607" s="396" t="n">
        <f aca="false">Poussee/(g*ISP)</f>
        <v>0</v>
      </c>
      <c r="S607" s="398" t="n">
        <f aca="false">S606-Débit*pas</f>
        <v>8.45</v>
      </c>
      <c r="T607" s="397" t="n">
        <f aca="false">m*g</f>
        <v>82.8945</v>
      </c>
      <c r="U607" s="400" t="n">
        <f aca="false">IF(pos_xz&lt;L_rampe,Poids*COS(Beta),0)</f>
        <v>0</v>
      </c>
      <c r="V607" s="396" t="n">
        <f aca="false">Rho_moyen*(20000-Alt_rampe-pos_z)/(20000+Alt_rampe+pos_z)</f>
        <v>1.22619880395595</v>
      </c>
      <c r="W607" s="397" t="n">
        <f aca="false">1/2*Rho*Sref*Cx*vit_xz^2</f>
        <v>62.0366555889701</v>
      </c>
      <c r="Y607" s="401" t="str">
        <f aca="false">IF(AND(pos_z&lt;=0,K606&gt;0),"Impact balistique","") &amp; IF(AND(H608&lt;0,vit_z&gt;=0),"Apogée","") &amp; IF(AND(Poussee=0,Q606&gt;0),"Fin de propulsion","") &amp; IF(AND(L608&gt;L_rampe,pos_xz&lt;=L_rampe),"Sortie de rampe","")</f>
        <v/>
      </c>
      <c r="Z607" s="402" t="str">
        <f aca="false">IF(ABS(t-T_para)&lt;pas/2,"Para","")</f>
        <v/>
      </c>
      <c r="AA607" s="403" t="str">
        <f aca="false">IF(ABS(t-T_satellite)&lt;pas/2,"Satellite","")</f>
        <v/>
      </c>
      <c r="AC607" s="399" t="e">
        <f aca="false">IF(ABS(t-ROUND(t,0))&lt;0.001,t,NA())</f>
        <v>#N/A</v>
      </c>
      <c r="AD607" s="404" t="e">
        <f aca="false">IF(ABS(t-ROUND(t,0))&lt;0.001,pos_x,NA())</f>
        <v>#N/A</v>
      </c>
      <c r="AE607" s="405" t="e">
        <f aca="false">IF(t&lt;T_para, pos_z, NA())</f>
        <v>#N/A</v>
      </c>
      <c r="AG607" s="396" t="n">
        <f aca="false">IF(AND(L606&lt;L_rampe,Poussee&lt;Poids*SIN(M606)),0,(-W606+Poussee)/m-Poids*SIN(M606)/m)</f>
        <v>2.4201407800401</v>
      </c>
      <c r="AH607" s="397" t="n">
        <f aca="false">IF(AND(L606&lt;L_rampe,Poussee&lt;Poids*SIN(M606)), g*SIN(M606), (-W606+Poussee)/m)</f>
        <v>-7.34157692861716</v>
      </c>
    </row>
    <row r="608" customFormat="false" ht="12.75" hidden="false" customHeight="false" outlineLevel="0" collapsed="false">
      <c r="A608" s="396" t="n">
        <f aca="false">IF(B607+0.01&lt;=T_ini+ROUNDUP(Temps_fin_propu,0), 0.01, IF(K607&gt;0, 0.1, 0.0001))</f>
        <v>0.0001</v>
      </c>
      <c r="B608" s="397" t="n">
        <f aca="false">B607+pas</f>
        <v>32.1103000000005</v>
      </c>
      <c r="D608" s="396" t="n">
        <f aca="false">IF(AND(L607&lt;L_rampe,Poussee&lt;Poids*SIN(M607)),0,(-W607+Poussee)/m*COS(M607)-U607/m*SIN(M607))</f>
        <v>-0.727490643385218</v>
      </c>
      <c r="E608" s="398" t="n">
        <f aca="false">IF(AND(L607&lt;L_rampe,Poussee&lt;Poids*SIN(M607)),0,(-W607+Poussee)/m*SIN(M607)+U607/m*COS(M607)-Poids/m)</f>
        <v>-2.50451688584931</v>
      </c>
      <c r="F608" s="397" t="n">
        <f aca="false">SQRT(acc_x^2+acc_z^2)</f>
        <v>2.60803517378837</v>
      </c>
      <c r="G608" s="396" t="n">
        <f aca="false">G607+acc_x*pas</f>
        <v>11.489813126606</v>
      </c>
      <c r="H608" s="398" t="n">
        <f aca="false">H607+acc_z*pas</f>
        <v>-115.382033037422</v>
      </c>
      <c r="I608" s="397" t="n">
        <f aca="false">SQRT(vit_x^2+vit_z^2)</f>
        <v>115.952703088514</v>
      </c>
      <c r="J608" s="396" t="n">
        <f aca="false">J607+0.5*(vit_x+G607)*pas*(K607&gt;=0)</f>
        <v>690.928492655337</v>
      </c>
      <c r="K608" s="398" t="n">
        <f aca="false">K607+0.5*(vit_z+H607)*pas</f>
        <v>-9.79290683388087</v>
      </c>
      <c r="L608" s="397" t="n">
        <f aca="false">SQRT(pos_x^2+pos_z^2)</f>
        <v>690.997889278421</v>
      </c>
      <c r="M608" s="396" t="n">
        <f aca="false">IF(AND(L607&gt;L_rampe,G608&gt;0),ATAN2(G608,H608),$M$4)</f>
        <v>-1.47154293005882</v>
      </c>
      <c r="N608" s="397" t="n">
        <f aca="false">DEGREES(Beta)</f>
        <v>-84.3131992646852</v>
      </c>
      <c r="P608" s="399" t="n">
        <f aca="false">MATCH(t-pas/2-T_ini,CdP_t)</f>
        <v>23</v>
      </c>
      <c r="Q608" s="397" t="n">
        <f aca="false">(INDEX(CdP,2,i_P+1)-INDEX(CdP,2,i_P+0))/(INDEX(CdP,1,i_P+1)-INDEX(CdP,1,i_P+0))*(t-pas/2-T_ini-INDEX(CdP,1,i_P+0))+INDEX(CdP,2,i_P+0)</f>
        <v>0</v>
      </c>
      <c r="R608" s="396" t="n">
        <f aca="false">Poussee/(g*ISP)</f>
        <v>0</v>
      </c>
      <c r="S608" s="398" t="n">
        <f aca="false">S607-Débit*pas</f>
        <v>8.45</v>
      </c>
      <c r="T608" s="397" t="n">
        <f aca="false">m*g</f>
        <v>82.8945</v>
      </c>
      <c r="U608" s="400" t="n">
        <f aca="false">IF(pos_xz&lt;L_rampe,Poids*COS(Beta),0)</f>
        <v>0</v>
      </c>
      <c r="V608" s="396" t="n">
        <f aca="false">Rho_moyen*(20000-Alt_rampe-pos_z)/(20000+Alt_rampe+pos_z)</f>
        <v>1.22620021876868</v>
      </c>
      <c r="W608" s="397" t="n">
        <f aca="false">1/2*Rho*Sref*Cx*vit_xz^2</f>
        <v>62.0369861284028</v>
      </c>
      <c r="Y608" s="401" t="str">
        <f aca="false">IF(AND(pos_z&lt;=0,K607&gt;0),"Impact balistique","") &amp; IF(AND(H609&lt;0,vit_z&gt;=0),"Apogée","") &amp; IF(AND(Poussee=0,Q607&gt;0),"Fin de propulsion","") &amp; IF(AND(L609&gt;L_rampe,pos_xz&lt;=L_rampe),"Sortie de rampe","")</f>
        <v/>
      </c>
      <c r="Z608" s="402" t="str">
        <f aca="false">IF(ABS(t-T_para)&lt;pas/2,"Para","")</f>
        <v/>
      </c>
      <c r="AA608" s="403" t="str">
        <f aca="false">IF(ABS(t-T_satellite)&lt;pas/2,"Satellite","")</f>
        <v/>
      </c>
      <c r="AC608" s="399" t="e">
        <f aca="false">IF(ABS(t-ROUND(t,0))&lt;0.001,t,NA())</f>
        <v>#N/A</v>
      </c>
      <c r="AD608" s="404" t="e">
        <f aca="false">IF(ABS(t-ROUND(t,0))&lt;0.001,pos_x,NA())</f>
        <v>#N/A</v>
      </c>
      <c r="AE608" s="405" t="e">
        <f aca="false">IF(t&lt;T_para, pos_z, NA())</f>
        <v>#N/A</v>
      </c>
      <c r="AG608" s="396" t="n">
        <f aca="false">IF(AND(L607&lt;L_rampe,Poussee&lt;Poids*SIN(M607)),0,(-W607+Poussee)/m-Poids*SIN(M607)/m)</f>
        <v>2.4201024775829</v>
      </c>
      <c r="AH608" s="397" t="n">
        <f aca="false">IF(AND(L607&lt;L_rampe,Poussee&lt;Poids*SIN(M607)), g*SIN(M607), (-W607+Poussee)/m)</f>
        <v>-7.34161604603196</v>
      </c>
    </row>
    <row r="609" customFormat="false" ht="12.75" hidden="false" customHeight="false" outlineLevel="0" collapsed="false">
      <c r="A609" s="396" t="n">
        <f aca="false">IF(B608+0.01&lt;=T_ini+ROUNDUP(Temps_fin_propu,0), 0.01, IF(K608&gt;0, 0.1, 0.0001))</f>
        <v>0.0001</v>
      </c>
      <c r="B609" s="397" t="n">
        <f aca="false">B608+pas</f>
        <v>32.1104000000005</v>
      </c>
      <c r="D609" s="396" t="n">
        <f aca="false">IF(AND(L608&lt;L_rampe,Poussee&lt;Poids*SIN(M608)),0,(-W608+Poussee)/m*COS(M608)-U608/m*SIN(M608))</f>
        <v>-0.727488394987145</v>
      </c>
      <c r="E609" s="398" t="n">
        <f aca="false">IF(AND(L608&lt;L_rampe,Poussee&lt;Poids*SIN(M608)),0,(-W608+Poussee)/m*SIN(M608)+U608/m*COS(M608)-Poids/m)</f>
        <v>-2.50447735138731</v>
      </c>
      <c r="F609" s="397" t="n">
        <f aca="false">SQRT(acc_x^2+acc_z^2)</f>
        <v>2.60799658137295</v>
      </c>
      <c r="G609" s="396" t="n">
        <f aca="false">G608+acc_x*pas</f>
        <v>11.4897403777665</v>
      </c>
      <c r="H609" s="398" t="n">
        <f aca="false">H608+acc_z*pas</f>
        <v>-115.382283485157</v>
      </c>
      <c r="I609" s="397" t="n">
        <f aca="false">SQRT(vit_x^2+vit_z^2)</f>
        <v>115.952945094972</v>
      </c>
      <c r="J609" s="396" t="n">
        <f aca="false">J608+0.5*(vit_x+G608)*pas*(K608&gt;=0)</f>
        <v>690.928492655337</v>
      </c>
      <c r="K609" s="398" t="n">
        <f aca="false">K608+0.5*(vit_z+H608)*pas</f>
        <v>-9.804445049707</v>
      </c>
      <c r="L609" s="397" t="n">
        <f aca="false">SQRT(pos_x^2+pos_z^2)</f>
        <v>690.998052895743</v>
      </c>
      <c r="M609" s="396" t="n">
        <f aca="false">IF(AND(L608&gt;L_rampe,G609&gt;0),ATAN2(G609,H609),$M$4)</f>
        <v>-1.47154376839713</v>
      </c>
      <c r="N609" s="397" t="n">
        <f aca="false">DEGREES(Beta)</f>
        <v>-84.3132472979321</v>
      </c>
      <c r="P609" s="399" t="n">
        <f aca="false">MATCH(t-pas/2-T_ini,CdP_t)</f>
        <v>23</v>
      </c>
      <c r="Q609" s="397" t="n">
        <f aca="false">(INDEX(CdP,2,i_P+1)-INDEX(CdP,2,i_P+0))/(INDEX(CdP,1,i_P+1)-INDEX(CdP,1,i_P+0))*(t-pas/2-T_ini-INDEX(CdP,1,i_P+0))+INDEX(CdP,2,i_P+0)</f>
        <v>0</v>
      </c>
      <c r="R609" s="396" t="n">
        <f aca="false">Poussee/(g*ISP)</f>
        <v>0</v>
      </c>
      <c r="S609" s="398" t="n">
        <f aca="false">S608-Débit*pas</f>
        <v>8.45</v>
      </c>
      <c r="T609" s="397" t="n">
        <f aca="false">m*g</f>
        <v>82.8945</v>
      </c>
      <c r="U609" s="400" t="n">
        <f aca="false">IF(pos_xz&lt;L_rampe,Poids*COS(Beta),0)</f>
        <v>0</v>
      </c>
      <c r="V609" s="396" t="n">
        <f aca="false">Rho_moyen*(20000-Alt_rampe-pos_z)/(20000+Alt_rampe+pos_z)</f>
        <v>1.22620163358611</v>
      </c>
      <c r="W609" s="397" t="n">
        <f aca="false">1/2*Rho*Sref*Cx*vit_xz^2</f>
        <v>62.037316665113</v>
      </c>
      <c r="Y609" s="401" t="str">
        <f aca="false">IF(AND(pos_z&lt;=0,K608&gt;0),"Impact balistique","") &amp; IF(AND(H610&lt;0,vit_z&gt;=0),"Apogée","") &amp; IF(AND(Poussee=0,Q608&gt;0),"Fin de propulsion","") &amp; IF(AND(L610&gt;L_rampe,pos_xz&lt;=L_rampe),"Sortie de rampe","")</f>
        <v/>
      </c>
      <c r="Z609" s="402" t="str">
        <f aca="false">IF(ABS(t-T_para)&lt;pas/2,"Para","")</f>
        <v/>
      </c>
      <c r="AA609" s="403" t="str">
        <f aca="false">IF(ABS(t-T_satellite)&lt;pas/2,"Satellite","")</f>
        <v/>
      </c>
      <c r="AC609" s="399" t="e">
        <f aca="false">IF(ABS(t-ROUND(t,0))&lt;0.001,t,NA())</f>
        <v>#N/A</v>
      </c>
      <c r="AD609" s="404" t="e">
        <f aca="false">IF(ABS(t-ROUND(t,0))&lt;0.001,pos_x,NA())</f>
        <v>#N/A</v>
      </c>
      <c r="AE609" s="405" t="e">
        <f aca="false">IF(t&lt;T_para, pos_z, NA())</f>
        <v>#N/A</v>
      </c>
      <c r="AG609" s="396" t="n">
        <f aca="false">IF(AND(L608&lt;L_rampe,Poussee&lt;Poids*SIN(M608)),0,(-W608+Poussee)/m-Poids*SIN(M608)/m)</f>
        <v>2.42006417543246</v>
      </c>
      <c r="AH609" s="397" t="n">
        <f aca="false">IF(AND(L608&lt;L_rampe,Poussee&lt;Poids*SIN(M608)), g*SIN(M608), (-W608+Poussee)/m)</f>
        <v>-7.34165516312459</v>
      </c>
    </row>
    <row r="610" customFormat="false" ht="12.75" hidden="false" customHeight="false" outlineLevel="0" collapsed="false">
      <c r="A610" s="396" t="n">
        <f aca="false">IF(B609+0.01&lt;=T_ini+ROUNDUP(Temps_fin_propu,0), 0.01, IF(K609&gt;0, 0.1, 0.0001))</f>
        <v>0.0001</v>
      </c>
      <c r="B610" s="397" t="n">
        <f aca="false">B609+pas</f>
        <v>32.1105000000005</v>
      </c>
      <c r="D610" s="396" t="n">
        <f aca="false">IF(AND(L609&lt;L_rampe,Poussee&lt;Poids*SIN(M609)),0,(-W609+Poussee)/m*COS(M609)-U609/m*SIN(M609))</f>
        <v>-0.727486146555715</v>
      </c>
      <c r="E610" s="398" t="n">
        <f aca="false">IF(AND(L609&lt;L_rampe,Poussee&lt;Poids*SIN(M609)),0,(-W609+Poussee)/m*SIN(M609)+U609/m*COS(M609)-Poids/m)</f>
        <v>-2.50443781725096</v>
      </c>
      <c r="F610" s="397" t="n">
        <f aca="false">SQRT(acc_x^2+acc_z^2)</f>
        <v>2.60795798929109</v>
      </c>
      <c r="G610" s="396" t="n">
        <f aca="false">G609+acc_x*pas</f>
        <v>11.4896676291519</v>
      </c>
      <c r="H610" s="398" t="n">
        <f aca="false">H609+acc_z*pas</f>
        <v>-115.382533928939</v>
      </c>
      <c r="I610" s="397" t="n">
        <f aca="false">SQRT(vit_x^2+vit_z^2)</f>
        <v>115.9531870976</v>
      </c>
      <c r="J610" s="396" t="n">
        <f aca="false">J609+0.5*(vit_x+G609)*pas*(K609&gt;=0)</f>
        <v>690.928492655337</v>
      </c>
      <c r="K610" s="398" t="n">
        <f aca="false">K609+0.5*(vit_z+H609)*pas</f>
        <v>-9.8159832905777</v>
      </c>
      <c r="L610" s="397" t="n">
        <f aca="false">SQRT(pos_x^2+pos_z^2)</f>
        <v>690.998216706047</v>
      </c>
      <c r="M610" s="396" t="n">
        <f aca="false">IF(AND(L609&gt;L_rampe,G610&gt;0),ATAN2(G610,H610),$M$4)</f>
        <v>-1.47154460672663</v>
      </c>
      <c r="N610" s="397" t="n">
        <f aca="false">DEGREES(Beta)</f>
        <v>-84.3132953306743</v>
      </c>
      <c r="P610" s="399" t="n">
        <f aca="false">MATCH(t-pas/2-T_ini,CdP_t)</f>
        <v>23</v>
      </c>
      <c r="Q610" s="397" t="n">
        <f aca="false">(INDEX(CdP,2,i_P+1)-INDEX(CdP,2,i_P+0))/(INDEX(CdP,1,i_P+1)-INDEX(CdP,1,i_P+0))*(t-pas/2-T_ini-INDEX(CdP,1,i_P+0))+INDEX(CdP,2,i_P+0)</f>
        <v>0</v>
      </c>
      <c r="R610" s="396" t="n">
        <f aca="false">Poussee/(g*ISP)</f>
        <v>0</v>
      </c>
      <c r="S610" s="398" t="n">
        <f aca="false">S609-Débit*pas</f>
        <v>8.45</v>
      </c>
      <c r="T610" s="397" t="n">
        <f aca="false">m*g</f>
        <v>82.8945</v>
      </c>
      <c r="U610" s="400" t="n">
        <f aca="false">IF(pos_xz&lt;L_rampe,Poids*COS(Beta),0)</f>
        <v>0</v>
      </c>
      <c r="V610" s="396" t="n">
        <f aca="false">Rho_moyen*(20000-Alt_rampe-pos_z)/(20000+Alt_rampe+pos_z)</f>
        <v>1.22620304840825</v>
      </c>
      <c r="W610" s="397" t="n">
        <f aca="false">1/2*Rho*Sref*Cx*vit_xz^2</f>
        <v>62.0376471991009</v>
      </c>
      <c r="Y610" s="401" t="str">
        <f aca="false">IF(AND(pos_z&lt;=0,K609&gt;0),"Impact balistique","") &amp; IF(AND(H611&lt;0,vit_z&gt;=0),"Apogée","") &amp; IF(AND(Poussee=0,Q609&gt;0),"Fin de propulsion","") &amp; IF(AND(L611&gt;L_rampe,pos_xz&lt;=L_rampe),"Sortie de rampe","")</f>
        <v/>
      </c>
      <c r="Z610" s="402" t="str">
        <f aca="false">IF(ABS(t-T_para)&lt;pas/2,"Para","")</f>
        <v/>
      </c>
      <c r="AA610" s="403" t="str">
        <f aca="false">IF(ABS(t-T_satellite)&lt;pas/2,"Satellite","")</f>
        <v/>
      </c>
      <c r="AC610" s="399" t="e">
        <f aca="false">IF(ABS(t-ROUND(t,0))&lt;0.001,t,NA())</f>
        <v>#N/A</v>
      </c>
      <c r="AD610" s="404" t="e">
        <f aca="false">IF(ABS(t-ROUND(t,0))&lt;0.001,pos_x,NA())</f>
        <v>#N/A</v>
      </c>
      <c r="AE610" s="405" t="e">
        <f aca="false">IF(t&lt;T_para, pos_z, NA())</f>
        <v>#N/A</v>
      </c>
      <c r="AG610" s="396" t="n">
        <f aca="false">IF(AND(L609&lt;L_rampe,Poussee&lt;Poids*SIN(M609)),0,(-W609+Poussee)/m-Poids*SIN(M609)/m)</f>
        <v>2.42002587358877</v>
      </c>
      <c r="AH610" s="397" t="n">
        <f aca="false">IF(AND(L609&lt;L_rampe,Poussee&lt;Poids*SIN(M609)), g*SIN(M609), (-W609+Poussee)/m)</f>
        <v>-7.34169427989503</v>
      </c>
    </row>
    <row r="611" customFormat="false" ht="12.75" hidden="false" customHeight="false" outlineLevel="0" collapsed="false">
      <c r="A611" s="396" t="n">
        <f aca="false">IF(B610+0.01&lt;=T_ini+ROUNDUP(Temps_fin_propu,0), 0.01, IF(K610&gt;0, 0.1, 0.0001))</f>
        <v>0.0001</v>
      </c>
      <c r="B611" s="397" t="n">
        <f aca="false">B610+pas</f>
        <v>32.1106000000005</v>
      </c>
      <c r="D611" s="396" t="n">
        <f aca="false">IF(AND(L610&lt;L_rampe,Poussee&lt;Poids*SIN(M610)),0,(-W610+Poussee)/m*COS(M610)-U610/m*SIN(M610))</f>
        <v>-0.727483898090928</v>
      </c>
      <c r="E611" s="398" t="n">
        <f aca="false">IF(AND(L610&lt;L_rampe,Poussee&lt;Poids*SIN(M610)),0,(-W610+Poussee)/m*SIN(M610)+U610/m*COS(M610)-Poids/m)</f>
        <v>-2.50439828344024</v>
      </c>
      <c r="F611" s="397" t="n">
        <f aca="false">SQRT(acc_x^2+acc_z^2)</f>
        <v>2.6079193975428</v>
      </c>
      <c r="G611" s="396" t="n">
        <f aca="false">G610+acc_x*pas</f>
        <v>11.4895948807621</v>
      </c>
      <c r="H611" s="398" t="n">
        <f aca="false">H610+acc_z*pas</f>
        <v>-115.382784368767</v>
      </c>
      <c r="I611" s="397" t="n">
        <f aca="false">SQRT(vit_x^2+vit_z^2)</f>
        <v>115.953429096398</v>
      </c>
      <c r="J611" s="396" t="n">
        <f aca="false">J610+0.5*(vit_x+G610)*pas*(K610&gt;=0)</f>
        <v>690.928492655337</v>
      </c>
      <c r="K611" s="398" t="n">
        <f aca="false">K610+0.5*(vit_z+H610)*pas</f>
        <v>-9.82752155649259</v>
      </c>
      <c r="L611" s="397" t="n">
        <f aca="false">SQRT(pos_x^2+pos_z^2)</f>
        <v>690.998380709332</v>
      </c>
      <c r="M611" s="396" t="n">
        <f aca="false">IF(AND(L610&gt;L_rampe,G611&gt;0),ATAN2(G611,H611),$M$4)</f>
        <v>-1.47154544504732</v>
      </c>
      <c r="N611" s="397" t="n">
        <f aca="false">DEGREES(Beta)</f>
        <v>-84.3133433629118</v>
      </c>
      <c r="P611" s="399" t="n">
        <f aca="false">MATCH(t-pas/2-T_ini,CdP_t)</f>
        <v>23</v>
      </c>
      <c r="Q611" s="397" t="n">
        <f aca="false">(INDEX(CdP,2,i_P+1)-INDEX(CdP,2,i_P+0))/(INDEX(CdP,1,i_P+1)-INDEX(CdP,1,i_P+0))*(t-pas/2-T_ini-INDEX(CdP,1,i_P+0))+INDEX(CdP,2,i_P+0)</f>
        <v>0</v>
      </c>
      <c r="R611" s="396" t="n">
        <f aca="false">Poussee/(g*ISP)</f>
        <v>0</v>
      </c>
      <c r="S611" s="398" t="n">
        <f aca="false">S610-Débit*pas</f>
        <v>8.45</v>
      </c>
      <c r="T611" s="397" t="n">
        <f aca="false">m*g</f>
        <v>82.8945</v>
      </c>
      <c r="U611" s="400" t="n">
        <f aca="false">IF(pos_xz&lt;L_rampe,Poids*COS(Beta),0)</f>
        <v>0</v>
      </c>
      <c r="V611" s="396" t="n">
        <f aca="false">Rho_moyen*(20000-Alt_rampe-pos_z)/(20000+Alt_rampe+pos_z)</f>
        <v>1.22620446323509</v>
      </c>
      <c r="W611" s="397" t="n">
        <f aca="false">1/2*Rho*Sref*Cx*vit_xz^2</f>
        <v>62.0379777303663</v>
      </c>
      <c r="Y611" s="401" t="str">
        <f aca="false">IF(AND(pos_z&lt;=0,K610&gt;0),"Impact balistique","") &amp; IF(AND(H612&lt;0,vit_z&gt;=0),"Apogée","") &amp; IF(AND(Poussee=0,Q610&gt;0),"Fin de propulsion","") &amp; IF(AND(L612&gt;L_rampe,pos_xz&lt;=L_rampe),"Sortie de rampe","")</f>
        <v/>
      </c>
      <c r="Z611" s="402" t="str">
        <f aca="false">IF(ABS(t-T_para)&lt;pas/2,"Para","")</f>
        <v/>
      </c>
      <c r="AA611" s="403" t="str">
        <f aca="false">IF(ABS(t-T_satellite)&lt;pas/2,"Satellite","")</f>
        <v/>
      </c>
      <c r="AC611" s="399" t="e">
        <f aca="false">IF(ABS(t-ROUND(t,0))&lt;0.001,t,NA())</f>
        <v>#N/A</v>
      </c>
      <c r="AD611" s="404" t="e">
        <f aca="false">IF(ABS(t-ROUND(t,0))&lt;0.001,pos_x,NA())</f>
        <v>#N/A</v>
      </c>
      <c r="AE611" s="405" t="e">
        <f aca="false">IF(t&lt;T_para, pos_z, NA())</f>
        <v>#N/A</v>
      </c>
      <c r="AG611" s="396" t="n">
        <f aca="false">IF(AND(L610&lt;L_rampe,Poussee&lt;Poids*SIN(M610)),0,(-W610+Poussee)/m-Poids*SIN(M610)/m)</f>
        <v>2.41998757205184</v>
      </c>
      <c r="AH611" s="397" t="n">
        <f aca="false">IF(AND(L610&lt;L_rampe,Poussee&lt;Poids*SIN(M610)), g*SIN(M610), (-W610+Poussee)/m)</f>
        <v>-7.3417333963433</v>
      </c>
    </row>
    <row r="612" customFormat="false" ht="12.75" hidden="false" customHeight="false" outlineLevel="0" collapsed="false">
      <c r="A612" s="396" t="n">
        <f aca="false">IF(B611+0.01&lt;=T_ini+ROUNDUP(Temps_fin_propu,0), 0.01, IF(K611&gt;0, 0.1, 0.0001))</f>
        <v>0.0001</v>
      </c>
      <c r="B612" s="397" t="n">
        <f aca="false">B611+pas</f>
        <v>32.1107000000005</v>
      </c>
      <c r="D612" s="396" t="n">
        <f aca="false">IF(AND(L611&lt;L_rampe,Poussee&lt;Poids*SIN(M611)),0,(-W611+Poussee)/m*COS(M611)-U611/m*SIN(M611))</f>
        <v>-0.727481649592786</v>
      </c>
      <c r="E612" s="398" t="n">
        <f aca="false">IF(AND(L611&lt;L_rampe,Poussee&lt;Poids*SIN(M611)),0,(-W611+Poussee)/m*SIN(M611)+U611/m*COS(M611)-Poids/m)</f>
        <v>-2.50435874995516</v>
      </c>
      <c r="F612" s="397" t="n">
        <f aca="false">SQRT(acc_x^2+acc_z^2)</f>
        <v>2.60788080612807</v>
      </c>
      <c r="G612" s="396" t="n">
        <f aca="false">G611+acc_x*pas</f>
        <v>11.4895221325971</v>
      </c>
      <c r="H612" s="398" t="n">
        <f aca="false">H611+acc_z*pas</f>
        <v>-115.383034804642</v>
      </c>
      <c r="I612" s="397" t="n">
        <f aca="false">SQRT(vit_x^2+vit_z^2)</f>
        <v>115.953671091366</v>
      </c>
      <c r="J612" s="396" t="n">
        <f aca="false">J611+0.5*(vit_x+G611)*pas*(K611&gt;=0)</f>
        <v>690.928492655337</v>
      </c>
      <c r="K612" s="398" t="n">
        <f aca="false">K611+0.5*(vit_z+H611)*pas</f>
        <v>-9.83905984745126</v>
      </c>
      <c r="L612" s="397" t="n">
        <f aca="false">SQRT(pos_x^2+pos_z^2)</f>
        <v>690.998544905601</v>
      </c>
      <c r="M612" s="396" t="n">
        <f aca="false">IF(AND(L611&gt;L_rampe,G612&gt;0),ATAN2(G612,H612),$M$4)</f>
        <v>-1.47154628335921</v>
      </c>
      <c r="N612" s="397" t="n">
        <f aca="false">DEGREES(Beta)</f>
        <v>-84.3133913946448</v>
      </c>
      <c r="P612" s="399" t="n">
        <f aca="false">MATCH(t-pas/2-T_ini,CdP_t)</f>
        <v>23</v>
      </c>
      <c r="Q612" s="397" t="n">
        <f aca="false">(INDEX(CdP,2,i_P+1)-INDEX(CdP,2,i_P+0))/(INDEX(CdP,1,i_P+1)-INDEX(CdP,1,i_P+0))*(t-pas/2-T_ini-INDEX(CdP,1,i_P+0))+INDEX(CdP,2,i_P+0)</f>
        <v>0</v>
      </c>
      <c r="R612" s="396" t="n">
        <f aca="false">Poussee/(g*ISP)</f>
        <v>0</v>
      </c>
      <c r="S612" s="398" t="n">
        <f aca="false">S611-Débit*pas</f>
        <v>8.45</v>
      </c>
      <c r="T612" s="397" t="n">
        <f aca="false">m*g</f>
        <v>82.8945</v>
      </c>
      <c r="U612" s="400" t="n">
        <f aca="false">IF(pos_xz&lt;L_rampe,Poids*COS(Beta),0)</f>
        <v>0</v>
      </c>
      <c r="V612" s="396" t="n">
        <f aca="false">Rho_moyen*(20000-Alt_rampe-pos_z)/(20000+Alt_rampe+pos_z)</f>
        <v>1.22620587806664</v>
      </c>
      <c r="W612" s="397" t="n">
        <f aca="false">1/2*Rho*Sref*Cx*vit_xz^2</f>
        <v>62.0383082589093</v>
      </c>
      <c r="Y612" s="401" t="str">
        <f aca="false">IF(AND(pos_z&lt;=0,K611&gt;0),"Impact balistique","") &amp; IF(AND(H613&lt;0,vit_z&gt;=0),"Apogée","") &amp; IF(AND(Poussee=0,Q611&gt;0),"Fin de propulsion","") &amp; IF(AND(L613&gt;L_rampe,pos_xz&lt;=L_rampe),"Sortie de rampe","")</f>
        <v/>
      </c>
      <c r="Z612" s="402" t="str">
        <f aca="false">IF(ABS(t-T_para)&lt;pas/2,"Para","")</f>
        <v/>
      </c>
      <c r="AA612" s="403" t="str">
        <f aca="false">IF(ABS(t-T_satellite)&lt;pas/2,"Satellite","")</f>
        <v/>
      </c>
      <c r="AC612" s="399" t="e">
        <f aca="false">IF(ABS(t-ROUND(t,0))&lt;0.001,t,NA())</f>
        <v>#N/A</v>
      </c>
      <c r="AD612" s="404" t="e">
        <f aca="false">IF(ABS(t-ROUND(t,0))&lt;0.001,pos_x,NA())</f>
        <v>#N/A</v>
      </c>
      <c r="AE612" s="405" t="e">
        <f aca="false">IF(t&lt;T_para, pos_z, NA())</f>
        <v>#N/A</v>
      </c>
      <c r="AG612" s="396" t="n">
        <f aca="false">IF(AND(L611&lt;L_rampe,Poussee&lt;Poids*SIN(M611)),0,(-W611+Poussee)/m-Poids*SIN(M611)/m)</f>
        <v>2.41994927082168</v>
      </c>
      <c r="AH612" s="397" t="n">
        <f aca="false">IF(AND(L611&lt;L_rampe,Poussee&lt;Poids*SIN(M611)), g*SIN(M611), (-W611+Poussee)/m)</f>
        <v>-7.34177251246938</v>
      </c>
    </row>
    <row r="613" customFormat="false" ht="12.75" hidden="false" customHeight="false" outlineLevel="0" collapsed="false">
      <c r="A613" s="396" t="n">
        <f aca="false">IF(B612+0.01&lt;=T_ini+ROUNDUP(Temps_fin_propu,0), 0.01, IF(K612&gt;0, 0.1, 0.0001))</f>
        <v>0.0001</v>
      </c>
      <c r="B613" s="397" t="n">
        <f aca="false">B612+pas</f>
        <v>32.1108000000005</v>
      </c>
      <c r="D613" s="396" t="n">
        <f aca="false">IF(AND(L612&lt;L_rampe,Poussee&lt;Poids*SIN(M612)),0,(-W612+Poussee)/m*COS(M612)-U612/m*SIN(M612))</f>
        <v>-0.727479401061291</v>
      </c>
      <c r="E613" s="398" t="n">
        <f aca="false">IF(AND(L612&lt;L_rampe,Poussee&lt;Poids*SIN(M612)),0,(-W612+Poussee)/m*SIN(M612)+U612/m*COS(M612)-Poids/m)</f>
        <v>-2.50431921679572</v>
      </c>
      <c r="F613" s="397" t="n">
        <f aca="false">SQRT(acc_x^2+acc_z^2)</f>
        <v>2.60784221504692</v>
      </c>
      <c r="G613" s="396" t="n">
        <f aca="false">G612+acc_x*pas</f>
        <v>11.489449384657</v>
      </c>
      <c r="H613" s="398" t="n">
        <f aca="false">H612+acc_z*pas</f>
        <v>-115.383285236564</v>
      </c>
      <c r="I613" s="397" t="n">
        <f aca="false">SQRT(vit_x^2+vit_z^2)</f>
        <v>115.953913082504</v>
      </c>
      <c r="J613" s="396" t="n">
        <f aca="false">J612+0.5*(vit_x+G612)*pas*(K612&gt;=0)</f>
        <v>690.928492655337</v>
      </c>
      <c r="K613" s="398" t="n">
        <f aca="false">K612+0.5*(vit_z+H612)*pas</f>
        <v>-9.85059816345332</v>
      </c>
      <c r="L613" s="397" t="n">
        <f aca="false">SQRT(pos_x^2+pos_z^2)</f>
        <v>690.998709294854</v>
      </c>
      <c r="M613" s="396" t="n">
        <f aca="false">IF(AND(L612&gt;L_rampe,G613&gt;0),ATAN2(G613,H613),$M$4)</f>
        <v>-1.47154712166228</v>
      </c>
      <c r="N613" s="397" t="n">
        <f aca="false">DEGREES(Beta)</f>
        <v>-84.3134394258732</v>
      </c>
      <c r="P613" s="399" t="n">
        <f aca="false">MATCH(t-pas/2-T_ini,CdP_t)</f>
        <v>23</v>
      </c>
      <c r="Q613" s="397" t="n">
        <f aca="false">(INDEX(CdP,2,i_P+1)-INDEX(CdP,2,i_P+0))/(INDEX(CdP,1,i_P+1)-INDEX(CdP,1,i_P+0))*(t-pas/2-T_ini-INDEX(CdP,1,i_P+0))+INDEX(CdP,2,i_P+0)</f>
        <v>0</v>
      </c>
      <c r="R613" s="396" t="n">
        <f aca="false">Poussee/(g*ISP)</f>
        <v>0</v>
      </c>
      <c r="S613" s="398" t="n">
        <f aca="false">S612-Débit*pas</f>
        <v>8.45</v>
      </c>
      <c r="T613" s="397" t="n">
        <f aca="false">m*g</f>
        <v>82.8945</v>
      </c>
      <c r="U613" s="400" t="n">
        <f aca="false">IF(pos_xz&lt;L_rampe,Poids*COS(Beta),0)</f>
        <v>0</v>
      </c>
      <c r="V613" s="396" t="n">
        <f aca="false">Rho_moyen*(20000-Alt_rampe-pos_z)/(20000+Alt_rampe+pos_z)</f>
        <v>1.22620729290289</v>
      </c>
      <c r="W613" s="397" t="n">
        <f aca="false">1/2*Rho*Sref*Cx*vit_xz^2</f>
        <v>62.0386387847299</v>
      </c>
      <c r="Y613" s="401" t="str">
        <f aca="false">IF(AND(pos_z&lt;=0,K612&gt;0),"Impact balistique","") &amp; IF(AND(H614&lt;0,vit_z&gt;=0),"Apogée","") &amp; IF(AND(Poussee=0,Q612&gt;0),"Fin de propulsion","") &amp; IF(AND(L614&gt;L_rampe,pos_xz&lt;=L_rampe),"Sortie de rampe","")</f>
        <v/>
      </c>
      <c r="Z613" s="402" t="str">
        <f aca="false">IF(ABS(t-T_para)&lt;pas/2,"Para","")</f>
        <v/>
      </c>
      <c r="AA613" s="403" t="str">
        <f aca="false">IF(ABS(t-T_satellite)&lt;pas/2,"Satellite","")</f>
        <v/>
      </c>
      <c r="AC613" s="399" t="e">
        <f aca="false">IF(ABS(t-ROUND(t,0))&lt;0.001,t,NA())</f>
        <v>#N/A</v>
      </c>
      <c r="AD613" s="404" t="e">
        <f aca="false">IF(ABS(t-ROUND(t,0))&lt;0.001,pos_x,NA())</f>
        <v>#N/A</v>
      </c>
      <c r="AE613" s="405" t="e">
        <f aca="false">IF(t&lt;T_para, pos_z, NA())</f>
        <v>#N/A</v>
      </c>
      <c r="AG613" s="396" t="n">
        <f aca="false">IF(AND(L612&lt;L_rampe,Poussee&lt;Poids*SIN(M612)),0,(-W612+Poussee)/m-Poids*SIN(M612)/m)</f>
        <v>2.41991096989826</v>
      </c>
      <c r="AH613" s="397" t="n">
        <f aca="false">IF(AND(L612&lt;L_rampe,Poussee&lt;Poids*SIN(M612)), g*SIN(M612), (-W612+Poussee)/m)</f>
        <v>-7.34181162827329</v>
      </c>
    </row>
    <row r="614" customFormat="false" ht="12.75" hidden="false" customHeight="false" outlineLevel="0" collapsed="false">
      <c r="A614" s="396" t="n">
        <f aca="false">IF(B613+0.01&lt;=T_ini+ROUNDUP(Temps_fin_propu,0), 0.01, IF(K613&gt;0, 0.1, 0.0001))</f>
        <v>0.0001</v>
      </c>
      <c r="B614" s="397" t="n">
        <f aca="false">B613+pas</f>
        <v>32.1109000000006</v>
      </c>
      <c r="D614" s="396" t="n">
        <f aca="false">IF(AND(L613&lt;L_rampe,Poussee&lt;Poids*SIN(M613)),0,(-W613+Poussee)/m*COS(M613)-U613/m*SIN(M613))</f>
        <v>-0.727477152496441</v>
      </c>
      <c r="E614" s="398" t="n">
        <f aca="false">IF(AND(L613&lt;L_rampe,Poussee&lt;Poids*SIN(M613)),0,(-W613+Poussee)/m*SIN(M613)+U613/m*COS(M613)-Poids/m)</f>
        <v>-2.50427968396191</v>
      </c>
      <c r="F614" s="397" t="n">
        <f aca="false">SQRT(acc_x^2+acc_z^2)</f>
        <v>2.60780362429932</v>
      </c>
      <c r="G614" s="396" t="n">
        <f aca="false">G613+acc_x*pas</f>
        <v>11.4893766369418</v>
      </c>
      <c r="H614" s="398" t="n">
        <f aca="false">H613+acc_z*pas</f>
        <v>-115.383535664532</v>
      </c>
      <c r="I614" s="397" t="n">
        <f aca="false">SQRT(vit_x^2+vit_z^2)</f>
        <v>115.954155069811</v>
      </c>
      <c r="J614" s="396" t="n">
        <f aca="false">J613+0.5*(vit_x+G613)*pas*(K613&gt;=0)</f>
        <v>690.928492655337</v>
      </c>
      <c r="K614" s="398" t="n">
        <f aca="false">K613+0.5*(vit_z+H613)*pas</f>
        <v>-9.86213650449837</v>
      </c>
      <c r="L614" s="397" t="n">
        <f aca="false">SQRT(pos_x^2+pos_z^2)</f>
        <v>690.998873877092</v>
      </c>
      <c r="M614" s="396" t="n">
        <f aca="false">IF(AND(L613&gt;L_rampe,G614&gt;0),ATAN2(G614,H614),$M$4)</f>
        <v>-1.47154795995656</v>
      </c>
      <c r="N614" s="397" t="n">
        <f aca="false">DEGREES(Beta)</f>
        <v>-84.313487456597</v>
      </c>
      <c r="P614" s="399" t="n">
        <f aca="false">MATCH(t-pas/2-T_ini,CdP_t)</f>
        <v>23</v>
      </c>
      <c r="Q614" s="397" t="n">
        <f aca="false">(INDEX(CdP,2,i_P+1)-INDEX(CdP,2,i_P+0))/(INDEX(CdP,1,i_P+1)-INDEX(CdP,1,i_P+0))*(t-pas/2-T_ini-INDEX(CdP,1,i_P+0))+INDEX(CdP,2,i_P+0)</f>
        <v>0</v>
      </c>
      <c r="R614" s="396" t="n">
        <f aca="false">Poussee/(g*ISP)</f>
        <v>0</v>
      </c>
      <c r="S614" s="398" t="n">
        <f aca="false">S613-Débit*pas</f>
        <v>8.45</v>
      </c>
      <c r="T614" s="397" t="n">
        <f aca="false">m*g</f>
        <v>82.8945</v>
      </c>
      <c r="U614" s="400" t="n">
        <f aca="false">IF(pos_xz&lt;L_rampe,Poids*COS(Beta),0)</f>
        <v>0</v>
      </c>
      <c r="V614" s="396" t="n">
        <f aca="false">Rho_moyen*(20000-Alt_rampe-pos_z)/(20000+Alt_rampe+pos_z)</f>
        <v>1.22620870774384</v>
      </c>
      <c r="W614" s="397" t="n">
        <f aca="false">1/2*Rho*Sref*Cx*vit_xz^2</f>
        <v>62.038969307828</v>
      </c>
      <c r="Y614" s="401" t="str">
        <f aca="false">IF(AND(pos_z&lt;=0,K613&gt;0),"Impact balistique","") &amp; IF(AND(H615&lt;0,vit_z&gt;=0),"Apogée","") &amp; IF(AND(Poussee=0,Q613&gt;0),"Fin de propulsion","") &amp; IF(AND(L615&gt;L_rampe,pos_xz&lt;=L_rampe),"Sortie de rampe","")</f>
        <v/>
      </c>
      <c r="Z614" s="402" t="str">
        <f aca="false">IF(ABS(t-T_para)&lt;pas/2,"Para","")</f>
        <v/>
      </c>
      <c r="AA614" s="403" t="str">
        <f aca="false">IF(ABS(t-T_satellite)&lt;pas/2,"Satellite","")</f>
        <v/>
      </c>
      <c r="AC614" s="399" t="e">
        <f aca="false">IF(ABS(t-ROUND(t,0))&lt;0.001,t,NA())</f>
        <v>#N/A</v>
      </c>
      <c r="AD614" s="404" t="e">
        <f aca="false">IF(ABS(t-ROUND(t,0))&lt;0.001,pos_x,NA())</f>
        <v>#N/A</v>
      </c>
      <c r="AE614" s="405" t="e">
        <f aca="false">IF(t&lt;T_para, pos_z, NA())</f>
        <v>#N/A</v>
      </c>
      <c r="AG614" s="396" t="n">
        <f aca="false">IF(AND(L613&lt;L_rampe,Poussee&lt;Poids*SIN(M613)),0,(-W613+Poussee)/m-Poids*SIN(M613)/m)</f>
        <v>2.41987266928161</v>
      </c>
      <c r="AH614" s="397" t="n">
        <f aca="false">IF(AND(L613&lt;L_rampe,Poussee&lt;Poids*SIN(M613)), g*SIN(M613), (-W613+Poussee)/m)</f>
        <v>-7.34185074375501</v>
      </c>
    </row>
    <row r="615" customFormat="false" ht="12.75" hidden="false" customHeight="false" outlineLevel="0" collapsed="false">
      <c r="A615" s="396" t="n">
        <f aca="false">IF(B614+0.01&lt;=T_ini+ROUNDUP(Temps_fin_propu,0), 0.01, IF(K614&gt;0, 0.1, 0.0001))</f>
        <v>0.0001</v>
      </c>
      <c r="B615" s="397" t="n">
        <f aca="false">B614+pas</f>
        <v>32.1110000000006</v>
      </c>
      <c r="D615" s="396" t="n">
        <f aca="false">IF(AND(L614&lt;L_rampe,Poussee&lt;Poids*SIN(M614)),0,(-W614+Poussee)/m*COS(M614)-U614/m*SIN(M614))</f>
        <v>-0.727474903898239</v>
      </c>
      <c r="E615" s="398" t="n">
        <f aca="false">IF(AND(L614&lt;L_rampe,Poussee&lt;Poids*SIN(M614)),0,(-W614+Poussee)/m*SIN(M614)+U614/m*COS(M614)-Poids/m)</f>
        <v>-2.50424015145374</v>
      </c>
      <c r="F615" s="397" t="n">
        <f aca="false">SQRT(acc_x^2+acc_z^2)</f>
        <v>2.6077650338853</v>
      </c>
      <c r="G615" s="396" t="n">
        <f aca="false">G614+acc_x*pas</f>
        <v>11.4893038894514</v>
      </c>
      <c r="H615" s="398" t="n">
        <f aca="false">H614+acc_z*pas</f>
        <v>-115.383786088547</v>
      </c>
      <c r="I615" s="397" t="n">
        <f aca="false">SQRT(vit_x^2+vit_z^2)</f>
        <v>115.954397053289</v>
      </c>
      <c r="J615" s="396" t="n">
        <f aca="false">J614+0.5*(vit_x+G614)*pas*(K614&gt;=0)</f>
        <v>690.928492655337</v>
      </c>
      <c r="K615" s="398" t="n">
        <f aca="false">K614+0.5*(vit_z+H614)*pas</f>
        <v>-9.87367487058603</v>
      </c>
      <c r="L615" s="397" t="n">
        <f aca="false">SQRT(pos_x^2+pos_z^2)</f>
        <v>690.999038652317</v>
      </c>
      <c r="M615" s="396" t="n">
        <f aca="false">IF(AND(L614&gt;L_rampe,G615&gt;0),ATAN2(G615,H615),$M$4)</f>
        <v>-1.47154879824202</v>
      </c>
      <c r="N615" s="397" t="n">
        <f aca="false">DEGREES(Beta)</f>
        <v>-84.3135354868161</v>
      </c>
      <c r="P615" s="399" t="n">
        <f aca="false">MATCH(t-pas/2-T_ini,CdP_t)</f>
        <v>23</v>
      </c>
      <c r="Q615" s="397" t="n">
        <f aca="false">(INDEX(CdP,2,i_P+1)-INDEX(CdP,2,i_P+0))/(INDEX(CdP,1,i_P+1)-INDEX(CdP,1,i_P+0))*(t-pas/2-T_ini-INDEX(CdP,1,i_P+0))+INDEX(CdP,2,i_P+0)</f>
        <v>0</v>
      </c>
      <c r="R615" s="396" t="n">
        <f aca="false">Poussee/(g*ISP)</f>
        <v>0</v>
      </c>
      <c r="S615" s="398" t="n">
        <f aca="false">S614-Débit*pas</f>
        <v>8.45</v>
      </c>
      <c r="T615" s="397" t="n">
        <f aca="false">m*g</f>
        <v>82.8945</v>
      </c>
      <c r="U615" s="400" t="n">
        <f aca="false">IF(pos_xz&lt;L_rampe,Poids*COS(Beta),0)</f>
        <v>0</v>
      </c>
      <c r="V615" s="396" t="n">
        <f aca="false">Rho_moyen*(20000-Alt_rampe-pos_z)/(20000+Alt_rampe+pos_z)</f>
        <v>1.2262101225895</v>
      </c>
      <c r="W615" s="397" t="n">
        <f aca="false">1/2*Rho*Sref*Cx*vit_xz^2</f>
        <v>62.0392998282037</v>
      </c>
      <c r="Y615" s="401" t="str">
        <f aca="false">IF(AND(pos_z&lt;=0,K614&gt;0),"Impact balistique","") &amp; IF(AND(H616&lt;0,vit_z&gt;=0),"Apogée","") &amp; IF(AND(Poussee=0,Q614&gt;0),"Fin de propulsion","") &amp; IF(AND(L616&gt;L_rampe,pos_xz&lt;=L_rampe),"Sortie de rampe","")</f>
        <v/>
      </c>
      <c r="Z615" s="402" t="str">
        <f aca="false">IF(ABS(t-T_para)&lt;pas/2,"Para","")</f>
        <v/>
      </c>
      <c r="AA615" s="403" t="str">
        <f aca="false">IF(ABS(t-T_satellite)&lt;pas/2,"Satellite","")</f>
        <v/>
      </c>
      <c r="AC615" s="399" t="e">
        <f aca="false">IF(ABS(t-ROUND(t,0))&lt;0.001,t,NA())</f>
        <v>#N/A</v>
      </c>
      <c r="AD615" s="404" t="e">
        <f aca="false">IF(ABS(t-ROUND(t,0))&lt;0.001,pos_x,NA())</f>
        <v>#N/A</v>
      </c>
      <c r="AE615" s="405" t="e">
        <f aca="false">IF(t&lt;T_para, pos_z, NA())</f>
        <v>#N/A</v>
      </c>
      <c r="AG615" s="396" t="n">
        <f aca="false">IF(AND(L614&lt;L_rampe,Poussee&lt;Poids*SIN(M614)),0,(-W614+Poussee)/m-Poids*SIN(M614)/m)</f>
        <v>2.41983436897172</v>
      </c>
      <c r="AH615" s="397" t="n">
        <f aca="false">IF(AND(L614&lt;L_rampe,Poussee&lt;Poids*SIN(M614)), g*SIN(M614), (-W614+Poussee)/m)</f>
        <v>-7.34188985891456</v>
      </c>
    </row>
    <row r="616" customFormat="false" ht="12.75" hidden="false" customHeight="false" outlineLevel="0" collapsed="false">
      <c r="A616" s="396" t="n">
        <f aca="false">IF(B615+0.01&lt;=T_ini+ROUNDUP(Temps_fin_propu,0), 0.01, IF(K615&gt;0, 0.1, 0.0001))</f>
        <v>0.0001</v>
      </c>
      <c r="B616" s="397" t="n">
        <f aca="false">B615+pas</f>
        <v>32.1111000000006</v>
      </c>
      <c r="D616" s="396" t="n">
        <f aca="false">IF(AND(L615&lt;L_rampe,Poussee&lt;Poids*SIN(M615)),0,(-W615+Poussee)/m*COS(M615)-U615/m*SIN(M615))</f>
        <v>-0.727472655266685</v>
      </c>
      <c r="E616" s="398" t="n">
        <f aca="false">IF(AND(L615&lt;L_rampe,Poussee&lt;Poids*SIN(M615)),0,(-W615+Poussee)/m*SIN(M615)+U615/m*COS(M615)-Poids/m)</f>
        <v>-2.50420061927122</v>
      </c>
      <c r="F616" s="397" t="n">
        <f aca="false">SQRT(acc_x^2+acc_z^2)</f>
        <v>2.60772644380485</v>
      </c>
      <c r="G616" s="396" t="n">
        <f aca="false">G615+acc_x*pas</f>
        <v>11.4892311421858</v>
      </c>
      <c r="H616" s="398" t="n">
        <f aca="false">H615+acc_z*pas</f>
        <v>-115.384036508609</v>
      </c>
      <c r="I616" s="397" t="n">
        <f aca="false">SQRT(vit_x^2+vit_z^2)</f>
        <v>115.954639032937</v>
      </c>
      <c r="J616" s="396" t="n">
        <f aca="false">J615+0.5*(vit_x+G615)*pas*(K615&gt;=0)</f>
        <v>690.928492655337</v>
      </c>
      <c r="K616" s="398" t="n">
        <f aca="false">K615+0.5*(vit_z+H615)*pas</f>
        <v>-9.88521326171589</v>
      </c>
      <c r="L616" s="397" t="n">
        <f aca="false">SQRT(pos_x^2+pos_z^2)</f>
        <v>690.999203620529</v>
      </c>
      <c r="M616" s="396" t="n">
        <f aca="false">IF(AND(L615&gt;L_rampe,G616&gt;0),ATAN2(G616,H616),$M$4)</f>
        <v>-1.47154963651868</v>
      </c>
      <c r="N616" s="397" t="n">
        <f aca="false">DEGREES(Beta)</f>
        <v>-84.3135835165308</v>
      </c>
      <c r="P616" s="399" t="n">
        <f aca="false">MATCH(t-pas/2-T_ini,CdP_t)</f>
        <v>23</v>
      </c>
      <c r="Q616" s="397" t="n">
        <f aca="false">(INDEX(CdP,2,i_P+1)-INDEX(CdP,2,i_P+0))/(INDEX(CdP,1,i_P+1)-INDEX(CdP,1,i_P+0))*(t-pas/2-T_ini-INDEX(CdP,1,i_P+0))+INDEX(CdP,2,i_P+0)</f>
        <v>0</v>
      </c>
      <c r="R616" s="396" t="n">
        <f aca="false">Poussee/(g*ISP)</f>
        <v>0</v>
      </c>
      <c r="S616" s="398" t="n">
        <f aca="false">S615-Débit*pas</f>
        <v>8.45</v>
      </c>
      <c r="T616" s="397" t="n">
        <f aca="false">m*g</f>
        <v>82.8945</v>
      </c>
      <c r="U616" s="400" t="n">
        <f aca="false">IF(pos_xz&lt;L_rampe,Poids*COS(Beta),0)</f>
        <v>0</v>
      </c>
      <c r="V616" s="396" t="n">
        <f aca="false">Rho_moyen*(20000-Alt_rampe-pos_z)/(20000+Alt_rampe+pos_z)</f>
        <v>1.22621153743986</v>
      </c>
      <c r="W616" s="397" t="n">
        <f aca="false">1/2*Rho*Sref*Cx*vit_xz^2</f>
        <v>62.0396303458569</v>
      </c>
      <c r="Y616" s="401" t="str">
        <f aca="false">IF(AND(pos_z&lt;=0,K615&gt;0),"Impact balistique","") &amp; IF(AND(H617&lt;0,vit_z&gt;=0),"Apogée","") &amp; IF(AND(Poussee=0,Q615&gt;0),"Fin de propulsion","") &amp; IF(AND(L617&gt;L_rampe,pos_xz&lt;=L_rampe),"Sortie de rampe","")</f>
        <v/>
      </c>
      <c r="Z616" s="402" t="str">
        <f aca="false">IF(ABS(t-T_para)&lt;pas/2,"Para","")</f>
        <v/>
      </c>
      <c r="AA616" s="403" t="str">
        <f aca="false">IF(ABS(t-T_satellite)&lt;pas/2,"Satellite","")</f>
        <v/>
      </c>
      <c r="AC616" s="399" t="e">
        <f aca="false">IF(ABS(t-ROUND(t,0))&lt;0.001,t,NA())</f>
        <v>#N/A</v>
      </c>
      <c r="AD616" s="404" t="e">
        <f aca="false">IF(ABS(t-ROUND(t,0))&lt;0.001,pos_x,NA())</f>
        <v>#N/A</v>
      </c>
      <c r="AE616" s="405" t="e">
        <f aca="false">IF(t&lt;T_para, pos_z, NA())</f>
        <v>#N/A</v>
      </c>
      <c r="AG616" s="396" t="n">
        <f aca="false">IF(AND(L615&lt;L_rampe,Poussee&lt;Poids*SIN(M615)),0,(-W615+Poussee)/m-Poids*SIN(M615)/m)</f>
        <v>2.4197960689686</v>
      </c>
      <c r="AH616" s="397" t="n">
        <f aca="false">IF(AND(L615&lt;L_rampe,Poussee&lt;Poids*SIN(M615)), g*SIN(M615), (-W615+Poussee)/m)</f>
        <v>-7.34192897375192</v>
      </c>
    </row>
    <row r="617" customFormat="false" ht="12.75" hidden="false" customHeight="false" outlineLevel="0" collapsed="false">
      <c r="A617" s="396" t="n">
        <f aca="false">IF(B616+0.01&lt;=T_ini+ROUNDUP(Temps_fin_propu,0), 0.01, IF(K616&gt;0, 0.1, 0.0001))</f>
        <v>0.0001</v>
      </c>
      <c r="B617" s="397" t="n">
        <f aca="false">B616+pas</f>
        <v>32.1112000000006</v>
      </c>
      <c r="D617" s="396" t="n">
        <f aca="false">IF(AND(L616&lt;L_rampe,Poussee&lt;Poids*SIN(M616)),0,(-W616+Poussee)/m*COS(M616)-U616/m*SIN(M616))</f>
        <v>-0.727470406601778</v>
      </c>
      <c r="E617" s="398" t="n">
        <f aca="false">IF(AND(L616&lt;L_rampe,Poussee&lt;Poids*SIN(M616)),0,(-W616+Poussee)/m*SIN(M616)+U616/m*COS(M616)-Poids/m)</f>
        <v>-2.50416108741433</v>
      </c>
      <c r="F617" s="397" t="n">
        <f aca="false">SQRT(acc_x^2+acc_z^2)</f>
        <v>2.60768785405797</v>
      </c>
      <c r="G617" s="396" t="n">
        <f aca="false">G616+acc_x*pas</f>
        <v>11.4891583951452</v>
      </c>
      <c r="H617" s="398" t="n">
        <f aca="false">H616+acc_z*pas</f>
        <v>-115.384286924718</v>
      </c>
      <c r="I617" s="397" t="n">
        <f aca="false">SQRT(vit_x^2+vit_z^2)</f>
        <v>115.954881008754</v>
      </c>
      <c r="J617" s="396" t="n">
        <f aca="false">J616+0.5*(vit_x+G616)*pas*(K616&gt;=0)</f>
        <v>690.928492655337</v>
      </c>
      <c r="K617" s="398" t="n">
        <f aca="false">K616+0.5*(vit_z+H616)*pas</f>
        <v>-9.89675167788755</v>
      </c>
      <c r="L617" s="397" t="n">
        <f aca="false">SQRT(pos_x^2+pos_z^2)</f>
        <v>690.99936878173</v>
      </c>
      <c r="M617" s="396" t="n">
        <f aca="false">IF(AND(L616&gt;L_rampe,G617&gt;0),ATAN2(G617,H617),$M$4)</f>
        <v>-1.47155047478653</v>
      </c>
      <c r="N617" s="397" t="n">
        <f aca="false">DEGREES(Beta)</f>
        <v>-84.3136315457408</v>
      </c>
      <c r="P617" s="399" t="n">
        <f aca="false">MATCH(t-pas/2-T_ini,CdP_t)</f>
        <v>23</v>
      </c>
      <c r="Q617" s="397" t="n">
        <f aca="false">(INDEX(CdP,2,i_P+1)-INDEX(CdP,2,i_P+0))/(INDEX(CdP,1,i_P+1)-INDEX(CdP,1,i_P+0))*(t-pas/2-T_ini-INDEX(CdP,1,i_P+0))+INDEX(CdP,2,i_P+0)</f>
        <v>0</v>
      </c>
      <c r="R617" s="396" t="n">
        <f aca="false">Poussee/(g*ISP)</f>
        <v>0</v>
      </c>
      <c r="S617" s="398" t="n">
        <f aca="false">S616-Débit*pas</f>
        <v>8.45</v>
      </c>
      <c r="T617" s="397" t="n">
        <f aca="false">m*g</f>
        <v>82.8945</v>
      </c>
      <c r="U617" s="400" t="n">
        <f aca="false">IF(pos_xz&lt;L_rampe,Poids*COS(Beta),0)</f>
        <v>0</v>
      </c>
      <c r="V617" s="396" t="n">
        <f aca="false">Rho_moyen*(20000-Alt_rampe-pos_z)/(20000+Alt_rampe+pos_z)</f>
        <v>1.22621295229492</v>
      </c>
      <c r="W617" s="397" t="n">
        <f aca="false">1/2*Rho*Sref*Cx*vit_xz^2</f>
        <v>62.0399608607877</v>
      </c>
      <c r="Y617" s="401" t="str">
        <f aca="false">IF(AND(pos_z&lt;=0,K616&gt;0),"Impact balistique","") &amp; IF(AND(H618&lt;0,vit_z&gt;=0),"Apogée","") &amp; IF(AND(Poussee=0,Q616&gt;0),"Fin de propulsion","") &amp; IF(AND(L618&gt;L_rampe,pos_xz&lt;=L_rampe),"Sortie de rampe","")</f>
        <v/>
      </c>
      <c r="Z617" s="402" t="str">
        <f aca="false">IF(ABS(t-T_para)&lt;pas/2,"Para","")</f>
        <v/>
      </c>
      <c r="AA617" s="403" t="str">
        <f aca="false">IF(ABS(t-T_satellite)&lt;pas/2,"Satellite","")</f>
        <v/>
      </c>
      <c r="AC617" s="399" t="e">
        <f aca="false">IF(ABS(t-ROUND(t,0))&lt;0.001,t,NA())</f>
        <v>#N/A</v>
      </c>
      <c r="AD617" s="404" t="e">
        <f aca="false">IF(ABS(t-ROUND(t,0))&lt;0.001,pos_x,NA())</f>
        <v>#N/A</v>
      </c>
      <c r="AE617" s="405" t="e">
        <f aca="false">IF(t&lt;T_para, pos_z, NA())</f>
        <v>#N/A</v>
      </c>
      <c r="AG617" s="396" t="n">
        <f aca="false">IF(AND(L616&lt;L_rampe,Poussee&lt;Poids*SIN(M616)),0,(-W616+Poussee)/m-Poids*SIN(M616)/m)</f>
        <v>2.41975776927223</v>
      </c>
      <c r="AH617" s="397" t="n">
        <f aca="false">IF(AND(L616&lt;L_rampe,Poussee&lt;Poids*SIN(M616)), g*SIN(M616), (-W616+Poussee)/m)</f>
        <v>-7.34196808826709</v>
      </c>
    </row>
    <row r="618" customFormat="false" ht="12.75" hidden="false" customHeight="false" outlineLevel="0" collapsed="false">
      <c r="A618" s="396" t="n">
        <f aca="false">IF(B617+0.01&lt;=T_ini+ROUNDUP(Temps_fin_propu,0), 0.01, IF(K617&gt;0, 0.1, 0.0001))</f>
        <v>0.0001</v>
      </c>
      <c r="B618" s="397" t="n">
        <f aca="false">B617+pas</f>
        <v>32.1113000000006</v>
      </c>
      <c r="D618" s="396" t="n">
        <f aca="false">IF(AND(L617&lt;L_rampe,Poussee&lt;Poids*SIN(M617)),0,(-W617+Poussee)/m*COS(M617)-U617/m*SIN(M617))</f>
        <v>-0.727468157903523</v>
      </c>
      <c r="E618" s="398" t="n">
        <f aca="false">IF(AND(L617&lt;L_rampe,Poussee&lt;Poids*SIN(M617)),0,(-W617+Poussee)/m*SIN(M617)+U617/m*COS(M617)-Poids/m)</f>
        <v>-2.50412155588308</v>
      </c>
      <c r="F618" s="397" t="n">
        <f aca="false">SQRT(acc_x^2+acc_z^2)</f>
        <v>2.60764926464467</v>
      </c>
      <c r="G618" s="396" t="n">
        <f aca="false">G617+acc_x*pas</f>
        <v>11.4890856483294</v>
      </c>
      <c r="H618" s="398" t="n">
        <f aca="false">H617+acc_z*pas</f>
        <v>-115.384537336873</v>
      </c>
      <c r="I618" s="397" t="n">
        <f aca="false">SQRT(vit_x^2+vit_z^2)</f>
        <v>115.955122980742</v>
      </c>
      <c r="J618" s="396" t="n">
        <f aca="false">J617+0.5*(vit_x+G617)*pas*(K617&gt;=0)</f>
        <v>690.928492655337</v>
      </c>
      <c r="K618" s="398" t="n">
        <f aca="false">K617+0.5*(vit_z+H617)*pas</f>
        <v>-9.90829011910063</v>
      </c>
      <c r="L618" s="397" t="n">
        <f aca="false">SQRT(pos_x^2+pos_z^2)</f>
        <v>690.999534135921</v>
      </c>
      <c r="M618" s="396" t="n">
        <f aca="false">IF(AND(L617&gt;L_rampe,G618&gt;0),ATAN2(G618,H618),$M$4)</f>
        <v>-1.47155131304558</v>
      </c>
      <c r="N618" s="397" t="n">
        <f aca="false">DEGREES(Beta)</f>
        <v>-84.3136795744463</v>
      </c>
      <c r="P618" s="399" t="n">
        <f aca="false">MATCH(t-pas/2-T_ini,CdP_t)</f>
        <v>23</v>
      </c>
      <c r="Q618" s="397" t="n">
        <f aca="false">(INDEX(CdP,2,i_P+1)-INDEX(CdP,2,i_P+0))/(INDEX(CdP,1,i_P+1)-INDEX(CdP,1,i_P+0))*(t-pas/2-T_ini-INDEX(CdP,1,i_P+0))+INDEX(CdP,2,i_P+0)</f>
        <v>0</v>
      </c>
      <c r="R618" s="396" t="n">
        <f aca="false">Poussee/(g*ISP)</f>
        <v>0</v>
      </c>
      <c r="S618" s="398" t="n">
        <f aca="false">S617-Débit*pas</f>
        <v>8.45</v>
      </c>
      <c r="T618" s="397" t="n">
        <f aca="false">m*g</f>
        <v>82.8945</v>
      </c>
      <c r="U618" s="400" t="n">
        <f aca="false">IF(pos_xz&lt;L_rampe,Poids*COS(Beta),0)</f>
        <v>0</v>
      </c>
      <c r="V618" s="396" t="n">
        <f aca="false">Rho_moyen*(20000-Alt_rampe-pos_z)/(20000+Alt_rampe+pos_z)</f>
        <v>1.22621436715469</v>
      </c>
      <c r="W618" s="397" t="n">
        <f aca="false">1/2*Rho*Sref*Cx*vit_xz^2</f>
        <v>62.0402913729961</v>
      </c>
      <c r="Y618" s="401" t="str">
        <f aca="false">IF(AND(pos_z&lt;=0,K617&gt;0),"Impact balistique","") &amp; IF(AND(H619&lt;0,vit_z&gt;=0),"Apogée","") &amp; IF(AND(Poussee=0,Q617&gt;0),"Fin de propulsion","") &amp; IF(AND(L619&gt;L_rampe,pos_xz&lt;=L_rampe),"Sortie de rampe","")</f>
        <v/>
      </c>
      <c r="Z618" s="402" t="str">
        <f aca="false">IF(ABS(t-T_para)&lt;pas/2,"Para","")</f>
        <v/>
      </c>
      <c r="AA618" s="403" t="str">
        <f aca="false">IF(ABS(t-T_satellite)&lt;pas/2,"Satellite","")</f>
        <v/>
      </c>
      <c r="AC618" s="399" t="e">
        <f aca="false">IF(ABS(t-ROUND(t,0))&lt;0.001,t,NA())</f>
        <v>#N/A</v>
      </c>
      <c r="AD618" s="404" t="e">
        <f aca="false">IF(ABS(t-ROUND(t,0))&lt;0.001,pos_x,NA())</f>
        <v>#N/A</v>
      </c>
      <c r="AE618" s="405" t="e">
        <f aca="false">IF(t&lt;T_para, pos_z, NA())</f>
        <v>#N/A</v>
      </c>
      <c r="AG618" s="396" t="n">
        <f aca="false">IF(AND(L617&lt;L_rampe,Poussee&lt;Poids*SIN(M617)),0,(-W617+Poussee)/m-Poids*SIN(M617)/m)</f>
        <v>2.41971946988263</v>
      </c>
      <c r="AH618" s="397" t="n">
        <f aca="false">IF(AND(L617&lt;L_rampe,Poussee&lt;Poids*SIN(M617)), g*SIN(M617), (-W617+Poussee)/m)</f>
        <v>-7.34200720246009</v>
      </c>
    </row>
    <row r="619" customFormat="false" ht="12.75" hidden="false" customHeight="false" outlineLevel="0" collapsed="false">
      <c r="A619" s="396" t="n">
        <f aca="false">IF(B618+0.01&lt;=T_ini+ROUNDUP(Temps_fin_propu,0), 0.01, IF(K618&gt;0, 0.1, 0.0001))</f>
        <v>0.0001</v>
      </c>
      <c r="B619" s="397" t="n">
        <f aca="false">B618+pas</f>
        <v>32.1114000000006</v>
      </c>
      <c r="D619" s="396" t="n">
        <f aca="false">IF(AND(L618&lt;L_rampe,Poussee&lt;Poids*SIN(M618)),0,(-W618+Poussee)/m*COS(M618)-U618/m*SIN(M618))</f>
        <v>-0.727465909171917</v>
      </c>
      <c r="E619" s="398" t="n">
        <f aca="false">IF(AND(L618&lt;L_rampe,Poussee&lt;Poids*SIN(M618)),0,(-W618+Poussee)/m*SIN(M618)+U618/m*COS(M618)-Poids/m)</f>
        <v>-2.50408202467748</v>
      </c>
      <c r="F619" s="397" t="n">
        <f aca="false">SQRT(acc_x^2+acc_z^2)</f>
        <v>2.60761067556493</v>
      </c>
      <c r="G619" s="396" t="n">
        <f aca="false">G618+acc_x*pas</f>
        <v>11.4890129017385</v>
      </c>
      <c r="H619" s="398" t="n">
        <f aca="false">H618+acc_z*pas</f>
        <v>-115.384787745076</v>
      </c>
      <c r="I619" s="397" t="n">
        <f aca="false">SQRT(vit_x^2+vit_z^2)</f>
        <v>115.9553649489</v>
      </c>
      <c r="J619" s="396" t="n">
        <f aca="false">J618+0.5*(vit_x+G618)*pas*(K618&gt;=0)</f>
        <v>690.928492655337</v>
      </c>
      <c r="K619" s="398" t="n">
        <f aca="false">K618+0.5*(vit_z+H618)*pas</f>
        <v>-9.91982858535473</v>
      </c>
      <c r="L619" s="397" t="n">
        <f aca="false">SQRT(pos_x^2+pos_z^2)</f>
        <v>690.999699683103</v>
      </c>
      <c r="M619" s="396" t="n">
        <f aca="false">IF(AND(L618&gt;L_rampe,G619&gt;0),ATAN2(G619,H619),$M$4)</f>
        <v>-1.47155215129582</v>
      </c>
      <c r="N619" s="397" t="n">
        <f aca="false">DEGREES(Beta)</f>
        <v>-84.3137276026472</v>
      </c>
      <c r="P619" s="399" t="n">
        <f aca="false">MATCH(t-pas/2-T_ini,CdP_t)</f>
        <v>23</v>
      </c>
      <c r="Q619" s="397" t="n">
        <f aca="false">(INDEX(CdP,2,i_P+1)-INDEX(CdP,2,i_P+0))/(INDEX(CdP,1,i_P+1)-INDEX(CdP,1,i_P+0))*(t-pas/2-T_ini-INDEX(CdP,1,i_P+0))+INDEX(CdP,2,i_P+0)</f>
        <v>0</v>
      </c>
      <c r="R619" s="396" t="n">
        <f aca="false">Poussee/(g*ISP)</f>
        <v>0</v>
      </c>
      <c r="S619" s="398" t="n">
        <f aca="false">S618-Débit*pas</f>
        <v>8.45</v>
      </c>
      <c r="T619" s="397" t="n">
        <f aca="false">m*g</f>
        <v>82.8945</v>
      </c>
      <c r="U619" s="400" t="n">
        <f aca="false">IF(pos_xz&lt;L_rampe,Poids*COS(Beta),0)</f>
        <v>0</v>
      </c>
      <c r="V619" s="396" t="n">
        <f aca="false">Rho_moyen*(20000-Alt_rampe-pos_z)/(20000+Alt_rampe+pos_z)</f>
        <v>1.22621578201917</v>
      </c>
      <c r="W619" s="397" t="n">
        <f aca="false">1/2*Rho*Sref*Cx*vit_xz^2</f>
        <v>62.0406218824819</v>
      </c>
      <c r="Y619" s="401" t="str">
        <f aca="false">IF(AND(pos_z&lt;=0,K618&gt;0),"Impact balistique","") &amp; IF(AND(H620&lt;0,vit_z&gt;=0),"Apogée","") &amp; IF(AND(Poussee=0,Q618&gt;0),"Fin de propulsion","") &amp; IF(AND(L620&gt;L_rampe,pos_xz&lt;=L_rampe),"Sortie de rampe","")</f>
        <v/>
      </c>
      <c r="Z619" s="402" t="str">
        <f aca="false">IF(ABS(t-T_para)&lt;pas/2,"Para","")</f>
        <v/>
      </c>
      <c r="AA619" s="403" t="str">
        <f aca="false">IF(ABS(t-T_satellite)&lt;pas/2,"Satellite","")</f>
        <v/>
      </c>
      <c r="AC619" s="399" t="e">
        <f aca="false">IF(ABS(t-ROUND(t,0))&lt;0.001,t,NA())</f>
        <v>#N/A</v>
      </c>
      <c r="AD619" s="404" t="e">
        <f aca="false">IF(ABS(t-ROUND(t,0))&lt;0.001,pos_x,NA())</f>
        <v>#N/A</v>
      </c>
      <c r="AE619" s="405" t="e">
        <f aca="false">IF(t&lt;T_para, pos_z, NA())</f>
        <v>#N/A</v>
      </c>
      <c r="AG619" s="396" t="n">
        <f aca="false">IF(AND(L618&lt;L_rampe,Poussee&lt;Poids*SIN(M618)),0,(-W618+Poussee)/m-Poids*SIN(M618)/m)</f>
        <v>2.4196811707998</v>
      </c>
      <c r="AH619" s="397" t="n">
        <f aca="false">IF(AND(L618&lt;L_rampe,Poussee&lt;Poids*SIN(M618)), g*SIN(M618), (-W618+Poussee)/m)</f>
        <v>-7.3420463163309</v>
      </c>
    </row>
    <row r="620" customFormat="false" ht="12.75" hidden="false" customHeight="false" outlineLevel="0" collapsed="false">
      <c r="A620" s="396" t="n">
        <f aca="false">IF(B619+0.01&lt;=T_ini+ROUNDUP(Temps_fin_propu,0), 0.01, IF(K619&gt;0, 0.1, 0.0001))</f>
        <v>0.0001</v>
      </c>
      <c r="B620" s="397" t="n">
        <f aca="false">B619+pas</f>
        <v>32.1115000000006</v>
      </c>
      <c r="D620" s="396" t="n">
        <f aca="false">IF(AND(L619&lt;L_rampe,Poussee&lt;Poids*SIN(M619)),0,(-W619+Poussee)/m*COS(M619)-U619/m*SIN(M619))</f>
        <v>-0.727463660406962</v>
      </c>
      <c r="E620" s="398" t="n">
        <f aca="false">IF(AND(L619&lt;L_rampe,Poussee&lt;Poids*SIN(M619)),0,(-W619+Poussee)/m*SIN(M619)+U619/m*COS(M619)-Poids/m)</f>
        <v>-2.50404249379752</v>
      </c>
      <c r="F620" s="397" t="n">
        <f aca="false">SQRT(acc_x^2+acc_z^2)</f>
        <v>2.60757208681877</v>
      </c>
      <c r="G620" s="396" t="n">
        <f aca="false">G619+acc_x*pas</f>
        <v>11.4889401553724</v>
      </c>
      <c r="H620" s="398" t="n">
        <f aca="false">H619+acc_z*pas</f>
        <v>-115.385038149325</v>
      </c>
      <c r="I620" s="397" t="n">
        <f aca="false">SQRT(vit_x^2+vit_z^2)</f>
        <v>115.955606913228</v>
      </c>
      <c r="J620" s="396" t="n">
        <f aca="false">J619+0.5*(vit_x+G619)*pas*(K619&gt;=0)</f>
        <v>690.928492655337</v>
      </c>
      <c r="K620" s="398" t="n">
        <f aca="false">K619+0.5*(vit_z+H619)*pas</f>
        <v>-9.93136707664945</v>
      </c>
      <c r="L620" s="397" t="n">
        <f aca="false">SQRT(pos_x^2+pos_z^2)</f>
        <v>690.999865423277</v>
      </c>
      <c r="M620" s="396" t="n">
        <f aca="false">IF(AND(L619&gt;L_rampe,G620&gt;0),ATAN2(G620,H620),$M$4)</f>
        <v>-1.47155298953725</v>
      </c>
      <c r="N620" s="397" t="n">
        <f aca="false">DEGREES(Beta)</f>
        <v>-84.3137756303436</v>
      </c>
      <c r="P620" s="399" t="n">
        <f aca="false">MATCH(t-pas/2-T_ini,CdP_t)</f>
        <v>23</v>
      </c>
      <c r="Q620" s="397" t="n">
        <f aca="false">(INDEX(CdP,2,i_P+1)-INDEX(CdP,2,i_P+0))/(INDEX(CdP,1,i_P+1)-INDEX(CdP,1,i_P+0))*(t-pas/2-T_ini-INDEX(CdP,1,i_P+0))+INDEX(CdP,2,i_P+0)</f>
        <v>0</v>
      </c>
      <c r="R620" s="396" t="n">
        <f aca="false">Poussee/(g*ISP)</f>
        <v>0</v>
      </c>
      <c r="S620" s="398" t="n">
        <f aca="false">S619-Débit*pas</f>
        <v>8.45</v>
      </c>
      <c r="T620" s="397" t="n">
        <f aca="false">m*g</f>
        <v>82.8945</v>
      </c>
      <c r="U620" s="400" t="n">
        <f aca="false">IF(pos_xz&lt;L_rampe,Poids*COS(Beta),0)</f>
        <v>0</v>
      </c>
      <c r="V620" s="396" t="n">
        <f aca="false">Rho_moyen*(20000-Alt_rampe-pos_z)/(20000+Alt_rampe+pos_z)</f>
        <v>1.22621719688834</v>
      </c>
      <c r="W620" s="397" t="n">
        <f aca="false">1/2*Rho*Sref*Cx*vit_xz^2</f>
        <v>62.0409523892454</v>
      </c>
      <c r="Y620" s="401" t="str">
        <f aca="false">IF(AND(pos_z&lt;=0,K619&gt;0),"Impact balistique","") &amp; IF(AND(H621&lt;0,vit_z&gt;=0),"Apogée","") &amp; IF(AND(Poussee=0,Q619&gt;0),"Fin de propulsion","") &amp; IF(AND(L621&gt;L_rampe,pos_xz&lt;=L_rampe),"Sortie de rampe","")</f>
        <v/>
      </c>
      <c r="Z620" s="402" t="str">
        <f aca="false">IF(ABS(t-T_para)&lt;pas/2,"Para","")</f>
        <v/>
      </c>
      <c r="AA620" s="403" t="str">
        <f aca="false">IF(ABS(t-T_satellite)&lt;pas/2,"Satellite","")</f>
        <v/>
      </c>
      <c r="AC620" s="399" t="e">
        <f aca="false">IF(ABS(t-ROUND(t,0))&lt;0.001,t,NA())</f>
        <v>#N/A</v>
      </c>
      <c r="AD620" s="404" t="e">
        <f aca="false">IF(ABS(t-ROUND(t,0))&lt;0.001,pos_x,NA())</f>
        <v>#N/A</v>
      </c>
      <c r="AE620" s="405" t="e">
        <f aca="false">IF(t&lt;T_para, pos_z, NA())</f>
        <v>#N/A</v>
      </c>
      <c r="AG620" s="396" t="n">
        <f aca="false">IF(AND(L619&lt;L_rampe,Poussee&lt;Poids*SIN(M619)),0,(-W619+Poussee)/m-Poids*SIN(M619)/m)</f>
        <v>2.41964287202373</v>
      </c>
      <c r="AH620" s="397" t="n">
        <f aca="false">IF(AND(L619&lt;L_rampe,Poussee&lt;Poids*SIN(M619)), g*SIN(M619), (-W619+Poussee)/m)</f>
        <v>-7.34208542987952</v>
      </c>
    </row>
    <row r="621" customFormat="false" ht="12.75" hidden="false" customHeight="false" outlineLevel="0" collapsed="false">
      <c r="A621" s="396" t="n">
        <f aca="false">IF(B620+0.01&lt;=T_ini+ROUNDUP(Temps_fin_propu,0), 0.01, IF(K620&gt;0, 0.1, 0.0001))</f>
        <v>0.0001</v>
      </c>
      <c r="B621" s="397" t="n">
        <f aca="false">B620+pas</f>
        <v>32.1116000000006</v>
      </c>
      <c r="D621" s="396" t="n">
        <f aca="false">IF(AND(L620&lt;L_rampe,Poussee&lt;Poids*SIN(M620)),0,(-W620+Poussee)/m*COS(M620)-U620/m*SIN(M620))</f>
        <v>-0.727461411608659</v>
      </c>
      <c r="E621" s="398" t="n">
        <f aca="false">IF(AND(L620&lt;L_rampe,Poussee&lt;Poids*SIN(M620)),0,(-W620+Poussee)/m*SIN(M620)+U620/m*COS(M620)-Poids/m)</f>
        <v>-2.5040029632432</v>
      </c>
      <c r="F621" s="397" t="n">
        <f aca="false">SQRT(acc_x^2+acc_z^2)</f>
        <v>2.60753349840618</v>
      </c>
      <c r="G621" s="396" t="n">
        <f aca="false">G620+acc_x*pas</f>
        <v>11.4888674092313</v>
      </c>
      <c r="H621" s="398" t="n">
        <f aca="false">H620+acc_z*pas</f>
        <v>-115.385288549622</v>
      </c>
      <c r="I621" s="397" t="n">
        <f aca="false">SQRT(vit_x^2+vit_z^2)</f>
        <v>115.955848873726</v>
      </c>
      <c r="J621" s="396" t="n">
        <f aca="false">J620+0.5*(vit_x+G620)*pas*(K620&gt;=0)</f>
        <v>690.928492655337</v>
      </c>
      <c r="K621" s="398" t="n">
        <f aca="false">K620+0.5*(vit_z+H620)*pas</f>
        <v>-9.9429055929844</v>
      </c>
      <c r="L621" s="397" t="n">
        <f aca="false">SQRT(pos_x^2+pos_z^2)</f>
        <v>691.000031356444</v>
      </c>
      <c r="M621" s="396" t="n">
        <f aca="false">IF(AND(L620&gt;L_rampe,G621&gt;0),ATAN2(G621,H621),$M$4)</f>
        <v>-1.47155382776988</v>
      </c>
      <c r="N621" s="397" t="n">
        <f aca="false">DEGREES(Beta)</f>
        <v>-84.3138236575354</v>
      </c>
      <c r="P621" s="399" t="n">
        <f aca="false">MATCH(t-pas/2-T_ini,CdP_t)</f>
        <v>23</v>
      </c>
      <c r="Q621" s="397" t="n">
        <f aca="false">(INDEX(CdP,2,i_P+1)-INDEX(CdP,2,i_P+0))/(INDEX(CdP,1,i_P+1)-INDEX(CdP,1,i_P+0))*(t-pas/2-T_ini-INDEX(CdP,1,i_P+0))+INDEX(CdP,2,i_P+0)</f>
        <v>0</v>
      </c>
      <c r="R621" s="396" t="n">
        <f aca="false">Poussee/(g*ISP)</f>
        <v>0</v>
      </c>
      <c r="S621" s="398" t="n">
        <f aca="false">S620-Débit*pas</f>
        <v>8.45</v>
      </c>
      <c r="T621" s="397" t="n">
        <f aca="false">m*g</f>
        <v>82.8945</v>
      </c>
      <c r="U621" s="400" t="n">
        <f aca="false">IF(pos_xz&lt;L_rampe,Poids*COS(Beta),0)</f>
        <v>0</v>
      </c>
      <c r="V621" s="396" t="n">
        <f aca="false">Rho_moyen*(20000-Alt_rampe-pos_z)/(20000+Alt_rampe+pos_z)</f>
        <v>1.22621861176223</v>
      </c>
      <c r="W621" s="397" t="n">
        <f aca="false">1/2*Rho*Sref*Cx*vit_xz^2</f>
        <v>62.0412828932863</v>
      </c>
      <c r="Y621" s="401" t="str">
        <f aca="false">IF(AND(pos_z&lt;=0,K620&gt;0),"Impact balistique","") &amp; IF(AND(H622&lt;0,vit_z&gt;=0),"Apogée","") &amp; IF(AND(Poussee=0,Q620&gt;0),"Fin de propulsion","") &amp; IF(AND(L622&gt;L_rampe,pos_xz&lt;=L_rampe),"Sortie de rampe","")</f>
        <v/>
      </c>
      <c r="Z621" s="402" t="str">
        <f aca="false">IF(ABS(t-T_para)&lt;pas/2,"Para","")</f>
        <v/>
      </c>
      <c r="AA621" s="403" t="str">
        <f aca="false">IF(ABS(t-T_satellite)&lt;pas/2,"Satellite","")</f>
        <v/>
      </c>
      <c r="AC621" s="399" t="e">
        <f aca="false">IF(ABS(t-ROUND(t,0))&lt;0.001,t,NA())</f>
        <v>#N/A</v>
      </c>
      <c r="AD621" s="404" t="e">
        <f aca="false">IF(ABS(t-ROUND(t,0))&lt;0.001,pos_x,NA())</f>
        <v>#N/A</v>
      </c>
      <c r="AE621" s="405" t="e">
        <f aca="false">IF(t&lt;T_para, pos_z, NA())</f>
        <v>#N/A</v>
      </c>
      <c r="AG621" s="396" t="n">
        <f aca="false">IF(AND(L620&lt;L_rampe,Poussee&lt;Poids*SIN(M620)),0,(-W620+Poussee)/m-Poids*SIN(M620)/m)</f>
        <v>2.41960457355443</v>
      </c>
      <c r="AH621" s="397" t="n">
        <f aca="false">IF(AND(L620&lt;L_rampe,Poussee&lt;Poids*SIN(M620)), g*SIN(M620), (-W620+Poussee)/m)</f>
        <v>-7.34212454310596</v>
      </c>
    </row>
    <row r="622" customFormat="false" ht="12.75" hidden="false" customHeight="false" outlineLevel="0" collapsed="false">
      <c r="A622" s="396" t="n">
        <f aca="false">IF(B621+0.01&lt;=T_ini+ROUNDUP(Temps_fin_propu,0), 0.01, IF(K621&gt;0, 0.1, 0.0001))</f>
        <v>0.0001</v>
      </c>
      <c r="B622" s="397" t="n">
        <f aca="false">B621+pas</f>
        <v>32.1117000000006</v>
      </c>
      <c r="D622" s="396" t="n">
        <f aca="false">IF(AND(L621&lt;L_rampe,Poussee&lt;Poids*SIN(M621)),0,(-W621+Poussee)/m*COS(M621)-U621/m*SIN(M621))</f>
        <v>-0.72745916277701</v>
      </c>
      <c r="E622" s="398" t="n">
        <f aca="false">IF(AND(L621&lt;L_rampe,Poussee&lt;Poids*SIN(M621)),0,(-W621+Poussee)/m*SIN(M621)+U621/m*COS(M621)-Poids/m)</f>
        <v>-2.50396343301452</v>
      </c>
      <c r="F622" s="397" t="n">
        <f aca="false">SQRT(acc_x^2+acc_z^2)</f>
        <v>2.60749491032717</v>
      </c>
      <c r="G622" s="396" t="n">
        <f aca="false">G621+acc_x*pas</f>
        <v>11.488794663315</v>
      </c>
      <c r="H622" s="398" t="n">
        <f aca="false">H621+acc_z*pas</f>
        <v>-115.385538945965</v>
      </c>
      <c r="I622" s="397" t="n">
        <f aca="false">SQRT(vit_x^2+vit_z^2)</f>
        <v>115.956090830394</v>
      </c>
      <c r="J622" s="396" t="n">
        <f aca="false">J621+0.5*(vit_x+G621)*pas*(K621&gt;=0)</f>
        <v>690.928492655337</v>
      </c>
      <c r="K622" s="398" t="n">
        <f aca="false">K621+0.5*(vit_z+H621)*pas</f>
        <v>-9.95444413435918</v>
      </c>
      <c r="L622" s="397" t="n">
        <f aca="false">SQRT(pos_x^2+pos_z^2)</f>
        <v>691.000197482606</v>
      </c>
      <c r="M622" s="396" t="n">
        <f aca="false">IF(AND(L621&gt;L_rampe,G622&gt;0),ATAN2(G622,H622),$M$4)</f>
        <v>-1.4715546659937</v>
      </c>
      <c r="N622" s="397" t="n">
        <f aca="false">DEGREES(Beta)</f>
        <v>-84.3138716842228</v>
      </c>
      <c r="P622" s="399" t="n">
        <f aca="false">MATCH(t-pas/2-T_ini,CdP_t)</f>
        <v>23</v>
      </c>
      <c r="Q622" s="397" t="n">
        <f aca="false">(INDEX(CdP,2,i_P+1)-INDEX(CdP,2,i_P+0))/(INDEX(CdP,1,i_P+1)-INDEX(CdP,1,i_P+0))*(t-pas/2-T_ini-INDEX(CdP,1,i_P+0))+INDEX(CdP,2,i_P+0)</f>
        <v>0</v>
      </c>
      <c r="R622" s="396" t="n">
        <f aca="false">Poussee/(g*ISP)</f>
        <v>0</v>
      </c>
      <c r="S622" s="398" t="n">
        <f aca="false">S621-Débit*pas</f>
        <v>8.45</v>
      </c>
      <c r="T622" s="397" t="n">
        <f aca="false">m*g</f>
        <v>82.8945</v>
      </c>
      <c r="U622" s="400" t="n">
        <f aca="false">IF(pos_xz&lt;L_rampe,Poids*COS(Beta),0)</f>
        <v>0</v>
      </c>
      <c r="V622" s="396" t="n">
        <f aca="false">Rho_moyen*(20000-Alt_rampe-pos_z)/(20000+Alt_rampe+pos_z)</f>
        <v>1.22622002664081</v>
      </c>
      <c r="W622" s="397" t="n">
        <f aca="false">1/2*Rho*Sref*Cx*vit_xz^2</f>
        <v>62.0416133946048</v>
      </c>
      <c r="Y622" s="401" t="str">
        <f aca="false">IF(AND(pos_z&lt;=0,K621&gt;0),"Impact balistique","") &amp; IF(AND(H623&lt;0,vit_z&gt;=0),"Apogée","") &amp; IF(AND(Poussee=0,Q621&gt;0),"Fin de propulsion","") &amp; IF(AND(L623&gt;L_rampe,pos_xz&lt;=L_rampe),"Sortie de rampe","")</f>
        <v/>
      </c>
      <c r="Z622" s="402" t="str">
        <f aca="false">IF(ABS(t-T_para)&lt;pas/2,"Para","")</f>
        <v/>
      </c>
      <c r="AA622" s="403" t="str">
        <f aca="false">IF(ABS(t-T_satellite)&lt;pas/2,"Satellite","")</f>
        <v/>
      </c>
      <c r="AC622" s="399" t="e">
        <f aca="false">IF(ABS(t-ROUND(t,0))&lt;0.001,t,NA())</f>
        <v>#N/A</v>
      </c>
      <c r="AD622" s="404" t="e">
        <f aca="false">IF(ABS(t-ROUND(t,0))&lt;0.001,pos_x,NA())</f>
        <v>#N/A</v>
      </c>
      <c r="AE622" s="405" t="e">
        <f aca="false">IF(t&lt;T_para, pos_z, NA())</f>
        <v>#N/A</v>
      </c>
      <c r="AG622" s="396" t="n">
        <f aca="false">IF(AND(L621&lt;L_rampe,Poussee&lt;Poids*SIN(M621)),0,(-W621+Poussee)/m-Poids*SIN(M621)/m)</f>
        <v>2.41956627539189</v>
      </c>
      <c r="AH622" s="397" t="n">
        <f aca="false">IF(AND(L621&lt;L_rampe,Poussee&lt;Poids*SIN(M621)), g*SIN(M621), (-W621+Poussee)/m)</f>
        <v>-7.34216365601021</v>
      </c>
    </row>
    <row r="623" customFormat="false" ht="12.75" hidden="false" customHeight="false" outlineLevel="0" collapsed="false">
      <c r="A623" s="396" t="n">
        <f aca="false">IF(B622+0.01&lt;=T_ini+ROUNDUP(Temps_fin_propu,0), 0.01, IF(K622&gt;0, 0.1, 0.0001))</f>
        <v>0.0001</v>
      </c>
      <c r="B623" s="397" t="n">
        <f aca="false">B622+pas</f>
        <v>32.1118000000006</v>
      </c>
      <c r="D623" s="396" t="n">
        <f aca="false">IF(AND(L622&lt;L_rampe,Poussee&lt;Poids*SIN(M622)),0,(-W622+Poussee)/m*COS(M622)-U622/m*SIN(M622))</f>
        <v>-0.727456913912013</v>
      </c>
      <c r="E623" s="398" t="n">
        <f aca="false">IF(AND(L622&lt;L_rampe,Poussee&lt;Poids*SIN(M622)),0,(-W622+Poussee)/m*SIN(M622)+U622/m*COS(M622)-Poids/m)</f>
        <v>-2.50392390311148</v>
      </c>
      <c r="F623" s="397" t="n">
        <f aca="false">SQRT(acc_x^2+acc_z^2)</f>
        <v>2.60745632258172</v>
      </c>
      <c r="G623" s="396" t="n">
        <f aca="false">G622+acc_x*pas</f>
        <v>11.4887219176236</v>
      </c>
      <c r="H623" s="398" t="n">
        <f aca="false">H622+acc_z*pas</f>
        <v>-115.385789338355</v>
      </c>
      <c r="I623" s="397" t="n">
        <f aca="false">SQRT(vit_x^2+vit_z^2)</f>
        <v>115.956332783233</v>
      </c>
      <c r="J623" s="396" t="n">
        <f aca="false">J622+0.5*(vit_x+G622)*pas*(K622&gt;=0)</f>
        <v>690.928492655337</v>
      </c>
      <c r="K623" s="398" t="n">
        <f aca="false">K622+0.5*(vit_z+H622)*pas</f>
        <v>-9.96598270077339</v>
      </c>
      <c r="L623" s="397" t="n">
        <f aca="false">SQRT(pos_x^2+pos_z^2)</f>
        <v>691.000363801762</v>
      </c>
      <c r="M623" s="396" t="n">
        <f aca="false">IF(AND(L622&gt;L_rampe,G623&gt;0),ATAN2(G623,H623),$M$4)</f>
        <v>-1.47155550420872</v>
      </c>
      <c r="N623" s="397" t="n">
        <f aca="false">DEGREES(Beta)</f>
        <v>-84.3139197104055</v>
      </c>
      <c r="P623" s="399" t="n">
        <f aca="false">MATCH(t-pas/2-T_ini,CdP_t)</f>
        <v>23</v>
      </c>
      <c r="Q623" s="397" t="n">
        <f aca="false">(INDEX(CdP,2,i_P+1)-INDEX(CdP,2,i_P+0))/(INDEX(CdP,1,i_P+1)-INDEX(CdP,1,i_P+0))*(t-pas/2-T_ini-INDEX(CdP,1,i_P+0))+INDEX(CdP,2,i_P+0)</f>
        <v>0</v>
      </c>
      <c r="R623" s="396" t="n">
        <f aca="false">Poussee/(g*ISP)</f>
        <v>0</v>
      </c>
      <c r="S623" s="398" t="n">
        <f aca="false">S622-Débit*pas</f>
        <v>8.45</v>
      </c>
      <c r="T623" s="397" t="n">
        <f aca="false">m*g</f>
        <v>82.8945</v>
      </c>
      <c r="U623" s="400" t="n">
        <f aca="false">IF(pos_xz&lt;L_rampe,Poids*COS(Beta),0)</f>
        <v>0</v>
      </c>
      <c r="V623" s="396" t="n">
        <f aca="false">Rho_moyen*(20000-Alt_rampe-pos_z)/(20000+Alt_rampe+pos_z)</f>
        <v>1.2262214415241</v>
      </c>
      <c r="W623" s="397" t="n">
        <f aca="false">1/2*Rho*Sref*Cx*vit_xz^2</f>
        <v>62.0419438932008</v>
      </c>
      <c r="Y623" s="401" t="str">
        <f aca="false">IF(AND(pos_z&lt;=0,K622&gt;0),"Impact balistique","") &amp; IF(AND(H624&lt;0,vit_z&gt;=0),"Apogée","") &amp; IF(AND(Poussee=0,Q622&gt;0),"Fin de propulsion","") &amp; IF(AND(L624&gt;L_rampe,pos_xz&lt;=L_rampe),"Sortie de rampe","")</f>
        <v/>
      </c>
      <c r="Z623" s="402" t="str">
        <f aca="false">IF(ABS(t-T_para)&lt;pas/2,"Para","")</f>
        <v/>
      </c>
      <c r="AA623" s="403" t="str">
        <f aca="false">IF(ABS(t-T_satellite)&lt;pas/2,"Satellite","")</f>
        <v/>
      </c>
      <c r="AC623" s="399" t="e">
        <f aca="false">IF(ABS(t-ROUND(t,0))&lt;0.001,t,NA())</f>
        <v>#N/A</v>
      </c>
      <c r="AD623" s="404" t="e">
        <f aca="false">IF(ABS(t-ROUND(t,0))&lt;0.001,pos_x,NA())</f>
        <v>#N/A</v>
      </c>
      <c r="AE623" s="405" t="e">
        <f aca="false">IF(t&lt;T_para, pos_z, NA())</f>
        <v>#N/A</v>
      </c>
      <c r="AG623" s="396" t="n">
        <f aca="false">IF(AND(L622&lt;L_rampe,Poussee&lt;Poids*SIN(M622)),0,(-W622+Poussee)/m-Poids*SIN(M622)/m)</f>
        <v>2.41952797753612</v>
      </c>
      <c r="AH623" s="397" t="n">
        <f aca="false">IF(AND(L622&lt;L_rampe,Poussee&lt;Poids*SIN(M622)), g*SIN(M622), (-W622+Poussee)/m)</f>
        <v>-7.34220276859228</v>
      </c>
    </row>
    <row r="624" customFormat="false" ht="12.75" hidden="false" customHeight="false" outlineLevel="0" collapsed="false">
      <c r="A624" s="396" t="n">
        <f aca="false">IF(B623+0.01&lt;=T_ini+ROUNDUP(Temps_fin_propu,0), 0.01, IF(K623&gt;0, 0.1, 0.0001))</f>
        <v>0.0001</v>
      </c>
      <c r="B624" s="397" t="n">
        <f aca="false">B623+pas</f>
        <v>32.1119000000006</v>
      </c>
      <c r="D624" s="396" t="n">
        <f aca="false">IF(AND(L623&lt;L_rampe,Poussee&lt;Poids*SIN(M623)),0,(-W623+Poussee)/m*COS(M623)-U623/m*SIN(M623))</f>
        <v>-0.72745466501367</v>
      </c>
      <c r="E624" s="398" t="n">
        <f aca="false">IF(AND(L623&lt;L_rampe,Poussee&lt;Poids*SIN(M623)),0,(-W623+Poussee)/m*SIN(M623)+U623/m*COS(M623)-Poids/m)</f>
        <v>-2.50388437353408</v>
      </c>
      <c r="F624" s="397" t="n">
        <f aca="false">SQRT(acc_x^2+acc_z^2)</f>
        <v>2.60741773516986</v>
      </c>
      <c r="G624" s="396" t="n">
        <f aca="false">G623+acc_x*pas</f>
        <v>11.4886491721571</v>
      </c>
      <c r="H624" s="398" t="n">
        <f aca="false">H623+acc_z*pas</f>
        <v>-115.386039726793</v>
      </c>
      <c r="I624" s="397" t="n">
        <f aca="false">SQRT(vit_x^2+vit_z^2)</f>
        <v>115.956574732241</v>
      </c>
      <c r="J624" s="396" t="n">
        <f aca="false">J623+0.5*(vit_x+G623)*pas*(K623&gt;=0)</f>
        <v>690.928492655337</v>
      </c>
      <c r="K624" s="398" t="n">
        <f aca="false">K623+0.5*(vit_z+H623)*pas</f>
        <v>-9.97752129222665</v>
      </c>
      <c r="L624" s="397" t="n">
        <f aca="false">SQRT(pos_x^2+pos_z^2)</f>
        <v>691.000530313916</v>
      </c>
      <c r="M624" s="396" t="n">
        <f aca="false">IF(AND(L623&gt;L_rampe,G624&gt;0),ATAN2(G624,H624),$M$4)</f>
        <v>-1.47155634241493</v>
      </c>
      <c r="N624" s="397" t="n">
        <f aca="false">DEGREES(Beta)</f>
        <v>-84.3139677360838</v>
      </c>
      <c r="P624" s="399" t="n">
        <f aca="false">MATCH(t-pas/2-T_ini,CdP_t)</f>
        <v>23</v>
      </c>
      <c r="Q624" s="397" t="n">
        <f aca="false">(INDEX(CdP,2,i_P+1)-INDEX(CdP,2,i_P+0))/(INDEX(CdP,1,i_P+1)-INDEX(CdP,1,i_P+0))*(t-pas/2-T_ini-INDEX(CdP,1,i_P+0))+INDEX(CdP,2,i_P+0)</f>
        <v>0</v>
      </c>
      <c r="R624" s="396" t="n">
        <f aca="false">Poussee/(g*ISP)</f>
        <v>0</v>
      </c>
      <c r="S624" s="398" t="n">
        <f aca="false">S623-Débit*pas</f>
        <v>8.45</v>
      </c>
      <c r="T624" s="397" t="n">
        <f aca="false">m*g</f>
        <v>82.8945</v>
      </c>
      <c r="U624" s="400" t="n">
        <f aca="false">IF(pos_xz&lt;L_rampe,Poids*COS(Beta),0)</f>
        <v>0</v>
      </c>
      <c r="V624" s="396" t="n">
        <f aca="false">Rho_moyen*(20000-Alt_rampe-pos_z)/(20000+Alt_rampe+pos_z)</f>
        <v>1.22622285641209</v>
      </c>
      <c r="W624" s="397" t="n">
        <f aca="false">1/2*Rho*Sref*Cx*vit_xz^2</f>
        <v>62.0422743890744</v>
      </c>
      <c r="Y624" s="401" t="str">
        <f aca="false">IF(AND(pos_z&lt;=0,K623&gt;0),"Impact balistique","") &amp; IF(AND(H625&lt;0,vit_z&gt;=0),"Apogée","") &amp; IF(AND(Poussee=0,Q623&gt;0),"Fin de propulsion","") &amp; IF(AND(L625&gt;L_rampe,pos_xz&lt;=L_rampe),"Sortie de rampe","")</f>
        <v/>
      </c>
      <c r="Z624" s="402" t="str">
        <f aca="false">IF(ABS(t-T_para)&lt;pas/2,"Para","")</f>
        <v/>
      </c>
      <c r="AA624" s="403" t="str">
        <f aca="false">IF(ABS(t-T_satellite)&lt;pas/2,"Satellite","")</f>
        <v/>
      </c>
      <c r="AC624" s="399" t="e">
        <f aca="false">IF(ABS(t-ROUND(t,0))&lt;0.001,t,NA())</f>
        <v>#N/A</v>
      </c>
      <c r="AD624" s="404" t="e">
        <f aca="false">IF(ABS(t-ROUND(t,0))&lt;0.001,pos_x,NA())</f>
        <v>#N/A</v>
      </c>
      <c r="AE624" s="405" t="e">
        <f aca="false">IF(t&lt;T_para, pos_z, NA())</f>
        <v>#N/A</v>
      </c>
      <c r="AG624" s="396" t="n">
        <f aca="false">IF(AND(L623&lt;L_rampe,Poussee&lt;Poids*SIN(M623)),0,(-W623+Poussee)/m-Poids*SIN(M623)/m)</f>
        <v>2.41948967998712</v>
      </c>
      <c r="AH624" s="397" t="n">
        <f aca="false">IF(AND(L623&lt;L_rampe,Poussee&lt;Poids*SIN(M623)), g*SIN(M623), (-W623+Poussee)/m)</f>
        <v>-7.34224188085217</v>
      </c>
    </row>
    <row r="625" customFormat="false" ht="12.75" hidden="false" customHeight="false" outlineLevel="0" collapsed="false">
      <c r="A625" s="396" t="n">
        <f aca="false">IF(B624+0.01&lt;=T_ini+ROUNDUP(Temps_fin_propu,0), 0.01, IF(K624&gt;0, 0.1, 0.0001))</f>
        <v>0.0001</v>
      </c>
      <c r="B625" s="397" t="n">
        <f aca="false">B624+pas</f>
        <v>32.1120000000006</v>
      </c>
      <c r="D625" s="396" t="n">
        <f aca="false">IF(AND(L624&lt;L_rampe,Poussee&lt;Poids*SIN(M624)),0,(-W624+Poussee)/m*COS(M624)-U624/m*SIN(M624))</f>
        <v>-0.727452416081984</v>
      </c>
      <c r="E625" s="398" t="n">
        <f aca="false">IF(AND(L624&lt;L_rampe,Poussee&lt;Poids*SIN(M624)),0,(-W624+Poussee)/m*SIN(M624)+U624/m*COS(M624)-Poids/m)</f>
        <v>-2.50384484428234</v>
      </c>
      <c r="F625" s="397" t="n">
        <f aca="false">SQRT(acc_x^2+acc_z^2)</f>
        <v>2.60737914809158</v>
      </c>
      <c r="G625" s="396" t="n">
        <f aca="false">G624+acc_x*pas</f>
        <v>11.4885764269155</v>
      </c>
      <c r="H625" s="398" t="n">
        <f aca="false">H624+acc_z*pas</f>
        <v>-115.386290111277</v>
      </c>
      <c r="I625" s="397" t="n">
        <f aca="false">SQRT(vit_x^2+vit_z^2)</f>
        <v>115.95681667742</v>
      </c>
      <c r="J625" s="396" t="n">
        <f aca="false">J624+0.5*(vit_x+G624)*pas*(K624&gt;=0)</f>
        <v>690.928492655337</v>
      </c>
      <c r="K625" s="398" t="n">
        <f aca="false">K624+0.5*(vit_z+H624)*pas</f>
        <v>-9.98905990871855</v>
      </c>
      <c r="L625" s="397" t="n">
        <f aca="false">SQRT(pos_x^2+pos_z^2)</f>
        <v>691.000697019067</v>
      </c>
      <c r="M625" s="396" t="n">
        <f aca="false">IF(AND(L624&gt;L_rampe,G625&gt;0),ATAN2(G625,H625),$M$4)</f>
        <v>-1.47155718061234</v>
      </c>
      <c r="N625" s="397" t="n">
        <f aca="false">DEGREES(Beta)</f>
        <v>-84.3140157612576</v>
      </c>
      <c r="P625" s="399" t="n">
        <f aca="false">MATCH(t-pas/2-T_ini,CdP_t)</f>
        <v>23</v>
      </c>
      <c r="Q625" s="397" t="n">
        <f aca="false">(INDEX(CdP,2,i_P+1)-INDEX(CdP,2,i_P+0))/(INDEX(CdP,1,i_P+1)-INDEX(CdP,1,i_P+0))*(t-pas/2-T_ini-INDEX(CdP,1,i_P+0))+INDEX(CdP,2,i_P+0)</f>
        <v>0</v>
      </c>
      <c r="R625" s="396" t="n">
        <f aca="false">Poussee/(g*ISP)</f>
        <v>0</v>
      </c>
      <c r="S625" s="398" t="n">
        <f aca="false">S624-Débit*pas</f>
        <v>8.45</v>
      </c>
      <c r="T625" s="397" t="n">
        <f aca="false">m*g</f>
        <v>82.8945</v>
      </c>
      <c r="U625" s="400" t="n">
        <f aca="false">IF(pos_xz&lt;L_rampe,Poids*COS(Beta),0)</f>
        <v>0</v>
      </c>
      <c r="V625" s="396" t="n">
        <f aca="false">Rho_moyen*(20000-Alt_rampe-pos_z)/(20000+Alt_rampe+pos_z)</f>
        <v>1.22622427130479</v>
      </c>
      <c r="W625" s="397" t="n">
        <f aca="false">1/2*Rho*Sref*Cx*vit_xz^2</f>
        <v>62.0426048822254</v>
      </c>
      <c r="Y625" s="401" t="str">
        <f aca="false">IF(AND(pos_z&lt;=0,K624&gt;0),"Impact balistique","") &amp; IF(AND(H626&lt;0,vit_z&gt;=0),"Apogée","") &amp; IF(AND(Poussee=0,Q624&gt;0),"Fin de propulsion","") &amp; IF(AND(L626&gt;L_rampe,pos_xz&lt;=L_rampe),"Sortie de rampe","")</f>
        <v/>
      </c>
      <c r="Z625" s="402" t="str">
        <f aca="false">IF(ABS(t-T_para)&lt;pas/2,"Para","")</f>
        <v/>
      </c>
      <c r="AA625" s="403" t="str">
        <f aca="false">IF(ABS(t-T_satellite)&lt;pas/2,"Satellite","")</f>
        <v/>
      </c>
      <c r="AC625" s="399" t="e">
        <f aca="false">IF(ABS(t-ROUND(t,0))&lt;0.001,t,NA())</f>
        <v>#N/A</v>
      </c>
      <c r="AD625" s="404" t="e">
        <f aca="false">IF(ABS(t-ROUND(t,0))&lt;0.001,pos_x,NA())</f>
        <v>#N/A</v>
      </c>
      <c r="AE625" s="405" t="e">
        <f aca="false">IF(t&lt;T_para, pos_z, NA())</f>
        <v>#N/A</v>
      </c>
      <c r="AG625" s="396" t="n">
        <f aca="false">IF(AND(L624&lt;L_rampe,Poussee&lt;Poids*SIN(M624)),0,(-W624+Poussee)/m-Poids*SIN(M624)/m)</f>
        <v>2.41945138274489</v>
      </c>
      <c r="AH625" s="397" t="n">
        <f aca="false">IF(AND(L624&lt;L_rampe,Poussee&lt;Poids*SIN(M624)), g*SIN(M624), (-W624+Poussee)/m)</f>
        <v>-7.34228099278986</v>
      </c>
    </row>
    <row r="626" customFormat="false" ht="12.75" hidden="false" customHeight="false" outlineLevel="0" collapsed="false">
      <c r="A626" s="396" t="n">
        <f aca="false">IF(B625+0.01&lt;=T_ini+ROUNDUP(Temps_fin_propu,0), 0.01, IF(K625&gt;0, 0.1, 0.0001))</f>
        <v>0.0001</v>
      </c>
      <c r="B626" s="397" t="n">
        <f aca="false">B625+pas</f>
        <v>32.1121000000006</v>
      </c>
      <c r="D626" s="396" t="n">
        <f aca="false">IF(AND(L625&lt;L_rampe,Poussee&lt;Poids*SIN(M625)),0,(-W625+Poussee)/m*COS(M625)-U625/m*SIN(M625))</f>
        <v>-0.727450167116953</v>
      </c>
      <c r="E626" s="398" t="n">
        <f aca="false">IF(AND(L625&lt;L_rampe,Poussee&lt;Poids*SIN(M625)),0,(-W625+Poussee)/m*SIN(M625)+U625/m*COS(M625)-Poids/m)</f>
        <v>-2.50380531535623</v>
      </c>
      <c r="F626" s="397" t="n">
        <f aca="false">SQRT(acc_x^2+acc_z^2)</f>
        <v>2.60734056134686</v>
      </c>
      <c r="G626" s="396" t="n">
        <f aca="false">G625+acc_x*pas</f>
        <v>11.4885036818988</v>
      </c>
      <c r="H626" s="398" t="n">
        <f aca="false">H625+acc_z*pas</f>
        <v>-115.386540491809</v>
      </c>
      <c r="I626" s="397" t="n">
        <f aca="false">SQRT(vit_x^2+vit_z^2)</f>
        <v>115.95705861877</v>
      </c>
      <c r="J626" s="396" t="n">
        <f aca="false">J625+0.5*(vit_x+G625)*pas*(K625&gt;=0)</f>
        <v>690.928492655337</v>
      </c>
      <c r="K626" s="398" t="n">
        <f aca="false">K625+0.5*(vit_z+H625)*pas</f>
        <v>-10.0005985502487</v>
      </c>
      <c r="L626" s="397" t="n">
        <f aca="false">SQRT(pos_x^2+pos_z^2)</f>
        <v>691.000863917216</v>
      </c>
      <c r="M626" s="396" t="n">
        <f aca="false">IF(AND(L625&gt;L_rampe,G626&gt;0),ATAN2(G626,H626),$M$4)</f>
        <v>-1.47155801880094</v>
      </c>
      <c r="N626" s="397" t="n">
        <f aca="false">DEGREES(Beta)</f>
        <v>-84.3140637859269</v>
      </c>
      <c r="P626" s="399" t="n">
        <f aca="false">MATCH(t-pas/2-T_ini,CdP_t)</f>
        <v>23</v>
      </c>
      <c r="Q626" s="397" t="n">
        <f aca="false">(INDEX(CdP,2,i_P+1)-INDEX(CdP,2,i_P+0))/(INDEX(CdP,1,i_P+1)-INDEX(CdP,1,i_P+0))*(t-pas/2-T_ini-INDEX(CdP,1,i_P+0))+INDEX(CdP,2,i_P+0)</f>
        <v>0</v>
      </c>
      <c r="R626" s="396" t="n">
        <f aca="false">Poussee/(g*ISP)</f>
        <v>0</v>
      </c>
      <c r="S626" s="398" t="n">
        <f aca="false">S625-Débit*pas</f>
        <v>8.45</v>
      </c>
      <c r="T626" s="397" t="n">
        <f aca="false">m*g</f>
        <v>82.8945</v>
      </c>
      <c r="U626" s="400" t="n">
        <f aca="false">IF(pos_xz&lt;L_rampe,Poids*COS(Beta),0)</f>
        <v>0</v>
      </c>
      <c r="V626" s="396" t="n">
        <f aca="false">Rho_moyen*(20000-Alt_rampe-pos_z)/(20000+Alt_rampe+pos_z)</f>
        <v>1.22622568620219</v>
      </c>
      <c r="W626" s="397" t="n">
        <f aca="false">1/2*Rho*Sref*Cx*vit_xz^2</f>
        <v>62.042935372654</v>
      </c>
      <c r="Y626" s="401" t="str">
        <f aca="false">IF(AND(pos_z&lt;=0,K625&gt;0),"Impact balistique","") &amp; IF(AND(H627&lt;0,vit_z&gt;=0),"Apogée","") &amp; IF(AND(Poussee=0,Q625&gt;0),"Fin de propulsion","") &amp; IF(AND(L627&gt;L_rampe,pos_xz&lt;=L_rampe),"Sortie de rampe","")</f>
        <v/>
      </c>
      <c r="Z626" s="402" t="str">
        <f aca="false">IF(ABS(t-T_para)&lt;pas/2,"Para","")</f>
        <v/>
      </c>
      <c r="AA626" s="403" t="str">
        <f aca="false">IF(ABS(t-T_satellite)&lt;pas/2,"Satellite","")</f>
        <v/>
      </c>
      <c r="AC626" s="399" t="e">
        <f aca="false">IF(ABS(t-ROUND(t,0))&lt;0.001,t,NA())</f>
        <v>#N/A</v>
      </c>
      <c r="AD626" s="404" t="e">
        <f aca="false">IF(ABS(t-ROUND(t,0))&lt;0.001,pos_x,NA())</f>
        <v>#N/A</v>
      </c>
      <c r="AE626" s="405" t="e">
        <f aca="false">IF(t&lt;T_para, pos_z, NA())</f>
        <v>#N/A</v>
      </c>
      <c r="AG626" s="396" t="n">
        <f aca="false">IF(AND(L625&lt;L_rampe,Poussee&lt;Poids*SIN(M625)),0,(-W625+Poussee)/m-Poids*SIN(M625)/m)</f>
        <v>2.41941308580943</v>
      </c>
      <c r="AH626" s="397" t="n">
        <f aca="false">IF(AND(L625&lt;L_rampe,Poussee&lt;Poids*SIN(M625)), g*SIN(M625), (-W625+Poussee)/m)</f>
        <v>-7.34232010440538</v>
      </c>
    </row>
    <row r="627" customFormat="false" ht="12.75" hidden="false" customHeight="false" outlineLevel="0" collapsed="false">
      <c r="A627" s="396" t="n">
        <f aca="false">IF(B626+0.01&lt;=T_ini+ROUNDUP(Temps_fin_propu,0), 0.01, IF(K626&gt;0, 0.1, 0.0001))</f>
        <v>0.0001</v>
      </c>
      <c r="B627" s="397" t="n">
        <f aca="false">B626+pas</f>
        <v>32.1122000000006</v>
      </c>
      <c r="D627" s="396" t="n">
        <f aca="false">IF(AND(L626&lt;L_rampe,Poussee&lt;Poids*SIN(M626)),0,(-W626+Poussee)/m*COS(M626)-U626/m*SIN(M626))</f>
        <v>-0.727447918118579</v>
      </c>
      <c r="E627" s="398" t="n">
        <f aca="false">IF(AND(L626&lt;L_rampe,Poussee&lt;Poids*SIN(M626)),0,(-W626+Poussee)/m*SIN(M626)+U626/m*COS(M626)-Poids/m)</f>
        <v>-2.50376578675577</v>
      </c>
      <c r="F627" s="397" t="n">
        <f aca="false">SQRT(acc_x^2+acc_z^2)</f>
        <v>2.60730197493574</v>
      </c>
      <c r="G627" s="396" t="n">
        <f aca="false">G626+acc_x*pas</f>
        <v>11.488430937107</v>
      </c>
      <c r="H627" s="398" t="n">
        <f aca="false">H626+acc_z*pas</f>
        <v>-115.386790868387</v>
      </c>
      <c r="I627" s="397" t="n">
        <f aca="false">SQRT(vit_x^2+vit_z^2)</f>
        <v>115.957300556289</v>
      </c>
      <c r="J627" s="396" t="n">
        <f aca="false">J626+0.5*(vit_x+G626)*pas*(K626&gt;=0)</f>
        <v>690.928492655337</v>
      </c>
      <c r="K627" s="398" t="n">
        <f aca="false">K626+0.5*(vit_z+H626)*pas</f>
        <v>-10.0121372168167</v>
      </c>
      <c r="L627" s="397" t="n">
        <f aca="false">SQRT(pos_x^2+pos_z^2)</f>
        <v>691.001031008366</v>
      </c>
      <c r="M627" s="396" t="n">
        <f aca="false">IF(AND(L626&gt;L_rampe,G627&gt;0),ATAN2(G627,H627),$M$4)</f>
        <v>-1.47155885698074</v>
      </c>
      <c r="N627" s="397" t="n">
        <f aca="false">DEGREES(Beta)</f>
        <v>-84.3141118100917</v>
      </c>
      <c r="P627" s="399" t="n">
        <f aca="false">MATCH(t-pas/2-T_ini,CdP_t)</f>
        <v>23</v>
      </c>
      <c r="Q627" s="397" t="n">
        <f aca="false">(INDEX(CdP,2,i_P+1)-INDEX(CdP,2,i_P+0))/(INDEX(CdP,1,i_P+1)-INDEX(CdP,1,i_P+0))*(t-pas/2-T_ini-INDEX(CdP,1,i_P+0))+INDEX(CdP,2,i_P+0)</f>
        <v>0</v>
      </c>
      <c r="R627" s="396" t="n">
        <f aca="false">Poussee/(g*ISP)</f>
        <v>0</v>
      </c>
      <c r="S627" s="398" t="n">
        <f aca="false">S626-Débit*pas</f>
        <v>8.45</v>
      </c>
      <c r="T627" s="397" t="n">
        <f aca="false">m*g</f>
        <v>82.8945</v>
      </c>
      <c r="U627" s="400" t="n">
        <f aca="false">IF(pos_xz&lt;L_rampe,Poids*COS(Beta),0)</f>
        <v>0</v>
      </c>
      <c r="V627" s="396" t="n">
        <f aca="false">Rho_moyen*(20000-Alt_rampe-pos_z)/(20000+Alt_rampe+pos_z)</f>
        <v>1.22622710110429</v>
      </c>
      <c r="W627" s="397" t="n">
        <f aca="false">1/2*Rho*Sref*Cx*vit_xz^2</f>
        <v>62.0432658603601</v>
      </c>
      <c r="Y627" s="401" t="str">
        <f aca="false">IF(AND(pos_z&lt;=0,K626&gt;0),"Impact balistique","") &amp; IF(AND(H628&lt;0,vit_z&gt;=0),"Apogée","") &amp; IF(AND(Poussee=0,Q626&gt;0),"Fin de propulsion","") &amp; IF(AND(L628&gt;L_rampe,pos_xz&lt;=L_rampe),"Sortie de rampe","")</f>
        <v/>
      </c>
      <c r="Z627" s="402" t="str">
        <f aca="false">IF(ABS(t-T_para)&lt;pas/2,"Para","")</f>
        <v/>
      </c>
      <c r="AA627" s="403" t="str">
        <f aca="false">IF(ABS(t-T_satellite)&lt;pas/2,"Satellite","")</f>
        <v/>
      </c>
      <c r="AC627" s="399" t="e">
        <f aca="false">IF(ABS(t-ROUND(t,0))&lt;0.001,t,NA())</f>
        <v>#N/A</v>
      </c>
      <c r="AD627" s="404" t="e">
        <f aca="false">IF(ABS(t-ROUND(t,0))&lt;0.001,pos_x,NA())</f>
        <v>#N/A</v>
      </c>
      <c r="AE627" s="405" t="e">
        <f aca="false">IF(t&lt;T_para, pos_z, NA())</f>
        <v>#N/A</v>
      </c>
      <c r="AG627" s="396" t="n">
        <f aca="false">IF(AND(L626&lt;L_rampe,Poussee&lt;Poids*SIN(M626)),0,(-W626+Poussee)/m-Poids*SIN(M626)/m)</f>
        <v>2.41937478918074</v>
      </c>
      <c r="AH627" s="397" t="n">
        <f aca="false">IF(AND(L626&lt;L_rampe,Poussee&lt;Poids*SIN(M626)), g*SIN(M626), (-W626+Poussee)/m)</f>
        <v>-7.3423592156987</v>
      </c>
    </row>
    <row r="628" customFormat="false" ht="12.75" hidden="false" customHeight="false" outlineLevel="0" collapsed="false">
      <c r="A628" s="396" t="n">
        <f aca="false">IF(B627+0.01&lt;=T_ini+ROUNDUP(Temps_fin_propu,0), 0.01, IF(K627&gt;0, 0.1, 0.0001))</f>
        <v>0.0001</v>
      </c>
      <c r="B628" s="397" t="n">
        <f aca="false">B627+pas</f>
        <v>32.1123000000006</v>
      </c>
      <c r="D628" s="396" t="n">
        <f aca="false">IF(AND(L627&lt;L_rampe,Poussee&lt;Poids*SIN(M627)),0,(-W627+Poussee)/m*COS(M627)-U627/m*SIN(M627))</f>
        <v>-0.727445669086862</v>
      </c>
      <c r="E628" s="398" t="n">
        <f aca="false">IF(AND(L627&lt;L_rampe,Poussee&lt;Poids*SIN(M627)),0,(-W627+Poussee)/m*SIN(M627)+U627/m*COS(M627)-Poids/m)</f>
        <v>-2.50372625848095</v>
      </c>
      <c r="F628" s="397" t="n">
        <f aca="false">SQRT(acc_x^2+acc_z^2)</f>
        <v>2.60726338885818</v>
      </c>
      <c r="G628" s="396" t="n">
        <f aca="false">G627+acc_x*pas</f>
        <v>11.4883581925401</v>
      </c>
      <c r="H628" s="398" t="n">
        <f aca="false">H627+acc_z*pas</f>
        <v>-115.387041241013</v>
      </c>
      <c r="I628" s="397" t="n">
        <f aca="false">SQRT(vit_x^2+vit_z^2)</f>
        <v>115.957542489979</v>
      </c>
      <c r="J628" s="396" t="n">
        <f aca="false">J627+0.5*(vit_x+G627)*pas*(K627&gt;=0)</f>
        <v>690.928492655337</v>
      </c>
      <c r="K628" s="398" t="n">
        <f aca="false">K627+0.5*(vit_z+H627)*pas</f>
        <v>-10.0236759084222</v>
      </c>
      <c r="L628" s="397" t="n">
        <f aca="false">SQRT(pos_x^2+pos_z^2)</f>
        <v>691.001198292516</v>
      </c>
      <c r="M628" s="396" t="n">
        <f aca="false">IF(AND(L627&gt;L_rampe,G628&gt;0),ATAN2(G628,H628),$M$4)</f>
        <v>-1.47155969515173</v>
      </c>
      <c r="N628" s="397" t="n">
        <f aca="false">DEGREES(Beta)</f>
        <v>-84.3141598337519</v>
      </c>
      <c r="P628" s="399" t="n">
        <f aca="false">MATCH(t-pas/2-T_ini,CdP_t)</f>
        <v>23</v>
      </c>
      <c r="Q628" s="397" t="n">
        <f aca="false">(INDEX(CdP,2,i_P+1)-INDEX(CdP,2,i_P+0))/(INDEX(CdP,1,i_P+1)-INDEX(CdP,1,i_P+0))*(t-pas/2-T_ini-INDEX(CdP,1,i_P+0))+INDEX(CdP,2,i_P+0)</f>
        <v>0</v>
      </c>
      <c r="R628" s="396" t="n">
        <f aca="false">Poussee/(g*ISP)</f>
        <v>0</v>
      </c>
      <c r="S628" s="398" t="n">
        <f aca="false">S627-Débit*pas</f>
        <v>8.45</v>
      </c>
      <c r="T628" s="397" t="n">
        <f aca="false">m*g</f>
        <v>82.8945</v>
      </c>
      <c r="U628" s="400" t="n">
        <f aca="false">IF(pos_xz&lt;L_rampe,Poids*COS(Beta),0)</f>
        <v>0</v>
      </c>
      <c r="V628" s="396" t="n">
        <f aca="false">Rho_moyen*(20000-Alt_rampe-pos_z)/(20000+Alt_rampe+pos_z)</f>
        <v>1.2262285160111</v>
      </c>
      <c r="W628" s="397" t="n">
        <f aca="false">1/2*Rho*Sref*Cx*vit_xz^2</f>
        <v>62.0435963453437</v>
      </c>
      <c r="Y628" s="401" t="str">
        <f aca="false">IF(AND(pos_z&lt;=0,K627&gt;0),"Impact balistique","") &amp; IF(AND(H629&lt;0,vit_z&gt;=0),"Apogée","") &amp; IF(AND(Poussee=0,Q627&gt;0),"Fin de propulsion","") &amp; IF(AND(L629&gt;L_rampe,pos_xz&lt;=L_rampe),"Sortie de rampe","")</f>
        <v/>
      </c>
      <c r="Z628" s="402" t="str">
        <f aca="false">IF(ABS(t-T_para)&lt;pas/2,"Para","")</f>
        <v/>
      </c>
      <c r="AA628" s="403" t="str">
        <f aca="false">IF(ABS(t-T_satellite)&lt;pas/2,"Satellite","")</f>
        <v/>
      </c>
      <c r="AC628" s="399" t="e">
        <f aca="false">IF(ABS(t-ROUND(t,0))&lt;0.001,t,NA())</f>
        <v>#N/A</v>
      </c>
      <c r="AD628" s="404" t="e">
        <f aca="false">IF(ABS(t-ROUND(t,0))&lt;0.001,pos_x,NA())</f>
        <v>#N/A</v>
      </c>
      <c r="AE628" s="405" t="e">
        <f aca="false">IF(t&lt;T_para, pos_z, NA())</f>
        <v>#N/A</v>
      </c>
      <c r="AG628" s="396" t="n">
        <f aca="false">IF(AND(L627&lt;L_rampe,Poussee&lt;Poids*SIN(M627)),0,(-W627+Poussee)/m-Poids*SIN(M627)/m)</f>
        <v>2.41933649285882</v>
      </c>
      <c r="AH628" s="397" t="n">
        <f aca="false">IF(AND(L627&lt;L_rampe,Poussee&lt;Poids*SIN(M627)), g*SIN(M627), (-W627+Poussee)/m)</f>
        <v>-7.34239832666984</v>
      </c>
    </row>
    <row r="629" customFormat="false" ht="12.75" hidden="false" customHeight="false" outlineLevel="0" collapsed="false">
      <c r="A629" s="396" t="n">
        <f aca="false">IF(B628+0.01&lt;=T_ini+ROUNDUP(Temps_fin_propu,0), 0.01, IF(K628&gt;0, 0.1, 0.0001))</f>
        <v>0.0001</v>
      </c>
      <c r="B629" s="397" t="n">
        <f aca="false">B628+pas</f>
        <v>32.1124000000006</v>
      </c>
      <c r="D629" s="396" t="n">
        <f aca="false">IF(AND(L628&lt;L_rampe,Poussee&lt;Poids*SIN(M628)),0,(-W628+Poussee)/m*COS(M628)-U628/m*SIN(M628))</f>
        <v>-0.727443420021803</v>
      </c>
      <c r="E629" s="398" t="n">
        <f aca="false">IF(AND(L628&lt;L_rampe,Poussee&lt;Poids*SIN(M628)),0,(-W628+Poussee)/m*SIN(M628)+U628/m*COS(M628)-Poids/m)</f>
        <v>-2.50368673053178</v>
      </c>
      <c r="F629" s="397" t="n">
        <f aca="false">SQRT(acc_x^2+acc_z^2)</f>
        <v>2.60722480311421</v>
      </c>
      <c r="G629" s="396" t="n">
        <f aca="false">G628+acc_x*pas</f>
        <v>11.4882854481981</v>
      </c>
      <c r="H629" s="398" t="n">
        <f aca="false">H628+acc_z*pas</f>
        <v>-115.387291609686</v>
      </c>
      <c r="I629" s="397" t="n">
        <f aca="false">SQRT(vit_x^2+vit_z^2)</f>
        <v>115.95778441984</v>
      </c>
      <c r="J629" s="396" t="n">
        <f aca="false">J628+0.5*(vit_x+G628)*pas*(K628&gt;=0)</f>
        <v>690.928492655337</v>
      </c>
      <c r="K629" s="398" t="n">
        <f aca="false">K628+0.5*(vit_z+H628)*pas</f>
        <v>-10.0352146250647</v>
      </c>
      <c r="L629" s="397" t="n">
        <f aca="false">SQRT(pos_x^2+pos_z^2)</f>
        <v>691.001365769668</v>
      </c>
      <c r="M629" s="396" t="n">
        <f aca="false">IF(AND(L628&gt;L_rampe,G629&gt;0),ATAN2(G629,H629),$M$4)</f>
        <v>-1.47156053331391</v>
      </c>
      <c r="N629" s="397" t="n">
        <f aca="false">DEGREES(Beta)</f>
        <v>-84.3142078569078</v>
      </c>
      <c r="P629" s="399" t="n">
        <f aca="false">MATCH(t-pas/2-T_ini,CdP_t)</f>
        <v>23</v>
      </c>
      <c r="Q629" s="397" t="n">
        <f aca="false">(INDEX(CdP,2,i_P+1)-INDEX(CdP,2,i_P+0))/(INDEX(CdP,1,i_P+1)-INDEX(CdP,1,i_P+0))*(t-pas/2-T_ini-INDEX(CdP,1,i_P+0))+INDEX(CdP,2,i_P+0)</f>
        <v>0</v>
      </c>
      <c r="R629" s="396" t="n">
        <f aca="false">Poussee/(g*ISP)</f>
        <v>0</v>
      </c>
      <c r="S629" s="398" t="n">
        <f aca="false">S628-Débit*pas</f>
        <v>8.45</v>
      </c>
      <c r="T629" s="397" t="n">
        <f aca="false">m*g</f>
        <v>82.8945</v>
      </c>
      <c r="U629" s="400" t="n">
        <f aca="false">IF(pos_xz&lt;L_rampe,Poids*COS(Beta),0)</f>
        <v>0</v>
      </c>
      <c r="V629" s="396" t="n">
        <f aca="false">Rho_moyen*(20000-Alt_rampe-pos_z)/(20000+Alt_rampe+pos_z)</f>
        <v>1.22622993092261</v>
      </c>
      <c r="W629" s="397" t="n">
        <f aca="false">1/2*Rho*Sref*Cx*vit_xz^2</f>
        <v>62.0439268276048</v>
      </c>
      <c r="Y629" s="401" t="str">
        <f aca="false">IF(AND(pos_z&lt;=0,K628&gt;0),"Impact balistique","") &amp; IF(AND(H630&lt;0,vit_z&gt;=0),"Apogée","") &amp; IF(AND(Poussee=0,Q628&gt;0),"Fin de propulsion","") &amp; IF(AND(L630&gt;L_rampe,pos_xz&lt;=L_rampe),"Sortie de rampe","")</f>
        <v/>
      </c>
      <c r="Z629" s="402" t="str">
        <f aca="false">IF(ABS(t-T_para)&lt;pas/2,"Para","")</f>
        <v/>
      </c>
      <c r="AA629" s="403" t="str">
        <f aca="false">IF(ABS(t-T_satellite)&lt;pas/2,"Satellite","")</f>
        <v/>
      </c>
      <c r="AC629" s="399" t="e">
        <f aca="false">IF(ABS(t-ROUND(t,0))&lt;0.001,t,NA())</f>
        <v>#N/A</v>
      </c>
      <c r="AD629" s="404" t="e">
        <f aca="false">IF(ABS(t-ROUND(t,0))&lt;0.001,pos_x,NA())</f>
        <v>#N/A</v>
      </c>
      <c r="AE629" s="405" t="e">
        <f aca="false">IF(t&lt;T_para, pos_z, NA())</f>
        <v>#N/A</v>
      </c>
      <c r="AG629" s="396" t="n">
        <f aca="false">IF(AND(L628&lt;L_rampe,Poussee&lt;Poids*SIN(M628)),0,(-W628+Poussee)/m-Poids*SIN(M628)/m)</f>
        <v>2.41929819684368</v>
      </c>
      <c r="AH629" s="397" t="n">
        <f aca="false">IF(AND(L628&lt;L_rampe,Poussee&lt;Poids*SIN(M628)), g*SIN(M628), (-W628+Poussee)/m)</f>
        <v>-7.34243743731878</v>
      </c>
    </row>
    <row r="630" customFormat="false" ht="12.75" hidden="false" customHeight="false" outlineLevel="0" collapsed="false">
      <c r="A630" s="396" t="n">
        <f aca="false">IF(B629+0.01&lt;=T_ini+ROUNDUP(Temps_fin_propu,0), 0.01, IF(K629&gt;0, 0.1, 0.0001))</f>
        <v>0.0001</v>
      </c>
      <c r="B630" s="397" t="n">
        <f aca="false">B629+pas</f>
        <v>32.1125000000006</v>
      </c>
      <c r="D630" s="396" t="n">
        <f aca="false">IF(AND(L629&lt;L_rampe,Poussee&lt;Poids*SIN(M629)),0,(-W629+Poussee)/m*COS(M629)-U629/m*SIN(M629))</f>
        <v>-0.727441170923403</v>
      </c>
      <c r="E630" s="398" t="n">
        <f aca="false">IF(AND(L629&lt;L_rampe,Poussee&lt;Poids*SIN(M629)),0,(-W629+Poussee)/m*SIN(M629)+U629/m*COS(M629)-Poids/m)</f>
        <v>-2.50364720290826</v>
      </c>
      <c r="F630" s="397" t="n">
        <f aca="false">SQRT(acc_x^2+acc_z^2)</f>
        <v>2.60718621770382</v>
      </c>
      <c r="G630" s="396" t="n">
        <f aca="false">G629+acc_x*pas</f>
        <v>11.488212704081</v>
      </c>
      <c r="H630" s="398" t="n">
        <f aca="false">H629+acc_z*pas</f>
        <v>-115.387541974406</v>
      </c>
      <c r="I630" s="397" t="n">
        <f aca="false">SQRT(vit_x^2+vit_z^2)</f>
        <v>115.958026345871</v>
      </c>
      <c r="J630" s="396" t="n">
        <f aca="false">J629+0.5*(vit_x+G629)*pas*(K629&gt;=0)</f>
        <v>690.928492655337</v>
      </c>
      <c r="K630" s="398" t="n">
        <f aca="false">K629+0.5*(vit_z+H629)*pas</f>
        <v>-10.0467533667439</v>
      </c>
      <c r="L630" s="397" t="n">
        <f aca="false">SQRT(pos_x^2+pos_z^2)</f>
        <v>691.001533439824</v>
      </c>
      <c r="M630" s="396" t="n">
        <f aca="false">IF(AND(L629&gt;L_rampe,G630&gt;0),ATAN2(G630,H630),$M$4)</f>
        <v>-1.47156137146729</v>
      </c>
      <c r="N630" s="397" t="n">
        <f aca="false">DEGREES(Beta)</f>
        <v>-84.3142558795591</v>
      </c>
      <c r="P630" s="399" t="n">
        <f aca="false">MATCH(t-pas/2-T_ini,CdP_t)</f>
        <v>23</v>
      </c>
      <c r="Q630" s="397" t="n">
        <f aca="false">(INDEX(CdP,2,i_P+1)-INDEX(CdP,2,i_P+0))/(INDEX(CdP,1,i_P+1)-INDEX(CdP,1,i_P+0))*(t-pas/2-T_ini-INDEX(CdP,1,i_P+0))+INDEX(CdP,2,i_P+0)</f>
        <v>0</v>
      </c>
      <c r="R630" s="396" t="n">
        <f aca="false">Poussee/(g*ISP)</f>
        <v>0</v>
      </c>
      <c r="S630" s="398" t="n">
        <f aca="false">S629-Débit*pas</f>
        <v>8.45</v>
      </c>
      <c r="T630" s="397" t="n">
        <f aca="false">m*g</f>
        <v>82.8945</v>
      </c>
      <c r="U630" s="400" t="n">
        <f aca="false">IF(pos_xz&lt;L_rampe,Poids*COS(Beta),0)</f>
        <v>0</v>
      </c>
      <c r="V630" s="396" t="n">
        <f aca="false">Rho_moyen*(20000-Alt_rampe-pos_z)/(20000+Alt_rampe+pos_z)</f>
        <v>1.22623134583882</v>
      </c>
      <c r="W630" s="397" t="n">
        <f aca="false">1/2*Rho*Sref*Cx*vit_xz^2</f>
        <v>62.0442573071434</v>
      </c>
      <c r="Y630" s="401" t="str">
        <f aca="false">IF(AND(pos_z&lt;=0,K629&gt;0),"Impact balistique","") &amp; IF(AND(H631&lt;0,vit_z&gt;=0),"Apogée","") &amp; IF(AND(Poussee=0,Q629&gt;0),"Fin de propulsion","") &amp; IF(AND(L631&gt;L_rampe,pos_xz&lt;=L_rampe),"Sortie de rampe","")</f>
        <v/>
      </c>
      <c r="Z630" s="402" t="str">
        <f aca="false">IF(ABS(t-T_para)&lt;pas/2,"Para","")</f>
        <v/>
      </c>
      <c r="AA630" s="403" t="str">
        <f aca="false">IF(ABS(t-T_satellite)&lt;pas/2,"Satellite","")</f>
        <v/>
      </c>
      <c r="AC630" s="399" t="e">
        <f aca="false">IF(ABS(t-ROUND(t,0))&lt;0.001,t,NA())</f>
        <v>#N/A</v>
      </c>
      <c r="AD630" s="404" t="e">
        <f aca="false">IF(ABS(t-ROUND(t,0))&lt;0.001,pos_x,NA())</f>
        <v>#N/A</v>
      </c>
      <c r="AE630" s="405" t="e">
        <f aca="false">IF(t&lt;T_para, pos_z, NA())</f>
        <v>#N/A</v>
      </c>
      <c r="AG630" s="396" t="n">
        <f aca="false">IF(AND(L629&lt;L_rampe,Poussee&lt;Poids*SIN(M629)),0,(-W629+Poussee)/m-Poids*SIN(M629)/m)</f>
        <v>2.4192599011353</v>
      </c>
      <c r="AH630" s="397" t="n">
        <f aca="false">IF(AND(L629&lt;L_rampe,Poussee&lt;Poids*SIN(M629)), g*SIN(M629), (-W629+Poussee)/m)</f>
        <v>-7.34247654764554</v>
      </c>
    </row>
    <row r="631" customFormat="false" ht="12.75" hidden="false" customHeight="false" outlineLevel="0" collapsed="false">
      <c r="A631" s="396" t="n">
        <f aca="false">IF(B630+0.01&lt;=T_ini+ROUNDUP(Temps_fin_propu,0), 0.01, IF(K630&gt;0, 0.1, 0.0001))</f>
        <v>0.0001</v>
      </c>
      <c r="B631" s="397" t="n">
        <f aca="false">B630+pas</f>
        <v>32.1126000000006</v>
      </c>
      <c r="D631" s="396" t="n">
        <f aca="false">IF(AND(L630&lt;L_rampe,Poussee&lt;Poids*SIN(M630)),0,(-W630+Poussee)/m*COS(M630)-U630/m*SIN(M630))</f>
        <v>-0.727438921791663</v>
      </c>
      <c r="E631" s="398" t="n">
        <f aca="false">IF(AND(L630&lt;L_rampe,Poussee&lt;Poids*SIN(M630)),0,(-W630+Poussee)/m*SIN(M630)+U630/m*COS(M630)-Poids/m)</f>
        <v>-2.50360767561038</v>
      </c>
      <c r="F631" s="397" t="n">
        <f aca="false">SQRT(acc_x^2+acc_z^2)</f>
        <v>2.60714763262701</v>
      </c>
      <c r="G631" s="396" t="n">
        <f aca="false">G630+acc_x*pas</f>
        <v>11.4881399601888</v>
      </c>
      <c r="H631" s="398" t="n">
        <f aca="false">H630+acc_z*pas</f>
        <v>-115.387792335174</v>
      </c>
      <c r="I631" s="397" t="n">
        <f aca="false">SQRT(vit_x^2+vit_z^2)</f>
        <v>115.958268268072</v>
      </c>
      <c r="J631" s="396" t="n">
        <f aca="false">J630+0.5*(vit_x+G630)*pas*(K630&gt;=0)</f>
        <v>690.928492655337</v>
      </c>
      <c r="K631" s="398" t="n">
        <f aca="false">K630+0.5*(vit_z+H630)*pas</f>
        <v>-10.0582921334594</v>
      </c>
      <c r="L631" s="397" t="n">
        <f aca="false">SQRT(pos_x^2+pos_z^2)</f>
        <v>691.001701302984</v>
      </c>
      <c r="M631" s="396" t="n">
        <f aca="false">IF(AND(L630&gt;L_rampe,G631&gt;0),ATAN2(G631,H631),$M$4)</f>
        <v>-1.47156220961187</v>
      </c>
      <c r="N631" s="397" t="n">
        <f aca="false">DEGREES(Beta)</f>
        <v>-84.314303901706</v>
      </c>
      <c r="P631" s="399" t="n">
        <f aca="false">MATCH(t-pas/2-T_ini,CdP_t)</f>
        <v>23</v>
      </c>
      <c r="Q631" s="397" t="n">
        <f aca="false">(INDEX(CdP,2,i_P+1)-INDEX(CdP,2,i_P+0))/(INDEX(CdP,1,i_P+1)-INDEX(CdP,1,i_P+0))*(t-pas/2-T_ini-INDEX(CdP,1,i_P+0))+INDEX(CdP,2,i_P+0)</f>
        <v>0</v>
      </c>
      <c r="R631" s="396" t="n">
        <f aca="false">Poussee/(g*ISP)</f>
        <v>0</v>
      </c>
      <c r="S631" s="398" t="n">
        <f aca="false">S630-Débit*pas</f>
        <v>8.45</v>
      </c>
      <c r="T631" s="397" t="n">
        <f aca="false">m*g</f>
        <v>82.8945</v>
      </c>
      <c r="U631" s="400" t="n">
        <f aca="false">IF(pos_xz&lt;L_rampe,Poids*COS(Beta),0)</f>
        <v>0</v>
      </c>
      <c r="V631" s="396" t="n">
        <f aca="false">Rho_moyen*(20000-Alt_rampe-pos_z)/(20000+Alt_rampe+pos_z)</f>
        <v>1.22623276075974</v>
      </c>
      <c r="W631" s="397" t="n">
        <f aca="false">1/2*Rho*Sref*Cx*vit_xz^2</f>
        <v>62.0445877839595</v>
      </c>
      <c r="Y631" s="401" t="str">
        <f aca="false">IF(AND(pos_z&lt;=0,K630&gt;0),"Impact balistique","") &amp; IF(AND(H632&lt;0,vit_z&gt;=0),"Apogée","") &amp; IF(AND(Poussee=0,Q630&gt;0),"Fin de propulsion","") &amp; IF(AND(L632&gt;L_rampe,pos_xz&lt;=L_rampe),"Sortie de rampe","")</f>
        <v/>
      </c>
      <c r="Z631" s="402" t="str">
        <f aca="false">IF(ABS(t-T_para)&lt;pas/2,"Para","")</f>
        <v/>
      </c>
      <c r="AA631" s="403" t="str">
        <f aca="false">IF(ABS(t-T_satellite)&lt;pas/2,"Satellite","")</f>
        <v/>
      </c>
      <c r="AC631" s="399" t="e">
        <f aca="false">IF(ABS(t-ROUND(t,0))&lt;0.001,t,NA())</f>
        <v>#N/A</v>
      </c>
      <c r="AD631" s="404" t="e">
        <f aca="false">IF(ABS(t-ROUND(t,0))&lt;0.001,pos_x,NA())</f>
        <v>#N/A</v>
      </c>
      <c r="AE631" s="405" t="e">
        <f aca="false">IF(t&lt;T_para, pos_z, NA())</f>
        <v>#N/A</v>
      </c>
      <c r="AG631" s="396" t="n">
        <f aca="false">IF(AND(L630&lt;L_rampe,Poussee&lt;Poids*SIN(M630)),0,(-W630+Poussee)/m-Poids*SIN(M630)/m)</f>
        <v>2.41922160573371</v>
      </c>
      <c r="AH631" s="397" t="n">
        <f aca="false">IF(AND(L630&lt;L_rampe,Poussee&lt;Poids*SIN(M630)), g*SIN(M630), (-W630+Poussee)/m)</f>
        <v>-7.34251565765011</v>
      </c>
    </row>
    <row r="632" customFormat="false" ht="12.75" hidden="false" customHeight="false" outlineLevel="0" collapsed="false">
      <c r="A632" s="396" t="n">
        <f aca="false">IF(B631+0.01&lt;=T_ini+ROUNDUP(Temps_fin_propu,0), 0.01, IF(K631&gt;0, 0.1, 0.0001))</f>
        <v>0.0001</v>
      </c>
      <c r="B632" s="397" t="n">
        <f aca="false">B631+pas</f>
        <v>32.1127000000006</v>
      </c>
      <c r="D632" s="396" t="n">
        <f aca="false">IF(AND(L631&lt;L_rampe,Poussee&lt;Poids*SIN(M631)),0,(-W631+Poussee)/m*COS(M631)-U631/m*SIN(M631))</f>
        <v>-0.727436672626583</v>
      </c>
      <c r="E632" s="398" t="n">
        <f aca="false">IF(AND(L631&lt;L_rampe,Poussee&lt;Poids*SIN(M631)),0,(-W631+Poussee)/m*SIN(M631)+U631/m*COS(M631)-Poids/m)</f>
        <v>-2.50356814863815</v>
      </c>
      <c r="F632" s="397" t="n">
        <f aca="false">SQRT(acc_x^2+acc_z^2)</f>
        <v>2.60710904788378</v>
      </c>
      <c r="G632" s="396" t="n">
        <f aca="false">G631+acc_x*pas</f>
        <v>11.4880672165215</v>
      </c>
      <c r="H632" s="398" t="n">
        <f aca="false">H631+acc_z*pas</f>
        <v>-115.388042691989</v>
      </c>
      <c r="I632" s="397" t="n">
        <f aca="false">SQRT(vit_x^2+vit_z^2)</f>
        <v>115.958510186444</v>
      </c>
      <c r="J632" s="396" t="n">
        <f aca="false">J631+0.5*(vit_x+G631)*pas*(K631&gt;=0)</f>
        <v>690.928492655337</v>
      </c>
      <c r="K632" s="398" t="n">
        <f aca="false">K631+0.5*(vit_z+H631)*pas</f>
        <v>-10.0698309252108</v>
      </c>
      <c r="L632" s="397" t="n">
        <f aca="false">SQRT(pos_x^2+pos_z^2)</f>
        <v>691.001869359149</v>
      </c>
      <c r="M632" s="396" t="n">
        <f aca="false">IF(AND(L631&gt;L_rampe,G632&gt;0),ATAN2(G632,H632),$M$4)</f>
        <v>-1.47156304774764</v>
      </c>
      <c r="N632" s="397" t="n">
        <f aca="false">DEGREES(Beta)</f>
        <v>-84.3143519233485</v>
      </c>
      <c r="P632" s="399" t="n">
        <f aca="false">MATCH(t-pas/2-T_ini,CdP_t)</f>
        <v>23</v>
      </c>
      <c r="Q632" s="397" t="n">
        <f aca="false">(INDEX(CdP,2,i_P+1)-INDEX(CdP,2,i_P+0))/(INDEX(CdP,1,i_P+1)-INDEX(CdP,1,i_P+0))*(t-pas/2-T_ini-INDEX(CdP,1,i_P+0))+INDEX(CdP,2,i_P+0)</f>
        <v>0</v>
      </c>
      <c r="R632" s="396" t="n">
        <f aca="false">Poussee/(g*ISP)</f>
        <v>0</v>
      </c>
      <c r="S632" s="398" t="n">
        <f aca="false">S631-Débit*pas</f>
        <v>8.45</v>
      </c>
      <c r="T632" s="397" t="n">
        <f aca="false">m*g</f>
        <v>82.8945</v>
      </c>
      <c r="U632" s="400" t="n">
        <f aca="false">IF(pos_xz&lt;L_rampe,Poids*COS(Beta),0)</f>
        <v>0</v>
      </c>
      <c r="V632" s="396" t="n">
        <f aca="false">Rho_moyen*(20000-Alt_rampe-pos_z)/(20000+Alt_rampe+pos_z)</f>
        <v>1.22623417568536</v>
      </c>
      <c r="W632" s="397" t="n">
        <f aca="false">1/2*Rho*Sref*Cx*vit_xz^2</f>
        <v>62.0449182580531</v>
      </c>
      <c r="Y632" s="401" t="str">
        <f aca="false">IF(AND(pos_z&lt;=0,K631&gt;0),"Impact balistique","") &amp; IF(AND(H633&lt;0,vit_z&gt;=0),"Apogée","") &amp; IF(AND(Poussee=0,Q631&gt;0),"Fin de propulsion","") &amp; IF(AND(L633&gt;L_rampe,pos_xz&lt;=L_rampe),"Sortie de rampe","")</f>
        <v/>
      </c>
      <c r="Z632" s="402" t="str">
        <f aca="false">IF(ABS(t-T_para)&lt;pas/2,"Para","")</f>
        <v/>
      </c>
      <c r="AA632" s="403" t="str">
        <f aca="false">IF(ABS(t-T_satellite)&lt;pas/2,"Satellite","")</f>
        <v/>
      </c>
      <c r="AC632" s="399" t="e">
        <f aca="false">IF(ABS(t-ROUND(t,0))&lt;0.001,t,NA())</f>
        <v>#N/A</v>
      </c>
      <c r="AD632" s="404" t="e">
        <f aca="false">IF(ABS(t-ROUND(t,0))&lt;0.001,pos_x,NA())</f>
        <v>#N/A</v>
      </c>
      <c r="AE632" s="405" t="e">
        <f aca="false">IF(t&lt;T_para, pos_z, NA())</f>
        <v>#N/A</v>
      </c>
      <c r="AG632" s="396" t="n">
        <f aca="false">IF(AND(L631&lt;L_rampe,Poussee&lt;Poids*SIN(M631)),0,(-W631+Poussee)/m-Poids*SIN(M631)/m)</f>
        <v>2.41918331063889</v>
      </c>
      <c r="AH632" s="397" t="n">
        <f aca="false">IF(AND(L631&lt;L_rampe,Poussee&lt;Poids*SIN(M631)), g*SIN(M631), (-W631+Poussee)/m)</f>
        <v>-7.34255476733249</v>
      </c>
    </row>
    <row r="633" customFormat="false" ht="12.75" hidden="false" customHeight="false" outlineLevel="0" collapsed="false">
      <c r="A633" s="396" t="n">
        <f aca="false">IF(B632+0.01&lt;=T_ini+ROUNDUP(Temps_fin_propu,0), 0.01, IF(K632&gt;0, 0.1, 0.0001))</f>
        <v>0.0001</v>
      </c>
      <c r="B633" s="397" t="n">
        <f aca="false">B632+pas</f>
        <v>32.1128000000006</v>
      </c>
      <c r="D633" s="396" t="n">
        <f aca="false">IF(AND(L632&lt;L_rampe,Poussee&lt;Poids*SIN(M632)),0,(-W632+Poussee)/m*COS(M632)-U632/m*SIN(M632))</f>
        <v>-0.727434423428167</v>
      </c>
      <c r="E633" s="398" t="n">
        <f aca="false">IF(AND(L632&lt;L_rampe,Poussee&lt;Poids*SIN(M632)),0,(-W632+Poussee)/m*SIN(M632)+U632/m*COS(M632)-Poids/m)</f>
        <v>-2.50352862199156</v>
      </c>
      <c r="F633" s="397" t="n">
        <f aca="false">SQRT(acc_x^2+acc_z^2)</f>
        <v>2.60707046347414</v>
      </c>
      <c r="G633" s="396" t="n">
        <f aca="false">G632+acc_x*pas</f>
        <v>11.4879944730792</v>
      </c>
      <c r="H633" s="398" t="n">
        <f aca="false">H632+acc_z*pas</f>
        <v>-115.388293044851</v>
      </c>
      <c r="I633" s="397" t="n">
        <f aca="false">SQRT(vit_x^2+vit_z^2)</f>
        <v>115.958752100986</v>
      </c>
      <c r="J633" s="396" t="n">
        <f aca="false">J632+0.5*(vit_x+G632)*pas*(K632&gt;=0)</f>
        <v>690.928492655337</v>
      </c>
      <c r="K633" s="398" t="n">
        <f aca="false">K632+0.5*(vit_z+H632)*pas</f>
        <v>-10.0813697419976</v>
      </c>
      <c r="L633" s="397" t="n">
        <f aca="false">SQRT(pos_x^2+pos_z^2)</f>
        <v>691.00203760832</v>
      </c>
      <c r="M633" s="396" t="n">
        <f aca="false">IF(AND(L632&gt;L_rampe,G633&gt;0),ATAN2(G633,H633),$M$4)</f>
        <v>-1.47156388587461</v>
      </c>
      <c r="N633" s="397" t="n">
        <f aca="false">DEGREES(Beta)</f>
        <v>-84.3143999444865</v>
      </c>
      <c r="P633" s="399" t="n">
        <f aca="false">MATCH(t-pas/2-T_ini,CdP_t)</f>
        <v>23</v>
      </c>
      <c r="Q633" s="397" t="n">
        <f aca="false">(INDEX(CdP,2,i_P+1)-INDEX(CdP,2,i_P+0))/(INDEX(CdP,1,i_P+1)-INDEX(CdP,1,i_P+0))*(t-pas/2-T_ini-INDEX(CdP,1,i_P+0))+INDEX(CdP,2,i_P+0)</f>
        <v>0</v>
      </c>
      <c r="R633" s="396" t="n">
        <f aca="false">Poussee/(g*ISP)</f>
        <v>0</v>
      </c>
      <c r="S633" s="398" t="n">
        <f aca="false">S632-Débit*pas</f>
        <v>8.45</v>
      </c>
      <c r="T633" s="397" t="n">
        <f aca="false">m*g</f>
        <v>82.8945</v>
      </c>
      <c r="U633" s="400" t="n">
        <f aca="false">IF(pos_xz&lt;L_rampe,Poids*COS(Beta),0)</f>
        <v>0</v>
      </c>
      <c r="V633" s="396" t="n">
        <f aca="false">Rho_moyen*(20000-Alt_rampe-pos_z)/(20000+Alt_rampe+pos_z)</f>
        <v>1.22623559061569</v>
      </c>
      <c r="W633" s="397" t="n">
        <f aca="false">1/2*Rho*Sref*Cx*vit_xz^2</f>
        <v>62.0452487294242</v>
      </c>
      <c r="Y633" s="401" t="str">
        <f aca="false">IF(AND(pos_z&lt;=0,K632&gt;0),"Impact balistique","") &amp; IF(AND(H634&lt;0,vit_z&gt;=0),"Apogée","") &amp; IF(AND(Poussee=0,Q632&gt;0),"Fin de propulsion","") &amp; IF(AND(L634&gt;L_rampe,pos_xz&lt;=L_rampe),"Sortie de rampe","")</f>
        <v/>
      </c>
      <c r="Z633" s="402" t="str">
        <f aca="false">IF(ABS(t-T_para)&lt;pas/2,"Para","")</f>
        <v/>
      </c>
      <c r="AA633" s="403" t="str">
        <f aca="false">IF(ABS(t-T_satellite)&lt;pas/2,"Satellite","")</f>
        <v/>
      </c>
      <c r="AC633" s="399" t="e">
        <f aca="false">IF(ABS(t-ROUND(t,0))&lt;0.001,t,NA())</f>
        <v>#N/A</v>
      </c>
      <c r="AD633" s="404" t="e">
        <f aca="false">IF(ABS(t-ROUND(t,0))&lt;0.001,pos_x,NA())</f>
        <v>#N/A</v>
      </c>
      <c r="AE633" s="405" t="e">
        <f aca="false">IF(t&lt;T_para, pos_z, NA())</f>
        <v>#N/A</v>
      </c>
      <c r="AG633" s="396" t="n">
        <f aca="false">IF(AND(L632&lt;L_rampe,Poussee&lt;Poids*SIN(M632)),0,(-W632+Poussee)/m-Poids*SIN(M632)/m)</f>
        <v>2.41914501585084</v>
      </c>
      <c r="AH633" s="397" t="n">
        <f aca="false">IF(AND(L632&lt;L_rampe,Poussee&lt;Poids*SIN(M632)), g*SIN(M632), (-W632+Poussee)/m)</f>
        <v>-7.34259387669268</v>
      </c>
    </row>
    <row r="634" customFormat="false" ht="12.75" hidden="false" customHeight="false" outlineLevel="0" collapsed="false">
      <c r="A634" s="396" t="n">
        <f aca="false">IF(B633+0.01&lt;=T_ini+ROUNDUP(Temps_fin_propu,0), 0.01, IF(K633&gt;0, 0.1, 0.0001))</f>
        <v>0.0001</v>
      </c>
      <c r="B634" s="397" t="n">
        <f aca="false">B633+pas</f>
        <v>32.1129000000006</v>
      </c>
      <c r="D634" s="396" t="n">
        <f aca="false">IF(AND(L633&lt;L_rampe,Poussee&lt;Poids*SIN(M633)),0,(-W633+Poussee)/m*COS(M633)-U633/m*SIN(M633))</f>
        <v>-0.727432174196411</v>
      </c>
      <c r="E634" s="398" t="n">
        <f aca="false">IF(AND(L633&lt;L_rampe,Poussee&lt;Poids*SIN(M633)),0,(-W633+Poussee)/m*SIN(M633)+U633/m*COS(M633)-Poids/m)</f>
        <v>-2.50348909567063</v>
      </c>
      <c r="F634" s="397" t="n">
        <f aca="false">SQRT(acc_x^2+acc_z^2)</f>
        <v>2.60703187939808</v>
      </c>
      <c r="G634" s="396" t="n">
        <f aca="false">G633+acc_x*pas</f>
        <v>11.4879217298618</v>
      </c>
      <c r="H634" s="398" t="n">
        <f aca="false">H633+acc_z*pas</f>
        <v>-115.388543393761</v>
      </c>
      <c r="I634" s="397" t="n">
        <f aca="false">SQRT(vit_x^2+vit_z^2)</f>
        <v>115.958994011699</v>
      </c>
      <c r="J634" s="396" t="n">
        <f aca="false">J633+0.5*(vit_x+G633)*pas*(K633&gt;=0)</f>
        <v>690.928492655337</v>
      </c>
      <c r="K634" s="398" t="n">
        <f aca="false">K633+0.5*(vit_z+H633)*pas</f>
        <v>-10.0929085838195</v>
      </c>
      <c r="L634" s="397" t="n">
        <f aca="false">SQRT(pos_x^2+pos_z^2)</f>
        <v>691.0022060505</v>
      </c>
      <c r="M634" s="396" t="n">
        <f aca="false">IF(AND(L633&gt;L_rampe,G634&gt;0),ATAN2(G634,H634),$M$4)</f>
        <v>-1.47156472399278</v>
      </c>
      <c r="N634" s="397" t="n">
        <f aca="false">DEGREES(Beta)</f>
        <v>-84.31444796512</v>
      </c>
      <c r="P634" s="399" t="n">
        <f aca="false">MATCH(t-pas/2-T_ini,CdP_t)</f>
        <v>23</v>
      </c>
      <c r="Q634" s="397" t="n">
        <f aca="false">(INDEX(CdP,2,i_P+1)-INDEX(CdP,2,i_P+0))/(INDEX(CdP,1,i_P+1)-INDEX(CdP,1,i_P+0))*(t-pas/2-T_ini-INDEX(CdP,1,i_P+0))+INDEX(CdP,2,i_P+0)</f>
        <v>0</v>
      </c>
      <c r="R634" s="396" t="n">
        <f aca="false">Poussee/(g*ISP)</f>
        <v>0</v>
      </c>
      <c r="S634" s="398" t="n">
        <f aca="false">S633-Débit*pas</f>
        <v>8.45</v>
      </c>
      <c r="T634" s="397" t="n">
        <f aca="false">m*g</f>
        <v>82.8945</v>
      </c>
      <c r="U634" s="400" t="n">
        <f aca="false">IF(pos_xz&lt;L_rampe,Poids*COS(Beta),0)</f>
        <v>0</v>
      </c>
      <c r="V634" s="396" t="n">
        <f aca="false">Rho_moyen*(20000-Alt_rampe-pos_z)/(20000+Alt_rampe+pos_z)</f>
        <v>1.22623700555071</v>
      </c>
      <c r="W634" s="397" t="n">
        <f aca="false">1/2*Rho*Sref*Cx*vit_xz^2</f>
        <v>62.0455791980727</v>
      </c>
      <c r="Y634" s="401" t="str">
        <f aca="false">IF(AND(pos_z&lt;=0,K633&gt;0),"Impact balistique","") &amp; IF(AND(H635&lt;0,vit_z&gt;=0),"Apogée","") &amp; IF(AND(Poussee=0,Q633&gt;0),"Fin de propulsion","") &amp; IF(AND(L635&gt;L_rampe,pos_xz&lt;=L_rampe),"Sortie de rampe","")</f>
        <v/>
      </c>
      <c r="Z634" s="402" t="str">
        <f aca="false">IF(ABS(t-T_para)&lt;pas/2,"Para","")</f>
        <v/>
      </c>
      <c r="AA634" s="403" t="str">
        <f aca="false">IF(ABS(t-T_satellite)&lt;pas/2,"Satellite","")</f>
        <v/>
      </c>
      <c r="AC634" s="399" t="e">
        <f aca="false">IF(ABS(t-ROUND(t,0))&lt;0.001,t,NA())</f>
        <v>#N/A</v>
      </c>
      <c r="AD634" s="404" t="e">
        <f aca="false">IF(ABS(t-ROUND(t,0))&lt;0.001,pos_x,NA())</f>
        <v>#N/A</v>
      </c>
      <c r="AE634" s="405" t="e">
        <f aca="false">IF(t&lt;T_para, pos_z, NA())</f>
        <v>#N/A</v>
      </c>
      <c r="AG634" s="396" t="n">
        <f aca="false">IF(AND(L633&lt;L_rampe,Poussee&lt;Poids*SIN(M633)),0,(-W633+Poussee)/m-Poids*SIN(M633)/m)</f>
        <v>2.41910672136958</v>
      </c>
      <c r="AH634" s="397" t="n">
        <f aca="false">IF(AND(L633&lt;L_rampe,Poussee&lt;Poids*SIN(M633)), g*SIN(M633), (-W633+Poussee)/m)</f>
        <v>-7.34263298573067</v>
      </c>
    </row>
    <row r="635" customFormat="false" ht="12.75" hidden="false" customHeight="false" outlineLevel="0" collapsed="false">
      <c r="A635" s="396" t="n">
        <f aca="false">IF(B634+0.01&lt;=T_ini+ROUNDUP(Temps_fin_propu,0), 0.01, IF(K634&gt;0, 0.1, 0.0001))</f>
        <v>0.0001</v>
      </c>
      <c r="B635" s="397" t="n">
        <f aca="false">B634+pas</f>
        <v>32.1130000000006</v>
      </c>
      <c r="D635" s="396" t="n">
        <f aca="false">IF(AND(L634&lt;L_rampe,Poussee&lt;Poids*SIN(M634)),0,(-W634+Poussee)/m*COS(M634)-U634/m*SIN(M634))</f>
        <v>-0.727429924931319</v>
      </c>
      <c r="E635" s="398" t="n">
        <f aca="false">IF(AND(L634&lt;L_rampe,Poussee&lt;Poids*SIN(M634)),0,(-W634+Poussee)/m*SIN(M634)+U634/m*COS(M634)-Poids/m)</f>
        <v>-2.50344956967534</v>
      </c>
      <c r="F635" s="397" t="n">
        <f aca="false">SQRT(acc_x^2+acc_z^2)</f>
        <v>2.6069932956556</v>
      </c>
      <c r="G635" s="396" t="n">
        <f aca="false">G634+acc_x*pas</f>
        <v>11.4878489868693</v>
      </c>
      <c r="H635" s="398" t="n">
        <f aca="false">H634+acc_z*pas</f>
        <v>-115.388793738718</v>
      </c>
      <c r="I635" s="397" t="n">
        <f aca="false">SQRT(vit_x^2+vit_z^2)</f>
        <v>115.959235918582</v>
      </c>
      <c r="J635" s="396" t="n">
        <f aca="false">J634+0.5*(vit_x+G634)*pas*(K634&gt;=0)</f>
        <v>690.928492655337</v>
      </c>
      <c r="K635" s="398" t="n">
        <f aca="false">K634+0.5*(vit_z+H634)*pas</f>
        <v>-10.1044474506762</v>
      </c>
      <c r="L635" s="397" t="n">
        <f aca="false">SQRT(pos_x^2+pos_z^2)</f>
        <v>691.002374685687</v>
      </c>
      <c r="M635" s="396" t="n">
        <f aca="false">IF(AND(L634&gt;L_rampe,G635&gt;0),ATAN2(G635,H635),$M$4)</f>
        <v>-1.47156556210214</v>
      </c>
      <c r="N635" s="397" t="n">
        <f aca="false">DEGREES(Beta)</f>
        <v>-84.3144959852492</v>
      </c>
      <c r="P635" s="399" t="n">
        <f aca="false">MATCH(t-pas/2-T_ini,CdP_t)</f>
        <v>23</v>
      </c>
      <c r="Q635" s="397" t="n">
        <f aca="false">(INDEX(CdP,2,i_P+1)-INDEX(CdP,2,i_P+0))/(INDEX(CdP,1,i_P+1)-INDEX(CdP,1,i_P+0))*(t-pas/2-T_ini-INDEX(CdP,1,i_P+0))+INDEX(CdP,2,i_P+0)</f>
        <v>0</v>
      </c>
      <c r="R635" s="396" t="n">
        <f aca="false">Poussee/(g*ISP)</f>
        <v>0</v>
      </c>
      <c r="S635" s="398" t="n">
        <f aca="false">S634-Débit*pas</f>
        <v>8.45</v>
      </c>
      <c r="T635" s="397" t="n">
        <f aca="false">m*g</f>
        <v>82.8945</v>
      </c>
      <c r="U635" s="400" t="n">
        <f aca="false">IF(pos_xz&lt;L_rampe,Poids*COS(Beta),0)</f>
        <v>0</v>
      </c>
      <c r="V635" s="396" t="n">
        <f aca="false">Rho_moyen*(20000-Alt_rampe-pos_z)/(20000+Alt_rampe+pos_z)</f>
        <v>1.22623842049045</v>
      </c>
      <c r="W635" s="397" t="n">
        <f aca="false">1/2*Rho*Sref*Cx*vit_xz^2</f>
        <v>62.0459096639988</v>
      </c>
      <c r="Y635" s="401" t="str">
        <f aca="false">IF(AND(pos_z&lt;=0,K634&gt;0),"Impact balistique","") &amp; IF(AND(H636&lt;0,vit_z&gt;=0),"Apogée","") &amp; IF(AND(Poussee=0,Q634&gt;0),"Fin de propulsion","") &amp; IF(AND(L636&gt;L_rampe,pos_xz&lt;=L_rampe),"Sortie de rampe","")</f>
        <v/>
      </c>
      <c r="Z635" s="402" t="str">
        <f aca="false">IF(ABS(t-T_para)&lt;pas/2,"Para","")</f>
        <v/>
      </c>
      <c r="AA635" s="403" t="str">
        <f aca="false">IF(ABS(t-T_satellite)&lt;pas/2,"Satellite","")</f>
        <v/>
      </c>
      <c r="AC635" s="399" t="e">
        <f aca="false">IF(ABS(t-ROUND(t,0))&lt;0.001,t,NA())</f>
        <v>#N/A</v>
      </c>
      <c r="AD635" s="404" t="e">
        <f aca="false">IF(ABS(t-ROUND(t,0))&lt;0.001,pos_x,NA())</f>
        <v>#N/A</v>
      </c>
      <c r="AE635" s="405" t="e">
        <f aca="false">IF(t&lt;T_para, pos_z, NA())</f>
        <v>#N/A</v>
      </c>
      <c r="AG635" s="396" t="n">
        <f aca="false">IF(AND(L634&lt;L_rampe,Poussee&lt;Poids*SIN(M634)),0,(-W634+Poussee)/m-Poids*SIN(M634)/m)</f>
        <v>2.41906842719508</v>
      </c>
      <c r="AH635" s="397" t="n">
        <f aca="false">IF(AND(L634&lt;L_rampe,Poussee&lt;Poids*SIN(M634)), g*SIN(M634), (-W634+Poussee)/m)</f>
        <v>-7.34267209444648</v>
      </c>
    </row>
    <row r="636" customFormat="false" ht="12.75" hidden="false" customHeight="false" outlineLevel="0" collapsed="false">
      <c r="A636" s="396" t="n">
        <f aca="false">IF(B635+0.01&lt;=T_ini+ROUNDUP(Temps_fin_propu,0), 0.01, IF(K635&gt;0, 0.1, 0.0001))</f>
        <v>0.0001</v>
      </c>
      <c r="B636" s="397" t="n">
        <f aca="false">B635+pas</f>
        <v>32.1131000000006</v>
      </c>
      <c r="D636" s="396" t="n">
        <f aca="false">IF(AND(L635&lt;L_rampe,Poussee&lt;Poids*SIN(M635)),0,(-W635+Poussee)/m*COS(M635)-U635/m*SIN(M635))</f>
        <v>-0.72742767563289</v>
      </c>
      <c r="E636" s="398" t="n">
        <f aca="false">IF(AND(L635&lt;L_rampe,Poussee&lt;Poids*SIN(M635)),0,(-W635+Poussee)/m*SIN(M635)+U635/m*COS(M635)-Poids/m)</f>
        <v>-2.5034100440057</v>
      </c>
      <c r="F636" s="397" t="n">
        <f aca="false">SQRT(acc_x^2+acc_z^2)</f>
        <v>2.60695471224671</v>
      </c>
      <c r="G636" s="396" t="n">
        <f aca="false">G635+acc_x*pas</f>
        <v>11.4877762441017</v>
      </c>
      <c r="H636" s="398" t="n">
        <f aca="false">H635+acc_z*pas</f>
        <v>-115.389044079722</v>
      </c>
      <c r="I636" s="397" t="n">
        <f aca="false">SQRT(vit_x^2+vit_z^2)</f>
        <v>115.959477821636</v>
      </c>
      <c r="J636" s="396" t="n">
        <f aca="false">J635+0.5*(vit_x+G635)*pas*(K635&gt;=0)</f>
        <v>690.928492655337</v>
      </c>
      <c r="K636" s="398" t="n">
        <f aca="false">K635+0.5*(vit_z+H635)*pas</f>
        <v>-10.1159863425671</v>
      </c>
      <c r="L636" s="397" t="n">
        <f aca="false">SQRT(pos_x^2+pos_z^2)</f>
        <v>691.002543513885</v>
      </c>
      <c r="M636" s="396" t="n">
        <f aca="false">IF(AND(L635&gt;L_rampe,G636&gt;0),ATAN2(G636,H636),$M$4)</f>
        <v>-1.4715664002027</v>
      </c>
      <c r="N636" s="397" t="n">
        <f aca="false">DEGREES(Beta)</f>
        <v>-84.3145440048739</v>
      </c>
      <c r="P636" s="399" t="n">
        <f aca="false">MATCH(t-pas/2-T_ini,CdP_t)</f>
        <v>23</v>
      </c>
      <c r="Q636" s="397" t="n">
        <f aca="false">(INDEX(CdP,2,i_P+1)-INDEX(CdP,2,i_P+0))/(INDEX(CdP,1,i_P+1)-INDEX(CdP,1,i_P+0))*(t-pas/2-T_ini-INDEX(CdP,1,i_P+0))+INDEX(CdP,2,i_P+0)</f>
        <v>0</v>
      </c>
      <c r="R636" s="396" t="n">
        <f aca="false">Poussee/(g*ISP)</f>
        <v>0</v>
      </c>
      <c r="S636" s="398" t="n">
        <f aca="false">S635-Débit*pas</f>
        <v>8.45</v>
      </c>
      <c r="T636" s="397" t="n">
        <f aca="false">m*g</f>
        <v>82.8945</v>
      </c>
      <c r="U636" s="400" t="n">
        <f aca="false">IF(pos_xz&lt;L_rampe,Poids*COS(Beta),0)</f>
        <v>0</v>
      </c>
      <c r="V636" s="396" t="n">
        <f aca="false">Rho_moyen*(20000-Alt_rampe-pos_z)/(20000+Alt_rampe+pos_z)</f>
        <v>1.22623983543488</v>
      </c>
      <c r="W636" s="397" t="n">
        <f aca="false">1/2*Rho*Sref*Cx*vit_xz^2</f>
        <v>62.0462401272023</v>
      </c>
      <c r="Y636" s="401" t="str">
        <f aca="false">IF(AND(pos_z&lt;=0,K635&gt;0),"Impact balistique","") &amp; IF(AND(H637&lt;0,vit_z&gt;=0),"Apogée","") &amp; IF(AND(Poussee=0,Q635&gt;0),"Fin de propulsion","") &amp; IF(AND(L637&gt;L_rampe,pos_xz&lt;=L_rampe),"Sortie de rampe","")</f>
        <v/>
      </c>
      <c r="Z636" s="402" t="str">
        <f aca="false">IF(ABS(t-T_para)&lt;pas/2,"Para","")</f>
        <v/>
      </c>
      <c r="AA636" s="403" t="str">
        <f aca="false">IF(ABS(t-T_satellite)&lt;pas/2,"Satellite","")</f>
        <v/>
      </c>
      <c r="AC636" s="399" t="e">
        <f aca="false">IF(ABS(t-ROUND(t,0))&lt;0.001,t,NA())</f>
        <v>#N/A</v>
      </c>
      <c r="AD636" s="404" t="e">
        <f aca="false">IF(ABS(t-ROUND(t,0))&lt;0.001,pos_x,NA())</f>
        <v>#N/A</v>
      </c>
      <c r="AE636" s="405" t="e">
        <f aca="false">IF(t&lt;T_para, pos_z, NA())</f>
        <v>#N/A</v>
      </c>
      <c r="AG636" s="396" t="n">
        <f aca="false">IF(AND(L635&lt;L_rampe,Poussee&lt;Poids*SIN(M635)),0,(-W635+Poussee)/m-Poids*SIN(M635)/m)</f>
        <v>2.41903013332737</v>
      </c>
      <c r="AH636" s="397" t="n">
        <f aca="false">IF(AND(L635&lt;L_rampe,Poussee&lt;Poids*SIN(M635)), g*SIN(M635), (-W635+Poussee)/m)</f>
        <v>-7.34271120284009</v>
      </c>
    </row>
    <row r="637" customFormat="false" ht="12.75" hidden="false" customHeight="false" outlineLevel="0" collapsed="false">
      <c r="A637" s="396" t="n">
        <f aca="false">IF(B636+0.01&lt;=T_ini+ROUNDUP(Temps_fin_propu,0), 0.01, IF(K636&gt;0, 0.1, 0.0001))</f>
        <v>0.0001</v>
      </c>
      <c r="B637" s="397" t="n">
        <f aca="false">B636+pas</f>
        <v>32.1132000000006</v>
      </c>
      <c r="D637" s="396" t="n">
        <f aca="false">IF(AND(L636&lt;L_rampe,Poussee&lt;Poids*SIN(M636)),0,(-W636+Poussee)/m*COS(M636)-U636/m*SIN(M636))</f>
        <v>-0.727425426301126</v>
      </c>
      <c r="E637" s="398" t="n">
        <f aca="false">IF(AND(L636&lt;L_rampe,Poussee&lt;Poids*SIN(M636)),0,(-W636+Poussee)/m*SIN(M636)+U636/m*COS(M636)-Poids/m)</f>
        <v>-2.50337051866172</v>
      </c>
      <c r="F637" s="397" t="n">
        <f aca="false">SQRT(acc_x^2+acc_z^2)</f>
        <v>2.6069161291714</v>
      </c>
      <c r="G637" s="396" t="n">
        <f aca="false">G636+acc_x*pas</f>
        <v>11.4877035015591</v>
      </c>
      <c r="H637" s="398" t="n">
        <f aca="false">H636+acc_z*pas</f>
        <v>-115.389294416774</v>
      </c>
      <c r="I637" s="397" t="n">
        <f aca="false">SQRT(vit_x^2+vit_z^2)</f>
        <v>115.959719720861</v>
      </c>
      <c r="J637" s="396" t="n">
        <f aca="false">J636+0.5*(vit_x+G636)*pas*(K636&gt;=0)</f>
        <v>690.928492655337</v>
      </c>
      <c r="K637" s="398" t="n">
        <f aca="false">K636+0.5*(vit_z+H636)*pas</f>
        <v>-10.1275252594919</v>
      </c>
      <c r="L637" s="397" t="n">
        <f aca="false">SQRT(pos_x^2+pos_z^2)</f>
        <v>691.002712535094</v>
      </c>
      <c r="M637" s="396" t="n">
        <f aca="false">IF(AND(L636&gt;L_rampe,G637&gt;0),ATAN2(G637,H637),$M$4)</f>
        <v>-1.47156723829445</v>
      </c>
      <c r="N637" s="397" t="n">
        <f aca="false">DEGREES(Beta)</f>
        <v>-84.3145920239942</v>
      </c>
      <c r="P637" s="399" t="n">
        <f aca="false">MATCH(t-pas/2-T_ini,CdP_t)</f>
        <v>23</v>
      </c>
      <c r="Q637" s="397" t="n">
        <f aca="false">(INDEX(CdP,2,i_P+1)-INDEX(CdP,2,i_P+0))/(INDEX(CdP,1,i_P+1)-INDEX(CdP,1,i_P+0))*(t-pas/2-T_ini-INDEX(CdP,1,i_P+0))+INDEX(CdP,2,i_P+0)</f>
        <v>0</v>
      </c>
      <c r="R637" s="396" t="n">
        <f aca="false">Poussee/(g*ISP)</f>
        <v>0</v>
      </c>
      <c r="S637" s="398" t="n">
        <f aca="false">S636-Débit*pas</f>
        <v>8.45</v>
      </c>
      <c r="T637" s="397" t="n">
        <f aca="false">m*g</f>
        <v>82.8945</v>
      </c>
      <c r="U637" s="400" t="n">
        <f aca="false">IF(pos_xz&lt;L_rampe,Poids*COS(Beta),0)</f>
        <v>0</v>
      </c>
      <c r="V637" s="396" t="n">
        <f aca="false">Rho_moyen*(20000-Alt_rampe-pos_z)/(20000+Alt_rampe+pos_z)</f>
        <v>1.22624125038402</v>
      </c>
      <c r="W637" s="397" t="n">
        <f aca="false">1/2*Rho*Sref*Cx*vit_xz^2</f>
        <v>62.0465705876833</v>
      </c>
      <c r="Y637" s="401" t="str">
        <f aca="false">IF(AND(pos_z&lt;=0,K636&gt;0),"Impact balistique","") &amp; IF(AND(H638&lt;0,vit_z&gt;=0),"Apogée","") &amp; IF(AND(Poussee=0,Q636&gt;0),"Fin de propulsion","") &amp; IF(AND(L638&gt;L_rampe,pos_xz&lt;=L_rampe),"Sortie de rampe","")</f>
        <v/>
      </c>
      <c r="Z637" s="402" t="str">
        <f aca="false">IF(ABS(t-T_para)&lt;pas/2,"Para","")</f>
        <v/>
      </c>
      <c r="AA637" s="403" t="str">
        <f aca="false">IF(ABS(t-T_satellite)&lt;pas/2,"Satellite","")</f>
        <v/>
      </c>
      <c r="AC637" s="399" t="e">
        <f aca="false">IF(ABS(t-ROUND(t,0))&lt;0.001,t,NA())</f>
        <v>#N/A</v>
      </c>
      <c r="AD637" s="404" t="e">
        <f aca="false">IF(ABS(t-ROUND(t,0))&lt;0.001,pos_x,NA())</f>
        <v>#N/A</v>
      </c>
      <c r="AE637" s="405" t="e">
        <f aca="false">IF(t&lt;T_para, pos_z, NA())</f>
        <v>#N/A</v>
      </c>
      <c r="AG637" s="396" t="n">
        <f aca="false">IF(AND(L636&lt;L_rampe,Poussee&lt;Poids*SIN(M636)),0,(-W636+Poussee)/m-Poids*SIN(M636)/m)</f>
        <v>2.41899183976644</v>
      </c>
      <c r="AH637" s="397" t="n">
        <f aca="false">IF(AND(L636&lt;L_rampe,Poussee&lt;Poids*SIN(M636)), g*SIN(M636), (-W636+Poussee)/m)</f>
        <v>-7.34275031091152</v>
      </c>
    </row>
    <row r="638" customFormat="false" ht="12.75" hidden="false" customHeight="false" outlineLevel="0" collapsed="false">
      <c r="A638" s="396" t="n">
        <f aca="false">IF(B637+0.01&lt;=T_ini+ROUNDUP(Temps_fin_propu,0), 0.01, IF(K637&gt;0, 0.1, 0.0001))</f>
        <v>0.0001</v>
      </c>
      <c r="B638" s="397" t="n">
        <f aca="false">B637+pas</f>
        <v>32.1133000000006</v>
      </c>
      <c r="D638" s="396" t="n">
        <f aca="false">IF(AND(L637&lt;L_rampe,Poussee&lt;Poids*SIN(M637)),0,(-W637+Poussee)/m*COS(M637)-U637/m*SIN(M637))</f>
        <v>-0.727423176936027</v>
      </c>
      <c r="E638" s="398" t="n">
        <f aca="false">IF(AND(L637&lt;L_rampe,Poussee&lt;Poids*SIN(M637)),0,(-W637+Poussee)/m*SIN(M637)+U637/m*COS(M637)-Poids/m)</f>
        <v>-2.50333099364338</v>
      </c>
      <c r="F638" s="397" t="n">
        <f aca="false">SQRT(acc_x^2+acc_z^2)</f>
        <v>2.60687754642968</v>
      </c>
      <c r="G638" s="396" t="n">
        <f aca="false">G637+acc_x*pas</f>
        <v>11.4876307592414</v>
      </c>
      <c r="H638" s="398" t="n">
        <f aca="false">H637+acc_z*pas</f>
        <v>-115.389544749873</v>
      </c>
      <c r="I638" s="397" t="n">
        <f aca="false">SQRT(vit_x^2+vit_z^2)</f>
        <v>115.959961616256</v>
      </c>
      <c r="J638" s="396" t="n">
        <f aca="false">J637+0.5*(vit_x+G637)*pas*(K637&gt;=0)</f>
        <v>690.928492655337</v>
      </c>
      <c r="K638" s="398" t="n">
        <f aca="false">K637+0.5*(vit_z+H637)*pas</f>
        <v>-10.1390642014502</v>
      </c>
      <c r="L638" s="397" t="n">
        <f aca="false">SQRT(pos_x^2+pos_z^2)</f>
        <v>691.002881749314</v>
      </c>
      <c r="M638" s="396" t="n">
        <f aca="false">IF(AND(L637&gt;L_rampe,G638&gt;0),ATAN2(G638,H638),$M$4)</f>
        <v>-1.4715680763774</v>
      </c>
      <c r="N638" s="397" t="n">
        <f aca="false">DEGREES(Beta)</f>
        <v>-84.3146400426101</v>
      </c>
      <c r="P638" s="399" t="n">
        <f aca="false">MATCH(t-pas/2-T_ini,CdP_t)</f>
        <v>23</v>
      </c>
      <c r="Q638" s="397" t="n">
        <f aca="false">(INDEX(CdP,2,i_P+1)-INDEX(CdP,2,i_P+0))/(INDEX(CdP,1,i_P+1)-INDEX(CdP,1,i_P+0))*(t-pas/2-T_ini-INDEX(CdP,1,i_P+0))+INDEX(CdP,2,i_P+0)</f>
        <v>0</v>
      </c>
      <c r="R638" s="396" t="n">
        <f aca="false">Poussee/(g*ISP)</f>
        <v>0</v>
      </c>
      <c r="S638" s="398" t="n">
        <f aca="false">S637-Débit*pas</f>
        <v>8.45</v>
      </c>
      <c r="T638" s="397" t="n">
        <f aca="false">m*g</f>
        <v>82.8945</v>
      </c>
      <c r="U638" s="400" t="n">
        <f aca="false">IF(pos_xz&lt;L_rampe,Poids*COS(Beta),0)</f>
        <v>0</v>
      </c>
      <c r="V638" s="396" t="n">
        <f aca="false">Rho_moyen*(20000-Alt_rampe-pos_z)/(20000+Alt_rampe+pos_z)</f>
        <v>1.22624266533786</v>
      </c>
      <c r="W638" s="397" t="n">
        <f aca="false">1/2*Rho*Sref*Cx*vit_xz^2</f>
        <v>62.0469010454417</v>
      </c>
      <c r="Y638" s="401" t="str">
        <f aca="false">IF(AND(pos_z&lt;=0,K637&gt;0),"Impact balistique","") &amp; IF(AND(H639&lt;0,vit_z&gt;=0),"Apogée","") &amp; IF(AND(Poussee=0,Q637&gt;0),"Fin de propulsion","") &amp; IF(AND(L639&gt;L_rampe,pos_xz&lt;=L_rampe),"Sortie de rampe","")</f>
        <v/>
      </c>
      <c r="Z638" s="402" t="str">
        <f aca="false">IF(ABS(t-T_para)&lt;pas/2,"Para","")</f>
        <v/>
      </c>
      <c r="AA638" s="403" t="str">
        <f aca="false">IF(ABS(t-T_satellite)&lt;pas/2,"Satellite","")</f>
        <v/>
      </c>
      <c r="AC638" s="399" t="e">
        <f aca="false">IF(ABS(t-ROUND(t,0))&lt;0.001,t,NA())</f>
        <v>#N/A</v>
      </c>
      <c r="AD638" s="404" t="e">
        <f aca="false">IF(ABS(t-ROUND(t,0))&lt;0.001,pos_x,NA())</f>
        <v>#N/A</v>
      </c>
      <c r="AE638" s="405" t="e">
        <f aca="false">IF(t&lt;T_para, pos_z, NA())</f>
        <v>#N/A</v>
      </c>
      <c r="AG638" s="396" t="n">
        <f aca="false">IF(AND(L637&lt;L_rampe,Poussee&lt;Poids*SIN(M637)),0,(-W637+Poussee)/m-Poids*SIN(M637)/m)</f>
        <v>2.41895354651228</v>
      </c>
      <c r="AH638" s="397" t="n">
        <f aca="false">IF(AND(L637&lt;L_rampe,Poussee&lt;Poids*SIN(M637)), g*SIN(M637), (-W637+Poussee)/m)</f>
        <v>-7.34278941866075</v>
      </c>
    </row>
    <row r="639" customFormat="false" ht="12.75" hidden="false" customHeight="false" outlineLevel="0" collapsed="false">
      <c r="A639" s="396" t="n">
        <f aca="false">IF(B638+0.01&lt;=T_ini+ROUNDUP(Temps_fin_propu,0), 0.01, IF(K638&gt;0, 0.1, 0.0001))</f>
        <v>0.0001</v>
      </c>
      <c r="B639" s="397" t="n">
        <f aca="false">B638+pas</f>
        <v>32.1134000000006</v>
      </c>
      <c r="D639" s="396" t="n">
        <f aca="false">IF(AND(L638&lt;L_rampe,Poussee&lt;Poids*SIN(M638)),0,(-W638+Poussee)/m*COS(M638)-U638/m*SIN(M638))</f>
        <v>-0.727420927537594</v>
      </c>
      <c r="E639" s="398" t="n">
        <f aca="false">IF(AND(L638&lt;L_rampe,Poussee&lt;Poids*SIN(M638)),0,(-W638+Poussee)/m*SIN(M638)+U638/m*COS(M638)-Poids/m)</f>
        <v>-2.50329146895069</v>
      </c>
      <c r="F639" s="397" t="n">
        <f aca="false">SQRT(acc_x^2+acc_z^2)</f>
        <v>2.60683896402155</v>
      </c>
      <c r="G639" s="396" t="n">
        <f aca="false">G638+acc_x*pas</f>
        <v>11.4875580171486</v>
      </c>
      <c r="H639" s="398" t="n">
        <f aca="false">H638+acc_z*pas</f>
        <v>-115.38979507902</v>
      </c>
      <c r="I639" s="397" t="n">
        <f aca="false">SQRT(vit_x^2+vit_z^2)</f>
        <v>115.960203507822</v>
      </c>
      <c r="J639" s="396" t="n">
        <f aca="false">J638+0.5*(vit_x+G638)*pas*(K638&gt;=0)</f>
        <v>690.928492655337</v>
      </c>
      <c r="K639" s="398" t="n">
        <f aca="false">K638+0.5*(vit_z+H638)*pas</f>
        <v>-10.1506031684417</v>
      </c>
      <c r="L639" s="397" t="n">
        <f aca="false">SQRT(pos_x^2+pos_z^2)</f>
        <v>691.003051156548</v>
      </c>
      <c r="M639" s="396" t="n">
        <f aca="false">IF(AND(L638&gt;L_rampe,G639&gt;0),ATAN2(G639,H639),$M$4)</f>
        <v>-1.47156891445155</v>
      </c>
      <c r="N639" s="397" t="n">
        <f aca="false">DEGREES(Beta)</f>
        <v>-84.3146880607216</v>
      </c>
      <c r="P639" s="399" t="n">
        <f aca="false">MATCH(t-pas/2-T_ini,CdP_t)</f>
        <v>23</v>
      </c>
      <c r="Q639" s="397" t="n">
        <f aca="false">(INDEX(CdP,2,i_P+1)-INDEX(CdP,2,i_P+0))/(INDEX(CdP,1,i_P+1)-INDEX(CdP,1,i_P+0))*(t-pas/2-T_ini-INDEX(CdP,1,i_P+0))+INDEX(CdP,2,i_P+0)</f>
        <v>0</v>
      </c>
      <c r="R639" s="396" t="n">
        <f aca="false">Poussee/(g*ISP)</f>
        <v>0</v>
      </c>
      <c r="S639" s="398" t="n">
        <f aca="false">S638-Débit*pas</f>
        <v>8.45</v>
      </c>
      <c r="T639" s="397" t="n">
        <f aca="false">m*g</f>
        <v>82.8945</v>
      </c>
      <c r="U639" s="400" t="n">
        <f aca="false">IF(pos_xz&lt;L_rampe,Poids*COS(Beta),0)</f>
        <v>0</v>
      </c>
      <c r="V639" s="396" t="n">
        <f aca="false">Rho_moyen*(20000-Alt_rampe-pos_z)/(20000+Alt_rampe+pos_z)</f>
        <v>1.2262440802964</v>
      </c>
      <c r="W639" s="397" t="n">
        <f aca="false">1/2*Rho*Sref*Cx*vit_xz^2</f>
        <v>62.0472315004777</v>
      </c>
      <c r="Y639" s="401" t="str">
        <f aca="false">IF(AND(pos_z&lt;=0,K638&gt;0),"Impact balistique","") &amp; IF(AND(H640&lt;0,vit_z&gt;=0),"Apogée","") &amp; IF(AND(Poussee=0,Q638&gt;0),"Fin de propulsion","") &amp; IF(AND(L640&gt;L_rampe,pos_xz&lt;=L_rampe),"Sortie de rampe","")</f>
        <v/>
      </c>
      <c r="Z639" s="402" t="str">
        <f aca="false">IF(ABS(t-T_para)&lt;pas/2,"Para","")</f>
        <v/>
      </c>
      <c r="AA639" s="403" t="str">
        <f aca="false">IF(ABS(t-T_satellite)&lt;pas/2,"Satellite","")</f>
        <v/>
      </c>
      <c r="AC639" s="399" t="e">
        <f aca="false">IF(ABS(t-ROUND(t,0))&lt;0.001,t,NA())</f>
        <v>#N/A</v>
      </c>
      <c r="AD639" s="404" t="e">
        <f aca="false">IF(ABS(t-ROUND(t,0))&lt;0.001,pos_x,NA())</f>
        <v>#N/A</v>
      </c>
      <c r="AE639" s="405" t="e">
        <f aca="false">IF(t&lt;T_para, pos_z, NA())</f>
        <v>#N/A</v>
      </c>
      <c r="AG639" s="396" t="n">
        <f aca="false">IF(AND(L638&lt;L_rampe,Poussee&lt;Poids*SIN(M638)),0,(-W638+Poussee)/m-Poids*SIN(M638)/m)</f>
        <v>2.41891525356491</v>
      </c>
      <c r="AH639" s="397" t="n">
        <f aca="false">IF(AND(L638&lt;L_rampe,Poussee&lt;Poids*SIN(M638)), g*SIN(M638), (-W638+Poussee)/m)</f>
        <v>-7.34282852608778</v>
      </c>
    </row>
    <row r="640" customFormat="false" ht="12.75" hidden="false" customHeight="false" outlineLevel="0" collapsed="false">
      <c r="A640" s="396" t="n">
        <f aca="false">IF(B639+0.01&lt;=T_ini+ROUNDUP(Temps_fin_propu,0), 0.01, IF(K639&gt;0, 0.1, 0.0001))</f>
        <v>0.0001</v>
      </c>
      <c r="B640" s="397" t="n">
        <f aca="false">B639+pas</f>
        <v>32.1135000000006</v>
      </c>
      <c r="D640" s="396" t="n">
        <f aca="false">IF(AND(L639&lt;L_rampe,Poussee&lt;Poids*SIN(M639)),0,(-W639+Poussee)/m*COS(M639)-U639/m*SIN(M639))</f>
        <v>-0.727418678105829</v>
      </c>
      <c r="E640" s="398" t="n">
        <f aca="false">IF(AND(L639&lt;L_rampe,Poussee&lt;Poids*SIN(M639)),0,(-W639+Poussee)/m*SIN(M639)+U639/m*COS(M639)-Poids/m)</f>
        <v>-2.50325194458365</v>
      </c>
      <c r="F640" s="397" t="n">
        <f aca="false">SQRT(acc_x^2+acc_z^2)</f>
        <v>2.60680038194701</v>
      </c>
      <c r="G640" s="396" t="n">
        <f aca="false">G639+acc_x*pas</f>
        <v>11.4874852752808</v>
      </c>
      <c r="H640" s="398" t="n">
        <f aca="false">H639+acc_z*pas</f>
        <v>-115.390045404215</v>
      </c>
      <c r="I640" s="397" t="n">
        <f aca="false">SQRT(vit_x^2+vit_z^2)</f>
        <v>115.960445395559</v>
      </c>
      <c r="J640" s="396" t="n">
        <f aca="false">J639+0.5*(vit_x+G639)*pas*(K639&gt;=0)</f>
        <v>690.928492655337</v>
      </c>
      <c r="K640" s="398" t="n">
        <f aca="false">K639+0.5*(vit_z+H639)*pas</f>
        <v>-10.1621421604658</v>
      </c>
      <c r="L640" s="397" t="n">
        <f aca="false">SQRT(pos_x^2+pos_z^2)</f>
        <v>691.003220756796</v>
      </c>
      <c r="M640" s="396" t="n">
        <f aca="false">IF(AND(L639&gt;L_rampe,G640&gt;0),ATAN2(G640,H640),$M$4)</f>
        <v>-1.47156975251689</v>
      </c>
      <c r="N640" s="397" t="n">
        <f aca="false">DEGREES(Beta)</f>
        <v>-84.3147360783288</v>
      </c>
      <c r="P640" s="399" t="n">
        <f aca="false">MATCH(t-pas/2-T_ini,CdP_t)</f>
        <v>23</v>
      </c>
      <c r="Q640" s="397" t="n">
        <f aca="false">(INDEX(CdP,2,i_P+1)-INDEX(CdP,2,i_P+0))/(INDEX(CdP,1,i_P+1)-INDEX(CdP,1,i_P+0))*(t-pas/2-T_ini-INDEX(CdP,1,i_P+0))+INDEX(CdP,2,i_P+0)</f>
        <v>0</v>
      </c>
      <c r="R640" s="396" t="n">
        <f aca="false">Poussee/(g*ISP)</f>
        <v>0</v>
      </c>
      <c r="S640" s="398" t="n">
        <f aca="false">S639-Débit*pas</f>
        <v>8.45</v>
      </c>
      <c r="T640" s="397" t="n">
        <f aca="false">m*g</f>
        <v>82.8945</v>
      </c>
      <c r="U640" s="400" t="n">
        <f aca="false">IF(pos_xz&lt;L_rampe,Poids*COS(Beta),0)</f>
        <v>0</v>
      </c>
      <c r="V640" s="396" t="n">
        <f aca="false">Rho_moyen*(20000-Alt_rampe-pos_z)/(20000+Alt_rampe+pos_z)</f>
        <v>1.22624549525965</v>
      </c>
      <c r="W640" s="397" t="n">
        <f aca="false">1/2*Rho*Sref*Cx*vit_xz^2</f>
        <v>62.0475619527911</v>
      </c>
      <c r="Y640" s="401" t="str">
        <f aca="false">IF(AND(pos_z&lt;=0,K639&gt;0),"Impact balistique","") &amp; IF(AND(H641&lt;0,vit_z&gt;=0),"Apogée","") &amp; IF(AND(Poussee=0,Q639&gt;0),"Fin de propulsion","") &amp; IF(AND(L641&gt;L_rampe,pos_xz&lt;=L_rampe),"Sortie de rampe","")</f>
        <v/>
      </c>
      <c r="Z640" s="402" t="str">
        <f aca="false">IF(ABS(t-T_para)&lt;pas/2,"Para","")</f>
        <v/>
      </c>
      <c r="AA640" s="403" t="str">
        <f aca="false">IF(ABS(t-T_satellite)&lt;pas/2,"Satellite","")</f>
        <v/>
      </c>
      <c r="AC640" s="399" t="e">
        <f aca="false">IF(ABS(t-ROUND(t,0))&lt;0.001,t,NA())</f>
        <v>#N/A</v>
      </c>
      <c r="AD640" s="404" t="e">
        <f aca="false">IF(ABS(t-ROUND(t,0))&lt;0.001,pos_x,NA())</f>
        <v>#N/A</v>
      </c>
      <c r="AE640" s="405" t="e">
        <f aca="false">IF(t&lt;T_para, pos_z, NA())</f>
        <v>#N/A</v>
      </c>
      <c r="AG640" s="396" t="n">
        <f aca="false">IF(AND(L639&lt;L_rampe,Poussee&lt;Poids*SIN(M639)),0,(-W639+Poussee)/m-Poids*SIN(M639)/m)</f>
        <v>2.41887696092432</v>
      </c>
      <c r="AH640" s="397" t="n">
        <f aca="false">IF(AND(L639&lt;L_rampe,Poussee&lt;Poids*SIN(M639)), g*SIN(M639), (-W639+Poussee)/m)</f>
        <v>-7.34286763319263</v>
      </c>
    </row>
    <row r="641" customFormat="false" ht="12.75" hidden="false" customHeight="false" outlineLevel="0" collapsed="false">
      <c r="A641" s="396" t="n">
        <f aca="false">IF(B640+0.01&lt;=T_ini+ROUNDUP(Temps_fin_propu,0), 0.01, IF(K640&gt;0, 0.1, 0.0001))</f>
        <v>0.0001</v>
      </c>
      <c r="B641" s="397" t="n">
        <f aca="false">B640+pas</f>
        <v>32.1136000000006</v>
      </c>
      <c r="D641" s="396" t="n">
        <f aca="false">IF(AND(L640&lt;L_rampe,Poussee&lt;Poids*SIN(M640)),0,(-W640+Poussee)/m*COS(M640)-U640/m*SIN(M640))</f>
        <v>-0.727416428640731</v>
      </c>
      <c r="E641" s="398" t="n">
        <f aca="false">IF(AND(L640&lt;L_rampe,Poussee&lt;Poids*SIN(M640)),0,(-W640+Poussee)/m*SIN(M640)+U640/m*COS(M640)-Poids/m)</f>
        <v>-2.50321242054226</v>
      </c>
      <c r="F641" s="397" t="n">
        <f aca="false">SQRT(acc_x^2+acc_z^2)</f>
        <v>2.60676180020605</v>
      </c>
      <c r="G641" s="396" t="n">
        <f aca="false">G640+acc_x*pas</f>
        <v>11.4874125336379</v>
      </c>
      <c r="H641" s="398" t="n">
        <f aca="false">H640+acc_z*pas</f>
        <v>-115.390295725457</v>
      </c>
      <c r="I641" s="397" t="n">
        <f aca="false">SQRT(vit_x^2+vit_z^2)</f>
        <v>115.960687279467</v>
      </c>
      <c r="J641" s="396" t="n">
        <f aca="false">J640+0.5*(vit_x+G640)*pas*(K640&gt;=0)</f>
        <v>690.928492655337</v>
      </c>
      <c r="K641" s="398" t="n">
        <f aca="false">K640+0.5*(vit_z+H640)*pas</f>
        <v>-10.1736811775223</v>
      </c>
      <c r="L641" s="397" t="n">
        <f aca="false">SQRT(pos_x^2+pos_z^2)</f>
        <v>691.003390550059</v>
      </c>
      <c r="M641" s="396" t="n">
        <f aca="false">IF(AND(L640&gt;L_rampe,G641&gt;0),ATAN2(G641,H641),$M$4)</f>
        <v>-1.47157059057343</v>
      </c>
      <c r="N641" s="397" t="n">
        <f aca="false">DEGREES(Beta)</f>
        <v>-84.3147840954315</v>
      </c>
      <c r="P641" s="399" t="n">
        <f aca="false">MATCH(t-pas/2-T_ini,CdP_t)</f>
        <v>23</v>
      </c>
      <c r="Q641" s="397" t="n">
        <f aca="false">(INDEX(CdP,2,i_P+1)-INDEX(CdP,2,i_P+0))/(INDEX(CdP,1,i_P+1)-INDEX(CdP,1,i_P+0))*(t-pas/2-T_ini-INDEX(CdP,1,i_P+0))+INDEX(CdP,2,i_P+0)</f>
        <v>0</v>
      </c>
      <c r="R641" s="396" t="n">
        <f aca="false">Poussee/(g*ISP)</f>
        <v>0</v>
      </c>
      <c r="S641" s="398" t="n">
        <f aca="false">S640-Débit*pas</f>
        <v>8.45</v>
      </c>
      <c r="T641" s="397" t="n">
        <f aca="false">m*g</f>
        <v>82.8945</v>
      </c>
      <c r="U641" s="400" t="n">
        <f aca="false">IF(pos_xz&lt;L_rampe,Poids*COS(Beta),0)</f>
        <v>0</v>
      </c>
      <c r="V641" s="396" t="n">
        <f aca="false">Rho_moyen*(20000-Alt_rampe-pos_z)/(20000+Alt_rampe+pos_z)</f>
        <v>1.2262469102276</v>
      </c>
      <c r="W641" s="397" t="n">
        <f aca="false">1/2*Rho*Sref*Cx*vit_xz^2</f>
        <v>62.0478924023819</v>
      </c>
      <c r="Y641" s="401" t="str">
        <f aca="false">IF(AND(pos_z&lt;=0,K640&gt;0),"Impact balistique","") &amp; IF(AND(H642&lt;0,vit_z&gt;=0),"Apogée","") &amp; IF(AND(Poussee=0,Q640&gt;0),"Fin de propulsion","") &amp; IF(AND(L642&gt;L_rampe,pos_xz&lt;=L_rampe),"Sortie de rampe","")</f>
        <v/>
      </c>
      <c r="Z641" s="402" t="str">
        <f aca="false">IF(ABS(t-T_para)&lt;pas/2,"Para","")</f>
        <v/>
      </c>
      <c r="AA641" s="403" t="str">
        <f aca="false">IF(ABS(t-T_satellite)&lt;pas/2,"Satellite","")</f>
        <v/>
      </c>
      <c r="AC641" s="399" t="e">
        <f aca="false">IF(ABS(t-ROUND(t,0))&lt;0.001,t,NA())</f>
        <v>#N/A</v>
      </c>
      <c r="AD641" s="404" t="e">
        <f aca="false">IF(ABS(t-ROUND(t,0))&lt;0.001,pos_x,NA())</f>
        <v>#N/A</v>
      </c>
      <c r="AE641" s="405" t="e">
        <f aca="false">IF(t&lt;T_para, pos_z, NA())</f>
        <v>#N/A</v>
      </c>
      <c r="AG641" s="396" t="n">
        <f aca="false">IF(AND(L640&lt;L_rampe,Poussee&lt;Poids*SIN(M640)),0,(-W640+Poussee)/m-Poids*SIN(M640)/m)</f>
        <v>2.41883866859051</v>
      </c>
      <c r="AH641" s="397" t="n">
        <f aca="false">IF(AND(L640&lt;L_rampe,Poussee&lt;Poids*SIN(M640)), g*SIN(M640), (-W640+Poussee)/m)</f>
        <v>-7.34290673997528</v>
      </c>
    </row>
    <row r="642" customFormat="false" ht="12.75" hidden="false" customHeight="false" outlineLevel="0" collapsed="false">
      <c r="A642" s="396" t="n">
        <f aca="false">IF(B641+0.01&lt;=T_ini+ROUNDUP(Temps_fin_propu,0), 0.01, IF(K641&gt;0, 0.1, 0.0001))</f>
        <v>0.0001</v>
      </c>
      <c r="B642" s="397" t="n">
        <f aca="false">B641+pas</f>
        <v>32.1137000000006</v>
      </c>
      <c r="D642" s="396" t="n">
        <f aca="false">IF(AND(L641&lt;L_rampe,Poussee&lt;Poids*SIN(M641)),0,(-W641+Poussee)/m*COS(M641)-U641/m*SIN(M641))</f>
        <v>-0.727414179142301</v>
      </c>
      <c r="E642" s="398" t="n">
        <f aca="false">IF(AND(L641&lt;L_rampe,Poussee&lt;Poids*SIN(M641)),0,(-W641+Poussee)/m*SIN(M641)+U641/m*COS(M641)-Poids/m)</f>
        <v>-2.50317289682652</v>
      </c>
      <c r="F642" s="397" t="n">
        <f aca="false">SQRT(acc_x^2+acc_z^2)</f>
        <v>2.60672321879868</v>
      </c>
      <c r="G642" s="396" t="n">
        <f aca="false">G641+acc_x*pas</f>
        <v>11.48733979222</v>
      </c>
      <c r="H642" s="398" t="n">
        <f aca="false">H641+acc_z*pas</f>
        <v>-115.390546042746</v>
      </c>
      <c r="I642" s="397" t="n">
        <f aca="false">SQRT(vit_x^2+vit_z^2)</f>
        <v>115.960929159545</v>
      </c>
      <c r="J642" s="396" t="n">
        <f aca="false">J641+0.5*(vit_x+G641)*pas*(K641&gt;=0)</f>
        <v>690.928492655337</v>
      </c>
      <c r="K642" s="398" t="n">
        <f aca="false">K641+0.5*(vit_z+H641)*pas</f>
        <v>-10.1852202196107</v>
      </c>
      <c r="L642" s="397" t="n">
        <f aca="false">SQRT(pos_x^2+pos_z^2)</f>
        <v>691.003560536339</v>
      </c>
      <c r="M642" s="396" t="n">
        <f aca="false">IF(AND(L641&gt;L_rampe,G642&gt;0),ATAN2(G642,H642),$M$4)</f>
        <v>-1.47157142862117</v>
      </c>
      <c r="N642" s="397" t="n">
        <f aca="false">DEGREES(Beta)</f>
        <v>-84.3148321120299</v>
      </c>
      <c r="P642" s="399" t="n">
        <f aca="false">MATCH(t-pas/2-T_ini,CdP_t)</f>
        <v>23</v>
      </c>
      <c r="Q642" s="397" t="n">
        <f aca="false">(INDEX(CdP,2,i_P+1)-INDEX(CdP,2,i_P+0))/(INDEX(CdP,1,i_P+1)-INDEX(CdP,1,i_P+0))*(t-pas/2-T_ini-INDEX(CdP,1,i_P+0))+INDEX(CdP,2,i_P+0)</f>
        <v>0</v>
      </c>
      <c r="R642" s="396" t="n">
        <f aca="false">Poussee/(g*ISP)</f>
        <v>0</v>
      </c>
      <c r="S642" s="398" t="n">
        <f aca="false">S641-Débit*pas</f>
        <v>8.45</v>
      </c>
      <c r="T642" s="397" t="n">
        <f aca="false">m*g</f>
        <v>82.8945</v>
      </c>
      <c r="U642" s="400" t="n">
        <f aca="false">IF(pos_xz&lt;L_rampe,Poids*COS(Beta),0)</f>
        <v>0</v>
      </c>
      <c r="V642" s="396" t="n">
        <f aca="false">Rho_moyen*(20000-Alt_rampe-pos_z)/(20000+Alt_rampe+pos_z)</f>
        <v>1.22624832520026</v>
      </c>
      <c r="W642" s="397" t="n">
        <f aca="false">1/2*Rho*Sref*Cx*vit_xz^2</f>
        <v>62.0482228492502</v>
      </c>
      <c r="Y642" s="401" t="str">
        <f aca="false">IF(AND(pos_z&lt;=0,K641&gt;0),"Impact balistique","") &amp; IF(AND(H643&lt;0,vit_z&gt;=0),"Apogée","") &amp; IF(AND(Poussee=0,Q641&gt;0),"Fin de propulsion","") &amp; IF(AND(L643&gt;L_rampe,pos_xz&lt;=L_rampe),"Sortie de rampe","")</f>
        <v/>
      </c>
      <c r="Z642" s="402" t="str">
        <f aca="false">IF(ABS(t-T_para)&lt;pas/2,"Para","")</f>
        <v/>
      </c>
      <c r="AA642" s="403" t="str">
        <f aca="false">IF(ABS(t-T_satellite)&lt;pas/2,"Satellite","")</f>
        <v/>
      </c>
      <c r="AC642" s="399" t="e">
        <f aca="false">IF(ABS(t-ROUND(t,0))&lt;0.001,t,NA())</f>
        <v>#N/A</v>
      </c>
      <c r="AD642" s="404" t="e">
        <f aca="false">IF(ABS(t-ROUND(t,0))&lt;0.001,pos_x,NA())</f>
        <v>#N/A</v>
      </c>
      <c r="AE642" s="405" t="e">
        <f aca="false">IF(t&lt;T_para, pos_z, NA())</f>
        <v>#N/A</v>
      </c>
      <c r="AG642" s="396" t="n">
        <f aca="false">IF(AND(L641&lt;L_rampe,Poussee&lt;Poids*SIN(M641)),0,(-W641+Poussee)/m-Poids*SIN(M641)/m)</f>
        <v>2.41880037656348</v>
      </c>
      <c r="AH642" s="397" t="n">
        <f aca="false">IF(AND(L641&lt;L_rampe,Poussee&lt;Poids*SIN(M641)), g*SIN(M641), (-W641+Poussee)/m)</f>
        <v>-7.34294584643573</v>
      </c>
    </row>
    <row r="643" customFormat="false" ht="12.75" hidden="false" customHeight="false" outlineLevel="0" collapsed="false">
      <c r="A643" s="396" t="n">
        <f aca="false">IF(B642+0.01&lt;=T_ini+ROUNDUP(Temps_fin_propu,0), 0.01, IF(K642&gt;0, 0.1, 0.0001))</f>
        <v>0.0001</v>
      </c>
      <c r="B643" s="397" t="n">
        <f aca="false">B642+pas</f>
        <v>32.1138000000006</v>
      </c>
      <c r="D643" s="396" t="n">
        <f aca="false">IF(AND(L642&lt;L_rampe,Poussee&lt;Poids*SIN(M642)),0,(-W642+Poussee)/m*COS(M642)-U642/m*SIN(M642))</f>
        <v>-0.727411929610541</v>
      </c>
      <c r="E643" s="398" t="n">
        <f aca="false">IF(AND(L642&lt;L_rampe,Poussee&lt;Poids*SIN(M642)),0,(-W642+Poussee)/m*SIN(M642)+U642/m*COS(M642)-Poids/m)</f>
        <v>-2.50313337343644</v>
      </c>
      <c r="F643" s="397" t="n">
        <f aca="false">SQRT(acc_x^2+acc_z^2)</f>
        <v>2.60668463772491</v>
      </c>
      <c r="G643" s="396" t="n">
        <f aca="false">G642+acc_x*pas</f>
        <v>11.4872670510271</v>
      </c>
      <c r="H643" s="398" t="n">
        <f aca="false">H642+acc_z*pas</f>
        <v>-115.390796356084</v>
      </c>
      <c r="I643" s="397" t="n">
        <f aca="false">SQRT(vit_x^2+vit_z^2)</f>
        <v>115.961171035794</v>
      </c>
      <c r="J643" s="396" t="n">
        <f aca="false">J642+0.5*(vit_x+G642)*pas*(K642&gt;=0)</f>
        <v>690.928492655337</v>
      </c>
      <c r="K643" s="398" t="n">
        <f aca="false">K642+0.5*(vit_z+H642)*pas</f>
        <v>-10.1967592867307</v>
      </c>
      <c r="L643" s="397" t="n">
        <f aca="false">SQRT(pos_x^2+pos_z^2)</f>
        <v>691.003730715636</v>
      </c>
      <c r="M643" s="396" t="n">
        <f aca="false">IF(AND(L642&gt;L_rampe,G643&gt;0),ATAN2(G643,H643),$M$4)</f>
        <v>-1.4715722666601</v>
      </c>
      <c r="N643" s="397" t="n">
        <f aca="false">DEGREES(Beta)</f>
        <v>-84.3148801281239</v>
      </c>
      <c r="P643" s="399" t="n">
        <f aca="false">MATCH(t-pas/2-T_ini,CdP_t)</f>
        <v>23</v>
      </c>
      <c r="Q643" s="397" t="n">
        <f aca="false">(INDEX(CdP,2,i_P+1)-INDEX(CdP,2,i_P+0))/(INDEX(CdP,1,i_P+1)-INDEX(CdP,1,i_P+0))*(t-pas/2-T_ini-INDEX(CdP,1,i_P+0))+INDEX(CdP,2,i_P+0)</f>
        <v>0</v>
      </c>
      <c r="R643" s="396" t="n">
        <f aca="false">Poussee/(g*ISP)</f>
        <v>0</v>
      </c>
      <c r="S643" s="398" t="n">
        <f aca="false">S642-Débit*pas</f>
        <v>8.45</v>
      </c>
      <c r="T643" s="397" t="n">
        <f aca="false">m*g</f>
        <v>82.8945</v>
      </c>
      <c r="U643" s="400" t="n">
        <f aca="false">IF(pos_xz&lt;L_rampe,Poids*COS(Beta),0)</f>
        <v>0</v>
      </c>
      <c r="V643" s="396" t="n">
        <f aca="false">Rho_moyen*(20000-Alt_rampe-pos_z)/(20000+Alt_rampe+pos_z)</f>
        <v>1.22624974017761</v>
      </c>
      <c r="W643" s="397" t="n">
        <f aca="false">1/2*Rho*Sref*Cx*vit_xz^2</f>
        <v>62.048553293396</v>
      </c>
      <c r="Y643" s="401" t="str">
        <f aca="false">IF(AND(pos_z&lt;=0,K642&gt;0),"Impact balistique","") &amp; IF(AND(H644&lt;0,vit_z&gt;=0),"Apogée","") &amp; IF(AND(Poussee=0,Q642&gt;0),"Fin de propulsion","") &amp; IF(AND(L644&gt;L_rampe,pos_xz&lt;=L_rampe),"Sortie de rampe","")</f>
        <v/>
      </c>
      <c r="Z643" s="402" t="str">
        <f aca="false">IF(ABS(t-T_para)&lt;pas/2,"Para","")</f>
        <v/>
      </c>
      <c r="AA643" s="403" t="str">
        <f aca="false">IF(ABS(t-T_satellite)&lt;pas/2,"Satellite","")</f>
        <v/>
      </c>
      <c r="AC643" s="399" t="e">
        <f aca="false">IF(ABS(t-ROUND(t,0))&lt;0.001,t,NA())</f>
        <v>#N/A</v>
      </c>
      <c r="AD643" s="404" t="e">
        <f aca="false">IF(ABS(t-ROUND(t,0))&lt;0.001,pos_x,NA())</f>
        <v>#N/A</v>
      </c>
      <c r="AE643" s="405" t="e">
        <f aca="false">IF(t&lt;T_para, pos_z, NA())</f>
        <v>#N/A</v>
      </c>
      <c r="AG643" s="396" t="n">
        <f aca="false">IF(AND(L642&lt;L_rampe,Poussee&lt;Poids*SIN(M642)),0,(-W642+Poussee)/m-Poids*SIN(M642)/m)</f>
        <v>2.41876208484324</v>
      </c>
      <c r="AH643" s="397" t="n">
        <f aca="false">IF(AND(L642&lt;L_rampe,Poussee&lt;Poids*SIN(M642)), g*SIN(M642), (-W642+Poussee)/m)</f>
        <v>-7.34298495257399</v>
      </c>
    </row>
    <row r="644" customFormat="false" ht="12.75" hidden="false" customHeight="false" outlineLevel="0" collapsed="false">
      <c r="A644" s="396" t="n">
        <f aca="false">IF(B643+0.01&lt;=T_ini+ROUNDUP(Temps_fin_propu,0), 0.01, IF(K643&gt;0, 0.1, 0.0001))</f>
        <v>0.0001</v>
      </c>
      <c r="B644" s="397" t="n">
        <f aca="false">B643+pas</f>
        <v>32.1139000000007</v>
      </c>
      <c r="D644" s="396" t="n">
        <f aca="false">IF(AND(L643&lt;L_rampe,Poussee&lt;Poids*SIN(M643)),0,(-W643+Poussee)/m*COS(M643)-U643/m*SIN(M643))</f>
        <v>-0.727409680045453</v>
      </c>
      <c r="E644" s="398" t="n">
        <f aca="false">IF(AND(L643&lt;L_rampe,Poussee&lt;Poids*SIN(M643)),0,(-W643+Poussee)/m*SIN(M643)+U643/m*COS(M643)-Poids/m)</f>
        <v>-2.50309385037201</v>
      </c>
      <c r="F644" s="397" t="n">
        <f aca="false">SQRT(acc_x^2+acc_z^2)</f>
        <v>2.60664605698472</v>
      </c>
      <c r="G644" s="396" t="n">
        <f aca="false">G643+acc_x*pas</f>
        <v>11.4871943100591</v>
      </c>
      <c r="H644" s="398" t="n">
        <f aca="false">H643+acc_z*pas</f>
        <v>-115.391046665469</v>
      </c>
      <c r="I644" s="397" t="n">
        <f aca="false">SQRT(vit_x^2+vit_z^2)</f>
        <v>115.961412908215</v>
      </c>
      <c r="J644" s="396" t="n">
        <f aca="false">J643+0.5*(vit_x+G643)*pas*(K643&gt;=0)</f>
        <v>690.928492655337</v>
      </c>
      <c r="K644" s="398" t="n">
        <f aca="false">K643+0.5*(vit_z+H643)*pas</f>
        <v>-10.2082983788818</v>
      </c>
      <c r="L644" s="397" t="n">
        <f aca="false">SQRT(pos_x^2+pos_z^2)</f>
        <v>691.003901087952</v>
      </c>
      <c r="M644" s="396" t="n">
        <f aca="false">IF(AND(L643&gt;L_rampe,G644&gt;0),ATAN2(G644,H644),$M$4)</f>
        <v>-1.47157310469023</v>
      </c>
      <c r="N644" s="397" t="n">
        <f aca="false">DEGREES(Beta)</f>
        <v>-84.3149281437135</v>
      </c>
      <c r="P644" s="399" t="n">
        <f aca="false">MATCH(t-pas/2-T_ini,CdP_t)</f>
        <v>23</v>
      </c>
      <c r="Q644" s="397" t="n">
        <f aca="false">(INDEX(CdP,2,i_P+1)-INDEX(CdP,2,i_P+0))/(INDEX(CdP,1,i_P+1)-INDEX(CdP,1,i_P+0))*(t-pas/2-T_ini-INDEX(CdP,1,i_P+0))+INDEX(CdP,2,i_P+0)</f>
        <v>0</v>
      </c>
      <c r="R644" s="396" t="n">
        <f aca="false">Poussee/(g*ISP)</f>
        <v>0</v>
      </c>
      <c r="S644" s="398" t="n">
        <f aca="false">S643-Débit*pas</f>
        <v>8.45</v>
      </c>
      <c r="T644" s="397" t="n">
        <f aca="false">m*g</f>
        <v>82.8945</v>
      </c>
      <c r="U644" s="400" t="n">
        <f aca="false">IF(pos_xz&lt;L_rampe,Poids*COS(Beta),0)</f>
        <v>0</v>
      </c>
      <c r="V644" s="396" t="n">
        <f aca="false">Rho_moyen*(20000-Alt_rampe-pos_z)/(20000+Alt_rampe+pos_z)</f>
        <v>1.22625115515967</v>
      </c>
      <c r="W644" s="397" t="n">
        <f aca="false">1/2*Rho*Sref*Cx*vit_xz^2</f>
        <v>62.0488837348192</v>
      </c>
      <c r="Y644" s="401" t="str">
        <f aca="false">IF(AND(pos_z&lt;=0,K643&gt;0),"Impact balistique","") &amp; IF(AND(H645&lt;0,vit_z&gt;=0),"Apogée","") &amp; IF(AND(Poussee=0,Q643&gt;0),"Fin de propulsion","") &amp; IF(AND(L645&gt;L_rampe,pos_xz&lt;=L_rampe),"Sortie de rampe","")</f>
        <v/>
      </c>
      <c r="Z644" s="402" t="str">
        <f aca="false">IF(ABS(t-T_para)&lt;pas/2,"Para","")</f>
        <v/>
      </c>
      <c r="AA644" s="403" t="str">
        <f aca="false">IF(ABS(t-T_satellite)&lt;pas/2,"Satellite","")</f>
        <v/>
      </c>
      <c r="AC644" s="399" t="e">
        <f aca="false">IF(ABS(t-ROUND(t,0))&lt;0.001,t,NA())</f>
        <v>#N/A</v>
      </c>
      <c r="AD644" s="404" t="e">
        <f aca="false">IF(ABS(t-ROUND(t,0))&lt;0.001,pos_x,NA())</f>
        <v>#N/A</v>
      </c>
      <c r="AE644" s="405" t="e">
        <f aca="false">IF(t&lt;T_para, pos_z, NA())</f>
        <v>#N/A</v>
      </c>
      <c r="AG644" s="396" t="n">
        <f aca="false">IF(AND(L643&lt;L_rampe,Poussee&lt;Poids*SIN(M643)),0,(-W643+Poussee)/m-Poids*SIN(M643)/m)</f>
        <v>2.41872379342979</v>
      </c>
      <c r="AH644" s="397" t="n">
        <f aca="false">IF(AND(L643&lt;L_rampe,Poussee&lt;Poids*SIN(M643)), g*SIN(M643), (-W643+Poussee)/m)</f>
        <v>-7.34302405839006</v>
      </c>
    </row>
    <row r="645" customFormat="false" ht="12.75" hidden="false" customHeight="false" outlineLevel="0" collapsed="false">
      <c r="A645" s="396" t="n">
        <f aca="false">IF(B644+0.01&lt;=T_ini+ROUNDUP(Temps_fin_propu,0), 0.01, IF(K644&gt;0, 0.1, 0.0001))</f>
        <v>0.0001</v>
      </c>
      <c r="B645" s="397" t="n">
        <f aca="false">B644+pas</f>
        <v>32.1140000000007</v>
      </c>
      <c r="D645" s="396" t="n">
        <f aca="false">IF(AND(L644&lt;L_rampe,Poussee&lt;Poids*SIN(M644)),0,(-W644+Poussee)/m*COS(M644)-U644/m*SIN(M644))</f>
        <v>-0.727407430447034</v>
      </c>
      <c r="E645" s="398" t="n">
        <f aca="false">IF(AND(L644&lt;L_rampe,Poussee&lt;Poids*SIN(M644)),0,(-W644+Poussee)/m*SIN(M644)+U644/m*COS(M644)-Poids/m)</f>
        <v>-2.50305432763323</v>
      </c>
      <c r="F645" s="397" t="n">
        <f aca="false">SQRT(acc_x^2+acc_z^2)</f>
        <v>2.60660747657813</v>
      </c>
      <c r="G645" s="396" t="n">
        <f aca="false">G644+acc_x*pas</f>
        <v>11.487121569316</v>
      </c>
      <c r="H645" s="398" t="n">
        <f aca="false">H644+acc_z*pas</f>
        <v>-115.391296970901</v>
      </c>
      <c r="I645" s="397" t="n">
        <f aca="false">SQRT(vit_x^2+vit_z^2)</f>
        <v>115.961654776805</v>
      </c>
      <c r="J645" s="396" t="n">
        <f aca="false">J644+0.5*(vit_x+G644)*pas*(K644&gt;=0)</f>
        <v>690.928492655337</v>
      </c>
      <c r="K645" s="398" t="n">
        <f aca="false">K644+0.5*(vit_z+H644)*pas</f>
        <v>-10.2198374960636</v>
      </c>
      <c r="L645" s="397" t="n">
        <f aca="false">SQRT(pos_x^2+pos_z^2)</f>
        <v>691.004071653288</v>
      </c>
      <c r="M645" s="396" t="n">
        <f aca="false">IF(AND(L644&gt;L_rampe,G645&gt;0),ATAN2(G645,H645),$M$4)</f>
        <v>-1.47157394271156</v>
      </c>
      <c r="N645" s="397" t="n">
        <f aca="false">DEGREES(Beta)</f>
        <v>-84.3149761587988</v>
      </c>
      <c r="P645" s="399" t="n">
        <f aca="false">MATCH(t-pas/2-T_ini,CdP_t)</f>
        <v>23</v>
      </c>
      <c r="Q645" s="397" t="n">
        <f aca="false">(INDEX(CdP,2,i_P+1)-INDEX(CdP,2,i_P+0))/(INDEX(CdP,1,i_P+1)-INDEX(CdP,1,i_P+0))*(t-pas/2-T_ini-INDEX(CdP,1,i_P+0))+INDEX(CdP,2,i_P+0)</f>
        <v>0</v>
      </c>
      <c r="R645" s="396" t="n">
        <f aca="false">Poussee/(g*ISP)</f>
        <v>0</v>
      </c>
      <c r="S645" s="398" t="n">
        <f aca="false">S644-Débit*pas</f>
        <v>8.45</v>
      </c>
      <c r="T645" s="397" t="n">
        <f aca="false">m*g</f>
        <v>82.8945</v>
      </c>
      <c r="U645" s="400" t="n">
        <f aca="false">IF(pos_xz&lt;L_rampe,Poids*COS(Beta),0)</f>
        <v>0</v>
      </c>
      <c r="V645" s="396" t="n">
        <f aca="false">Rho_moyen*(20000-Alt_rampe-pos_z)/(20000+Alt_rampe+pos_z)</f>
        <v>1.22625257014644</v>
      </c>
      <c r="W645" s="397" t="n">
        <f aca="false">1/2*Rho*Sref*Cx*vit_xz^2</f>
        <v>62.0492141735198</v>
      </c>
      <c r="Y645" s="401" t="str">
        <f aca="false">IF(AND(pos_z&lt;=0,K644&gt;0),"Impact balistique","") &amp; IF(AND(H646&lt;0,vit_z&gt;=0),"Apogée","") &amp; IF(AND(Poussee=0,Q644&gt;0),"Fin de propulsion","") &amp; IF(AND(L646&gt;L_rampe,pos_xz&lt;=L_rampe),"Sortie de rampe","")</f>
        <v/>
      </c>
      <c r="Z645" s="402" t="str">
        <f aca="false">IF(ABS(t-T_para)&lt;pas/2,"Para","")</f>
        <v/>
      </c>
      <c r="AA645" s="403" t="str">
        <f aca="false">IF(ABS(t-T_satellite)&lt;pas/2,"Satellite","")</f>
        <v/>
      </c>
      <c r="AC645" s="399" t="e">
        <f aca="false">IF(ABS(t-ROUND(t,0))&lt;0.001,t,NA())</f>
        <v>#N/A</v>
      </c>
      <c r="AD645" s="404" t="e">
        <f aca="false">IF(ABS(t-ROUND(t,0))&lt;0.001,pos_x,NA())</f>
        <v>#N/A</v>
      </c>
      <c r="AE645" s="405" t="e">
        <f aca="false">IF(t&lt;T_para, pos_z, NA())</f>
        <v>#N/A</v>
      </c>
      <c r="AG645" s="396" t="n">
        <f aca="false">IF(AND(L644&lt;L_rampe,Poussee&lt;Poids*SIN(M644)),0,(-W644+Poussee)/m-Poids*SIN(M644)/m)</f>
        <v>2.41868550232312</v>
      </c>
      <c r="AH645" s="397" t="n">
        <f aca="false">IF(AND(L644&lt;L_rampe,Poussee&lt;Poids*SIN(M644)), g*SIN(M644), (-W644+Poussee)/m)</f>
        <v>-7.34306316388393</v>
      </c>
    </row>
    <row r="646" customFormat="false" ht="12.75" hidden="false" customHeight="false" outlineLevel="0" collapsed="false">
      <c r="A646" s="396" t="n">
        <f aca="false">IF(B645+0.01&lt;=T_ini+ROUNDUP(Temps_fin_propu,0), 0.01, IF(K645&gt;0, 0.1, 0.0001))</f>
        <v>0.0001</v>
      </c>
      <c r="B646" s="397" t="n">
        <f aca="false">B645+pas</f>
        <v>32.1141000000007</v>
      </c>
      <c r="D646" s="396" t="n">
        <f aca="false">IF(AND(L645&lt;L_rampe,Poussee&lt;Poids*SIN(M645)),0,(-W645+Poussee)/m*COS(M645)-U645/m*SIN(M645))</f>
        <v>-0.727405180815286</v>
      </c>
      <c r="E646" s="398" t="n">
        <f aca="false">IF(AND(L645&lt;L_rampe,Poussee&lt;Poids*SIN(M645)),0,(-W645+Poussee)/m*SIN(M645)+U645/m*COS(M645)-Poids/m)</f>
        <v>-2.5030148052201</v>
      </c>
      <c r="F646" s="397" t="n">
        <f aca="false">SQRT(acc_x^2+acc_z^2)</f>
        <v>2.60656889650513</v>
      </c>
      <c r="G646" s="396" t="n">
        <f aca="false">G645+acc_x*pas</f>
        <v>11.4870488287979</v>
      </c>
      <c r="H646" s="398" t="n">
        <f aca="false">H645+acc_z*pas</f>
        <v>-115.391547272382</v>
      </c>
      <c r="I646" s="397" t="n">
        <f aca="false">SQRT(vit_x^2+vit_z^2)</f>
        <v>115.961896641567</v>
      </c>
      <c r="J646" s="396" t="n">
        <f aca="false">J645+0.5*(vit_x+G645)*pas*(K645&gt;=0)</f>
        <v>690.928492655337</v>
      </c>
      <c r="K646" s="398" t="n">
        <f aca="false">K645+0.5*(vit_z+H645)*pas</f>
        <v>-10.2313766382757</v>
      </c>
      <c r="L646" s="397" t="n">
        <f aca="false">SQRT(pos_x^2+pos_z^2)</f>
        <v>691.004242411644</v>
      </c>
      <c r="M646" s="396" t="n">
        <f aca="false">IF(AND(L645&gt;L_rampe,G646&gt;0),ATAN2(G646,H646),$M$4)</f>
        <v>-1.47157478072409</v>
      </c>
      <c r="N646" s="397" t="n">
        <f aca="false">DEGREES(Beta)</f>
        <v>-84.3150241733798</v>
      </c>
      <c r="P646" s="399" t="n">
        <f aca="false">MATCH(t-pas/2-T_ini,CdP_t)</f>
        <v>23</v>
      </c>
      <c r="Q646" s="397" t="n">
        <f aca="false">(INDEX(CdP,2,i_P+1)-INDEX(CdP,2,i_P+0))/(INDEX(CdP,1,i_P+1)-INDEX(CdP,1,i_P+0))*(t-pas/2-T_ini-INDEX(CdP,1,i_P+0))+INDEX(CdP,2,i_P+0)</f>
        <v>0</v>
      </c>
      <c r="R646" s="396" t="n">
        <f aca="false">Poussee/(g*ISP)</f>
        <v>0</v>
      </c>
      <c r="S646" s="398" t="n">
        <f aca="false">S645-Débit*pas</f>
        <v>8.45</v>
      </c>
      <c r="T646" s="397" t="n">
        <f aca="false">m*g</f>
        <v>82.8945</v>
      </c>
      <c r="U646" s="400" t="n">
        <f aca="false">IF(pos_xz&lt;L_rampe,Poids*COS(Beta),0)</f>
        <v>0</v>
      </c>
      <c r="V646" s="396" t="n">
        <f aca="false">Rho_moyen*(20000-Alt_rampe-pos_z)/(20000+Alt_rampe+pos_z)</f>
        <v>1.2262539851379</v>
      </c>
      <c r="W646" s="397" t="n">
        <f aca="false">1/2*Rho*Sref*Cx*vit_xz^2</f>
        <v>62.0495446094979</v>
      </c>
      <c r="Y646" s="401" t="str">
        <f aca="false">IF(AND(pos_z&lt;=0,K645&gt;0),"Impact balistique","") &amp; IF(AND(H647&lt;0,vit_z&gt;=0),"Apogée","") &amp; IF(AND(Poussee=0,Q645&gt;0),"Fin de propulsion","") &amp; IF(AND(L647&gt;L_rampe,pos_xz&lt;=L_rampe),"Sortie de rampe","")</f>
        <v/>
      </c>
      <c r="Z646" s="402" t="str">
        <f aca="false">IF(ABS(t-T_para)&lt;pas/2,"Para","")</f>
        <v/>
      </c>
      <c r="AA646" s="403" t="str">
        <f aca="false">IF(ABS(t-T_satellite)&lt;pas/2,"Satellite","")</f>
        <v/>
      </c>
      <c r="AC646" s="399" t="e">
        <f aca="false">IF(ABS(t-ROUND(t,0))&lt;0.001,t,NA())</f>
        <v>#N/A</v>
      </c>
      <c r="AD646" s="404" t="e">
        <f aca="false">IF(ABS(t-ROUND(t,0))&lt;0.001,pos_x,NA())</f>
        <v>#N/A</v>
      </c>
      <c r="AE646" s="405" t="e">
        <f aca="false">IF(t&lt;T_para, pos_z, NA())</f>
        <v>#N/A</v>
      </c>
      <c r="AG646" s="396" t="n">
        <f aca="false">IF(AND(L645&lt;L_rampe,Poussee&lt;Poids*SIN(M645)),0,(-W645+Poussee)/m-Poids*SIN(M645)/m)</f>
        <v>2.41864721152323</v>
      </c>
      <c r="AH646" s="397" t="n">
        <f aca="false">IF(AND(L645&lt;L_rampe,Poussee&lt;Poids*SIN(M645)), g*SIN(M645), (-W645+Poussee)/m)</f>
        <v>-7.3431022690556</v>
      </c>
    </row>
    <row r="647" customFormat="false" ht="12.75" hidden="false" customHeight="false" outlineLevel="0" collapsed="false">
      <c r="A647" s="396" t="n">
        <f aca="false">IF(B646+0.01&lt;=T_ini+ROUNDUP(Temps_fin_propu,0), 0.01, IF(K646&gt;0, 0.1, 0.0001))</f>
        <v>0.0001</v>
      </c>
      <c r="B647" s="397" t="n">
        <f aca="false">B646+pas</f>
        <v>32.1142000000007</v>
      </c>
      <c r="D647" s="396" t="n">
        <f aca="false">IF(AND(L646&lt;L_rampe,Poussee&lt;Poids*SIN(M646)),0,(-W646+Poussee)/m*COS(M646)-U646/m*SIN(M646))</f>
        <v>-0.727402931150212</v>
      </c>
      <c r="E647" s="398" t="n">
        <f aca="false">IF(AND(L646&lt;L_rampe,Poussee&lt;Poids*SIN(M646)),0,(-W646+Poussee)/m*SIN(M646)+U646/m*COS(M646)-Poids/m)</f>
        <v>-2.50297528313263</v>
      </c>
      <c r="F647" s="397" t="n">
        <f aca="false">SQRT(acc_x^2+acc_z^2)</f>
        <v>2.60653031676572</v>
      </c>
      <c r="G647" s="396" t="n">
        <f aca="false">G646+acc_x*pas</f>
        <v>11.4869760885048</v>
      </c>
      <c r="H647" s="398" t="n">
        <f aca="false">H646+acc_z*pas</f>
        <v>-115.39179756991</v>
      </c>
      <c r="I647" s="397" t="n">
        <f aca="false">SQRT(vit_x^2+vit_z^2)</f>
        <v>115.9621385025</v>
      </c>
      <c r="J647" s="396" t="n">
        <f aca="false">J646+0.5*(vit_x+G646)*pas*(K646&gt;=0)</f>
        <v>690.928492655337</v>
      </c>
      <c r="K647" s="398" t="n">
        <f aca="false">K646+0.5*(vit_z+H646)*pas</f>
        <v>-10.2429158055179</v>
      </c>
      <c r="L647" s="397" t="n">
        <f aca="false">SQRT(pos_x^2+pos_z^2)</f>
        <v>691.004413363022</v>
      </c>
      <c r="M647" s="396" t="n">
        <f aca="false">IF(AND(L646&gt;L_rampe,G647&gt;0),ATAN2(G647,H647),$M$4)</f>
        <v>-1.47157561872781</v>
      </c>
      <c r="N647" s="397" t="n">
        <f aca="false">DEGREES(Beta)</f>
        <v>-84.3150721874564</v>
      </c>
      <c r="P647" s="399" t="n">
        <f aca="false">MATCH(t-pas/2-T_ini,CdP_t)</f>
        <v>23</v>
      </c>
      <c r="Q647" s="397" t="n">
        <f aca="false">(INDEX(CdP,2,i_P+1)-INDEX(CdP,2,i_P+0))/(INDEX(CdP,1,i_P+1)-INDEX(CdP,1,i_P+0))*(t-pas/2-T_ini-INDEX(CdP,1,i_P+0))+INDEX(CdP,2,i_P+0)</f>
        <v>0</v>
      </c>
      <c r="R647" s="396" t="n">
        <f aca="false">Poussee/(g*ISP)</f>
        <v>0</v>
      </c>
      <c r="S647" s="398" t="n">
        <f aca="false">S646-Débit*pas</f>
        <v>8.45</v>
      </c>
      <c r="T647" s="397" t="n">
        <f aca="false">m*g</f>
        <v>82.8945</v>
      </c>
      <c r="U647" s="400" t="n">
        <f aca="false">IF(pos_xz&lt;L_rampe,Poids*COS(Beta),0)</f>
        <v>0</v>
      </c>
      <c r="V647" s="396" t="n">
        <f aca="false">Rho_moyen*(20000-Alt_rampe-pos_z)/(20000+Alt_rampe+pos_z)</f>
        <v>1.22625540013407</v>
      </c>
      <c r="W647" s="397" t="n">
        <f aca="false">1/2*Rho*Sref*Cx*vit_xz^2</f>
        <v>62.0498750427534</v>
      </c>
      <c r="Y647" s="401" t="str">
        <f aca="false">IF(AND(pos_z&lt;=0,K646&gt;0),"Impact balistique","") &amp; IF(AND(H648&lt;0,vit_z&gt;=0),"Apogée","") &amp; IF(AND(Poussee=0,Q646&gt;0),"Fin de propulsion","") &amp; IF(AND(L648&gt;L_rampe,pos_xz&lt;=L_rampe),"Sortie de rampe","")</f>
        <v/>
      </c>
      <c r="Z647" s="402" t="str">
        <f aca="false">IF(ABS(t-T_para)&lt;pas/2,"Para","")</f>
        <v/>
      </c>
      <c r="AA647" s="403" t="str">
        <f aca="false">IF(ABS(t-T_satellite)&lt;pas/2,"Satellite","")</f>
        <v/>
      </c>
      <c r="AC647" s="399" t="e">
        <f aca="false">IF(ABS(t-ROUND(t,0))&lt;0.001,t,NA())</f>
        <v>#N/A</v>
      </c>
      <c r="AD647" s="404" t="e">
        <f aca="false">IF(ABS(t-ROUND(t,0))&lt;0.001,pos_x,NA())</f>
        <v>#N/A</v>
      </c>
      <c r="AE647" s="405" t="e">
        <f aca="false">IF(t&lt;T_para, pos_z, NA())</f>
        <v>#N/A</v>
      </c>
      <c r="AG647" s="396" t="n">
        <f aca="false">IF(AND(L646&lt;L_rampe,Poussee&lt;Poids*SIN(M646)),0,(-W646+Poussee)/m-Poids*SIN(M646)/m)</f>
        <v>2.41860892103014</v>
      </c>
      <c r="AH647" s="397" t="n">
        <f aca="false">IF(AND(L646&lt;L_rampe,Poussee&lt;Poids*SIN(M646)), g*SIN(M646), (-W646+Poussee)/m)</f>
        <v>-7.34314137390508</v>
      </c>
    </row>
    <row r="648" customFormat="false" ht="12.75" hidden="false" customHeight="false" outlineLevel="0" collapsed="false">
      <c r="A648" s="396" t="n">
        <f aca="false">IF(B647+0.01&lt;=T_ini+ROUNDUP(Temps_fin_propu,0), 0.01, IF(K647&gt;0, 0.1, 0.0001))</f>
        <v>0.0001</v>
      </c>
      <c r="B648" s="397" t="n">
        <f aca="false">B647+pas</f>
        <v>32.1143000000007</v>
      </c>
      <c r="D648" s="396" t="n">
        <f aca="false">IF(AND(L647&lt;L_rampe,Poussee&lt;Poids*SIN(M647)),0,(-W647+Poussee)/m*COS(M647)-U647/m*SIN(M647))</f>
        <v>-0.727400681451811</v>
      </c>
      <c r="E648" s="398" t="n">
        <f aca="false">IF(AND(L647&lt;L_rampe,Poussee&lt;Poids*SIN(M647)),0,(-W647+Poussee)/m*SIN(M647)+U647/m*COS(M647)-Poids/m)</f>
        <v>-2.50293576137082</v>
      </c>
      <c r="F648" s="397" t="n">
        <f aca="false">SQRT(acc_x^2+acc_z^2)</f>
        <v>2.60649173735991</v>
      </c>
      <c r="G648" s="396" t="n">
        <f aca="false">G647+acc_x*pas</f>
        <v>11.4869033484367</v>
      </c>
      <c r="H648" s="398" t="n">
        <f aca="false">H647+acc_z*pas</f>
        <v>-115.392047863486</v>
      </c>
      <c r="I648" s="397" t="n">
        <f aca="false">SQRT(vit_x^2+vit_z^2)</f>
        <v>115.962380359604</v>
      </c>
      <c r="J648" s="396" t="n">
        <f aca="false">J647+0.5*(vit_x+G647)*pas*(K647&gt;=0)</f>
        <v>690.928492655337</v>
      </c>
      <c r="K648" s="398" t="n">
        <f aca="false">K647+0.5*(vit_z+H647)*pas</f>
        <v>-10.2544549977895</v>
      </c>
      <c r="L648" s="397" t="n">
        <f aca="false">SQRT(pos_x^2+pos_z^2)</f>
        <v>691.004584507424</v>
      </c>
      <c r="M648" s="396" t="n">
        <f aca="false">IF(AND(L647&gt;L_rampe,G648&gt;0),ATAN2(G648,H648),$M$4)</f>
        <v>-1.47157645672273</v>
      </c>
      <c r="N648" s="397" t="n">
        <f aca="false">DEGREES(Beta)</f>
        <v>-84.3151202010287</v>
      </c>
      <c r="P648" s="399" t="n">
        <f aca="false">MATCH(t-pas/2-T_ini,CdP_t)</f>
        <v>23</v>
      </c>
      <c r="Q648" s="397" t="n">
        <f aca="false">(INDEX(CdP,2,i_P+1)-INDEX(CdP,2,i_P+0))/(INDEX(CdP,1,i_P+1)-INDEX(CdP,1,i_P+0))*(t-pas/2-T_ini-INDEX(CdP,1,i_P+0))+INDEX(CdP,2,i_P+0)</f>
        <v>0</v>
      </c>
      <c r="R648" s="396" t="n">
        <f aca="false">Poussee/(g*ISP)</f>
        <v>0</v>
      </c>
      <c r="S648" s="398" t="n">
        <f aca="false">S647-Débit*pas</f>
        <v>8.45</v>
      </c>
      <c r="T648" s="397" t="n">
        <f aca="false">m*g</f>
        <v>82.8945</v>
      </c>
      <c r="U648" s="400" t="n">
        <f aca="false">IF(pos_xz&lt;L_rampe,Poids*COS(Beta),0)</f>
        <v>0</v>
      </c>
      <c r="V648" s="396" t="n">
        <f aca="false">Rho_moyen*(20000-Alt_rampe-pos_z)/(20000+Alt_rampe+pos_z)</f>
        <v>1.22625681513494</v>
      </c>
      <c r="W648" s="397" t="n">
        <f aca="false">1/2*Rho*Sref*Cx*vit_xz^2</f>
        <v>62.0502054732864</v>
      </c>
      <c r="Y648" s="401" t="str">
        <f aca="false">IF(AND(pos_z&lt;=0,K647&gt;0),"Impact balistique","") &amp; IF(AND(H649&lt;0,vit_z&gt;=0),"Apogée","") &amp; IF(AND(Poussee=0,Q647&gt;0),"Fin de propulsion","") &amp; IF(AND(L649&gt;L_rampe,pos_xz&lt;=L_rampe),"Sortie de rampe","")</f>
        <v/>
      </c>
      <c r="Z648" s="402" t="str">
        <f aca="false">IF(ABS(t-T_para)&lt;pas/2,"Para","")</f>
        <v/>
      </c>
      <c r="AA648" s="403" t="str">
        <f aca="false">IF(ABS(t-T_satellite)&lt;pas/2,"Satellite","")</f>
        <v/>
      </c>
      <c r="AC648" s="399" t="e">
        <f aca="false">IF(ABS(t-ROUND(t,0))&lt;0.001,t,NA())</f>
        <v>#N/A</v>
      </c>
      <c r="AD648" s="404" t="e">
        <f aca="false">IF(ABS(t-ROUND(t,0))&lt;0.001,pos_x,NA())</f>
        <v>#N/A</v>
      </c>
      <c r="AE648" s="405" t="e">
        <f aca="false">IF(t&lt;T_para, pos_z, NA())</f>
        <v>#N/A</v>
      </c>
      <c r="AG648" s="396" t="n">
        <f aca="false">IF(AND(L647&lt;L_rampe,Poussee&lt;Poids*SIN(M647)),0,(-W647+Poussee)/m-Poids*SIN(M647)/m)</f>
        <v>2.41857063084383</v>
      </c>
      <c r="AH648" s="397" t="n">
        <f aca="false">IF(AND(L647&lt;L_rampe,Poussee&lt;Poids*SIN(M647)), g*SIN(M647), (-W647+Poussee)/m)</f>
        <v>-7.34318047843236</v>
      </c>
    </row>
    <row r="649" customFormat="false" ht="12.75" hidden="false" customHeight="false" outlineLevel="0" collapsed="false">
      <c r="A649" s="396" t="n">
        <f aca="false">IF(B648+0.01&lt;=T_ini+ROUNDUP(Temps_fin_propu,0), 0.01, IF(K648&gt;0, 0.1, 0.0001))</f>
        <v>0.0001</v>
      </c>
      <c r="B649" s="397" t="n">
        <f aca="false">B648+pas</f>
        <v>32.1144000000007</v>
      </c>
      <c r="D649" s="396" t="n">
        <f aca="false">IF(AND(L648&lt;L_rampe,Poussee&lt;Poids*SIN(M648)),0,(-W648+Poussee)/m*COS(M648)-U648/m*SIN(M648))</f>
        <v>-0.727398431720085</v>
      </c>
      <c r="E649" s="398" t="n">
        <f aca="false">IF(AND(L648&lt;L_rampe,Poussee&lt;Poids*SIN(M648)),0,(-W648+Poussee)/m*SIN(M648)+U648/m*COS(M648)-Poids/m)</f>
        <v>-2.50289623993466</v>
      </c>
      <c r="F649" s="397" t="n">
        <f aca="false">SQRT(acc_x^2+acc_z^2)</f>
        <v>2.60645315828769</v>
      </c>
      <c r="G649" s="396" t="n">
        <f aca="false">G648+acc_x*pas</f>
        <v>11.4868306085935</v>
      </c>
      <c r="H649" s="398" t="n">
        <f aca="false">H648+acc_z*pas</f>
        <v>-115.39229815311</v>
      </c>
      <c r="I649" s="397" t="n">
        <f aca="false">SQRT(vit_x^2+vit_z^2)</f>
        <v>115.962622212879</v>
      </c>
      <c r="J649" s="396" t="n">
        <f aca="false">J648+0.5*(vit_x+G648)*pas*(K648&gt;=0)</f>
        <v>690.928492655337</v>
      </c>
      <c r="K649" s="398" t="n">
        <f aca="false">K648+0.5*(vit_z+H648)*pas</f>
        <v>-10.2659942150904</v>
      </c>
      <c r="L649" s="397" t="n">
        <f aca="false">SQRT(pos_x^2+pos_z^2)</f>
        <v>691.00475584485</v>
      </c>
      <c r="M649" s="396" t="n">
        <f aca="false">IF(AND(L648&gt;L_rampe,G649&gt;0),ATAN2(G649,H649),$M$4)</f>
        <v>-1.47157729470886</v>
      </c>
      <c r="N649" s="397" t="n">
        <f aca="false">DEGREES(Beta)</f>
        <v>-84.3151682140967</v>
      </c>
      <c r="P649" s="399" t="n">
        <f aca="false">MATCH(t-pas/2-T_ini,CdP_t)</f>
        <v>23</v>
      </c>
      <c r="Q649" s="397" t="n">
        <f aca="false">(INDEX(CdP,2,i_P+1)-INDEX(CdP,2,i_P+0))/(INDEX(CdP,1,i_P+1)-INDEX(CdP,1,i_P+0))*(t-pas/2-T_ini-INDEX(CdP,1,i_P+0))+INDEX(CdP,2,i_P+0)</f>
        <v>0</v>
      </c>
      <c r="R649" s="396" t="n">
        <f aca="false">Poussee/(g*ISP)</f>
        <v>0</v>
      </c>
      <c r="S649" s="398" t="n">
        <f aca="false">S648-Débit*pas</f>
        <v>8.45</v>
      </c>
      <c r="T649" s="397" t="n">
        <f aca="false">m*g</f>
        <v>82.8945</v>
      </c>
      <c r="U649" s="400" t="n">
        <f aca="false">IF(pos_xz&lt;L_rampe,Poids*COS(Beta),0)</f>
        <v>0</v>
      </c>
      <c r="V649" s="396" t="n">
        <f aca="false">Rho_moyen*(20000-Alt_rampe-pos_z)/(20000+Alt_rampe+pos_z)</f>
        <v>1.22625823014052</v>
      </c>
      <c r="W649" s="397" t="n">
        <f aca="false">1/2*Rho*Sref*Cx*vit_xz^2</f>
        <v>62.0505359010967</v>
      </c>
      <c r="Y649" s="401" t="str">
        <f aca="false">IF(AND(pos_z&lt;=0,K648&gt;0),"Impact balistique","") &amp; IF(AND(H650&lt;0,vit_z&gt;=0),"Apogée","") &amp; IF(AND(Poussee=0,Q648&gt;0),"Fin de propulsion","") &amp; IF(AND(L650&gt;L_rampe,pos_xz&lt;=L_rampe),"Sortie de rampe","")</f>
        <v/>
      </c>
      <c r="Z649" s="402" t="str">
        <f aca="false">IF(ABS(t-T_para)&lt;pas/2,"Para","")</f>
        <v/>
      </c>
      <c r="AA649" s="403" t="str">
        <f aca="false">IF(ABS(t-T_satellite)&lt;pas/2,"Satellite","")</f>
        <v/>
      </c>
      <c r="AC649" s="399" t="e">
        <f aca="false">IF(ABS(t-ROUND(t,0))&lt;0.001,t,NA())</f>
        <v>#N/A</v>
      </c>
      <c r="AD649" s="404" t="e">
        <f aca="false">IF(ABS(t-ROUND(t,0))&lt;0.001,pos_x,NA())</f>
        <v>#N/A</v>
      </c>
      <c r="AE649" s="405" t="e">
        <f aca="false">IF(t&lt;T_para, pos_z, NA())</f>
        <v>#N/A</v>
      </c>
      <c r="AG649" s="396" t="n">
        <f aca="false">IF(AND(L648&lt;L_rampe,Poussee&lt;Poids*SIN(M648)),0,(-W648+Poussee)/m-Poids*SIN(M648)/m)</f>
        <v>2.41853234096431</v>
      </c>
      <c r="AH649" s="397" t="n">
        <f aca="false">IF(AND(L648&lt;L_rampe,Poussee&lt;Poids*SIN(M648)), g*SIN(M648), (-W648+Poussee)/m)</f>
        <v>-7.34321958263744</v>
      </c>
    </row>
    <row r="650" customFormat="false" ht="12.75" hidden="false" customHeight="false" outlineLevel="0" collapsed="false">
      <c r="A650" s="396" t="n">
        <f aca="false">IF(B649+0.01&lt;=T_ini+ROUNDUP(Temps_fin_propu,0), 0.01, IF(K649&gt;0, 0.1, 0.0001))</f>
        <v>0.0001</v>
      </c>
      <c r="B650" s="397" t="n">
        <f aca="false">B649+pas</f>
        <v>32.1145000000007</v>
      </c>
      <c r="D650" s="396" t="n">
        <f aca="false">IF(AND(L649&lt;L_rampe,Poussee&lt;Poids*SIN(M649)),0,(-W649+Poussee)/m*COS(M649)-U649/m*SIN(M649))</f>
        <v>-0.727396181955032</v>
      </c>
      <c r="E650" s="398" t="n">
        <f aca="false">IF(AND(L649&lt;L_rampe,Poussee&lt;Poids*SIN(M649)),0,(-W649+Poussee)/m*SIN(M649)+U649/m*COS(M649)-Poids/m)</f>
        <v>-2.50285671882415</v>
      </c>
      <c r="F650" s="397" t="n">
        <f aca="false">SQRT(acc_x^2+acc_z^2)</f>
        <v>2.60641457954907</v>
      </c>
      <c r="G650" s="396" t="n">
        <f aca="false">G649+acc_x*pas</f>
        <v>11.4867578689753</v>
      </c>
      <c r="H650" s="398" t="n">
        <f aca="false">H649+acc_z*pas</f>
        <v>-115.392548438782</v>
      </c>
      <c r="I650" s="397" t="n">
        <f aca="false">SQRT(vit_x^2+vit_z^2)</f>
        <v>115.962864062325</v>
      </c>
      <c r="J650" s="396" t="n">
        <f aca="false">J649+0.5*(vit_x+G649)*pas*(K649&gt;=0)</f>
        <v>690.928492655337</v>
      </c>
      <c r="K650" s="398" t="n">
        <f aca="false">K649+0.5*(vit_z+H649)*pas</f>
        <v>-10.27753345742</v>
      </c>
      <c r="L650" s="397" t="n">
        <f aca="false">SQRT(pos_x^2+pos_z^2)</f>
        <v>691.0049273753</v>
      </c>
      <c r="M650" s="396" t="n">
        <f aca="false">IF(AND(L649&gt;L_rampe,G650&gt;0),ATAN2(G650,H650),$M$4)</f>
        <v>-1.47157813268617</v>
      </c>
      <c r="N650" s="397" t="n">
        <f aca="false">DEGREES(Beta)</f>
        <v>-84.3152162266604</v>
      </c>
      <c r="P650" s="399" t="n">
        <f aca="false">MATCH(t-pas/2-T_ini,CdP_t)</f>
        <v>23</v>
      </c>
      <c r="Q650" s="397" t="n">
        <f aca="false">(INDEX(CdP,2,i_P+1)-INDEX(CdP,2,i_P+0))/(INDEX(CdP,1,i_P+1)-INDEX(CdP,1,i_P+0))*(t-pas/2-T_ini-INDEX(CdP,1,i_P+0))+INDEX(CdP,2,i_P+0)</f>
        <v>0</v>
      </c>
      <c r="R650" s="396" t="n">
        <f aca="false">Poussee/(g*ISP)</f>
        <v>0</v>
      </c>
      <c r="S650" s="398" t="n">
        <f aca="false">S649-Débit*pas</f>
        <v>8.45</v>
      </c>
      <c r="T650" s="397" t="n">
        <f aca="false">m*g</f>
        <v>82.8945</v>
      </c>
      <c r="U650" s="400" t="n">
        <f aca="false">IF(pos_xz&lt;L_rampe,Poids*COS(Beta),0)</f>
        <v>0</v>
      </c>
      <c r="V650" s="396" t="n">
        <f aca="false">Rho_moyen*(20000-Alt_rampe-pos_z)/(20000+Alt_rampe+pos_z)</f>
        <v>1.22625964515079</v>
      </c>
      <c r="W650" s="397" t="n">
        <f aca="false">1/2*Rho*Sref*Cx*vit_xz^2</f>
        <v>62.0508663261845</v>
      </c>
      <c r="Y650" s="401" t="str">
        <f aca="false">IF(AND(pos_z&lt;=0,K649&gt;0),"Impact balistique","") &amp; IF(AND(H651&lt;0,vit_z&gt;=0),"Apogée","") &amp; IF(AND(Poussee=0,Q649&gt;0),"Fin de propulsion","") &amp; IF(AND(L651&gt;L_rampe,pos_xz&lt;=L_rampe),"Sortie de rampe","")</f>
        <v/>
      </c>
      <c r="Z650" s="402" t="str">
        <f aca="false">IF(ABS(t-T_para)&lt;pas/2,"Para","")</f>
        <v/>
      </c>
      <c r="AA650" s="403" t="str">
        <f aca="false">IF(ABS(t-T_satellite)&lt;pas/2,"Satellite","")</f>
        <v/>
      </c>
      <c r="AC650" s="399" t="e">
        <f aca="false">IF(ABS(t-ROUND(t,0))&lt;0.001,t,NA())</f>
        <v>#N/A</v>
      </c>
      <c r="AD650" s="404" t="e">
        <f aca="false">IF(ABS(t-ROUND(t,0))&lt;0.001,pos_x,NA())</f>
        <v>#N/A</v>
      </c>
      <c r="AE650" s="405" t="e">
        <f aca="false">IF(t&lt;T_para, pos_z, NA())</f>
        <v>#N/A</v>
      </c>
      <c r="AG650" s="396" t="n">
        <f aca="false">IF(AND(L649&lt;L_rampe,Poussee&lt;Poids*SIN(M649)),0,(-W649+Poussee)/m-Poids*SIN(M649)/m)</f>
        <v>2.41849405139158</v>
      </c>
      <c r="AH650" s="397" t="n">
        <f aca="false">IF(AND(L649&lt;L_rampe,Poussee&lt;Poids*SIN(M649)), g*SIN(M649), (-W649+Poussee)/m)</f>
        <v>-7.34325868652032</v>
      </c>
    </row>
    <row r="651" customFormat="false" ht="12.75" hidden="false" customHeight="false" outlineLevel="0" collapsed="false">
      <c r="A651" s="396" t="n">
        <f aca="false">IF(B650+0.01&lt;=T_ini+ROUNDUP(Temps_fin_propu,0), 0.01, IF(K650&gt;0, 0.1, 0.0001))</f>
        <v>0.0001</v>
      </c>
      <c r="B651" s="397" t="n">
        <f aca="false">B650+pas</f>
        <v>32.1146000000007</v>
      </c>
      <c r="D651" s="396" t="n">
        <f aca="false">IF(AND(L650&lt;L_rampe,Poussee&lt;Poids*SIN(M650)),0,(-W650+Poussee)/m*COS(M650)-U650/m*SIN(M650))</f>
        <v>-0.727393932156656</v>
      </c>
      <c r="E651" s="398" t="n">
        <f aca="false">IF(AND(L650&lt;L_rampe,Poussee&lt;Poids*SIN(M650)),0,(-W650+Poussee)/m*SIN(M650)+U650/m*COS(M650)-Poids/m)</f>
        <v>-2.50281719803929</v>
      </c>
      <c r="F651" s="397" t="n">
        <f aca="false">SQRT(acc_x^2+acc_z^2)</f>
        <v>2.60637600114404</v>
      </c>
      <c r="G651" s="396" t="n">
        <f aca="false">G650+acc_x*pas</f>
        <v>11.4866851295821</v>
      </c>
      <c r="H651" s="398" t="n">
        <f aca="false">H650+acc_z*pas</f>
        <v>-115.392798720502</v>
      </c>
      <c r="I651" s="397" t="n">
        <f aca="false">SQRT(vit_x^2+vit_z^2)</f>
        <v>115.963105907942</v>
      </c>
      <c r="J651" s="396" t="n">
        <f aca="false">J650+0.5*(vit_x+G650)*pas*(K650&gt;=0)</f>
        <v>690.928492655337</v>
      </c>
      <c r="K651" s="398" t="n">
        <f aca="false">K650+0.5*(vit_z+H650)*pas</f>
        <v>-10.2890727247779</v>
      </c>
      <c r="L651" s="397" t="n">
        <f aca="false">SQRT(pos_x^2+pos_z^2)</f>
        <v>691.005099098778</v>
      </c>
      <c r="M651" s="396" t="n">
        <f aca="false">IF(AND(L650&gt;L_rampe,G651&gt;0),ATAN2(G651,H651),$M$4)</f>
        <v>-1.47157897065469</v>
      </c>
      <c r="N651" s="397" t="n">
        <f aca="false">DEGREES(Beta)</f>
        <v>-84.3152642387198</v>
      </c>
      <c r="P651" s="399" t="n">
        <f aca="false">MATCH(t-pas/2-T_ini,CdP_t)</f>
        <v>23</v>
      </c>
      <c r="Q651" s="397" t="n">
        <f aca="false">(INDEX(CdP,2,i_P+1)-INDEX(CdP,2,i_P+0))/(INDEX(CdP,1,i_P+1)-INDEX(CdP,1,i_P+0))*(t-pas/2-T_ini-INDEX(CdP,1,i_P+0))+INDEX(CdP,2,i_P+0)</f>
        <v>0</v>
      </c>
      <c r="R651" s="396" t="n">
        <f aca="false">Poussee/(g*ISP)</f>
        <v>0</v>
      </c>
      <c r="S651" s="398" t="n">
        <f aca="false">S650-Débit*pas</f>
        <v>8.45</v>
      </c>
      <c r="T651" s="397" t="n">
        <f aca="false">m*g</f>
        <v>82.8945</v>
      </c>
      <c r="U651" s="400" t="n">
        <f aca="false">IF(pos_xz&lt;L_rampe,Poids*COS(Beta),0)</f>
        <v>0</v>
      </c>
      <c r="V651" s="396" t="n">
        <f aca="false">Rho_moyen*(20000-Alt_rampe-pos_z)/(20000+Alt_rampe+pos_z)</f>
        <v>1.22626106016577</v>
      </c>
      <c r="W651" s="397" t="n">
        <f aca="false">1/2*Rho*Sref*Cx*vit_xz^2</f>
        <v>62.0511967485497</v>
      </c>
      <c r="Y651" s="401" t="str">
        <f aca="false">IF(AND(pos_z&lt;=0,K650&gt;0),"Impact balistique","") &amp; IF(AND(H652&lt;0,vit_z&gt;=0),"Apogée","") &amp; IF(AND(Poussee=0,Q650&gt;0),"Fin de propulsion","") &amp; IF(AND(L652&gt;L_rampe,pos_xz&lt;=L_rampe),"Sortie de rampe","")</f>
        <v/>
      </c>
      <c r="Z651" s="402" t="str">
        <f aca="false">IF(ABS(t-T_para)&lt;pas/2,"Para","")</f>
        <v/>
      </c>
      <c r="AA651" s="403" t="str">
        <f aca="false">IF(ABS(t-T_satellite)&lt;pas/2,"Satellite","")</f>
        <v/>
      </c>
      <c r="AC651" s="399" t="e">
        <f aca="false">IF(ABS(t-ROUND(t,0))&lt;0.001,t,NA())</f>
        <v>#N/A</v>
      </c>
      <c r="AD651" s="404" t="e">
        <f aca="false">IF(ABS(t-ROUND(t,0))&lt;0.001,pos_x,NA())</f>
        <v>#N/A</v>
      </c>
      <c r="AE651" s="405" t="e">
        <f aca="false">IF(t&lt;T_para, pos_z, NA())</f>
        <v>#N/A</v>
      </c>
      <c r="AG651" s="396" t="n">
        <f aca="false">IF(AND(L650&lt;L_rampe,Poussee&lt;Poids*SIN(M650)),0,(-W650+Poussee)/m-Poids*SIN(M650)/m)</f>
        <v>2.41845576212564</v>
      </c>
      <c r="AH651" s="397" t="n">
        <f aca="false">IF(AND(L650&lt;L_rampe,Poussee&lt;Poids*SIN(M650)), g*SIN(M650), (-W650+Poussee)/m)</f>
        <v>-7.34329779008101</v>
      </c>
    </row>
    <row r="652" customFormat="false" ht="12.75" hidden="false" customHeight="false" outlineLevel="0" collapsed="false">
      <c r="A652" s="396" t="n">
        <f aca="false">IF(B651+0.01&lt;=T_ini+ROUNDUP(Temps_fin_propu,0), 0.01, IF(K651&gt;0, 0.1, 0.0001))</f>
        <v>0.0001</v>
      </c>
      <c r="B652" s="397" t="n">
        <f aca="false">B651+pas</f>
        <v>32.1147000000007</v>
      </c>
      <c r="D652" s="396" t="n">
        <f aca="false">IF(AND(L651&lt;L_rampe,Poussee&lt;Poids*SIN(M651)),0,(-W651+Poussee)/m*COS(M651)-U651/m*SIN(M651))</f>
        <v>-0.727391682324956</v>
      </c>
      <c r="E652" s="398" t="n">
        <f aca="false">IF(AND(L651&lt;L_rampe,Poussee&lt;Poids*SIN(M651)),0,(-W651+Poussee)/m*SIN(M651)+U651/m*COS(M651)-Poids/m)</f>
        <v>-2.5027776775801</v>
      </c>
      <c r="F652" s="397" t="n">
        <f aca="false">SQRT(acc_x^2+acc_z^2)</f>
        <v>2.60633742307261</v>
      </c>
      <c r="G652" s="396" t="n">
        <f aca="false">G651+acc_x*pas</f>
        <v>11.4866123904139</v>
      </c>
      <c r="H652" s="398" t="n">
        <f aca="false">H651+acc_z*pas</f>
        <v>-115.39304899827</v>
      </c>
      <c r="I652" s="397" t="n">
        <f aca="false">SQRT(vit_x^2+vit_z^2)</f>
        <v>115.96334774973</v>
      </c>
      <c r="J652" s="396" t="n">
        <f aca="false">J651+0.5*(vit_x+G651)*pas*(K651&gt;=0)</f>
        <v>690.928492655337</v>
      </c>
      <c r="K652" s="398" t="n">
        <f aca="false">K651+0.5*(vit_z+H651)*pas</f>
        <v>-10.3006120171639</v>
      </c>
      <c r="L652" s="397" t="n">
        <f aca="false">SQRT(pos_x^2+pos_z^2)</f>
        <v>691.005271015282</v>
      </c>
      <c r="M652" s="396" t="n">
        <f aca="false">IF(AND(L651&gt;L_rampe,G652&gt;0),ATAN2(G652,H652),$M$4)</f>
        <v>-1.47157980861441</v>
      </c>
      <c r="N652" s="397" t="n">
        <f aca="false">DEGREES(Beta)</f>
        <v>-84.3153122502749</v>
      </c>
      <c r="P652" s="399" t="n">
        <f aca="false">MATCH(t-pas/2-T_ini,CdP_t)</f>
        <v>23</v>
      </c>
      <c r="Q652" s="397" t="n">
        <f aca="false">(INDEX(CdP,2,i_P+1)-INDEX(CdP,2,i_P+0))/(INDEX(CdP,1,i_P+1)-INDEX(CdP,1,i_P+0))*(t-pas/2-T_ini-INDEX(CdP,1,i_P+0))+INDEX(CdP,2,i_P+0)</f>
        <v>0</v>
      </c>
      <c r="R652" s="396" t="n">
        <f aca="false">Poussee/(g*ISP)</f>
        <v>0</v>
      </c>
      <c r="S652" s="398" t="n">
        <f aca="false">S651-Débit*pas</f>
        <v>8.45</v>
      </c>
      <c r="T652" s="397" t="n">
        <f aca="false">m*g</f>
        <v>82.8945</v>
      </c>
      <c r="U652" s="400" t="n">
        <f aca="false">IF(pos_xz&lt;L_rampe,Poids*COS(Beta),0)</f>
        <v>0</v>
      </c>
      <c r="V652" s="396" t="n">
        <f aca="false">Rho_moyen*(20000-Alt_rampe-pos_z)/(20000+Alt_rampe+pos_z)</f>
        <v>1.22626247518546</v>
      </c>
      <c r="W652" s="397" t="n">
        <f aca="false">1/2*Rho*Sref*Cx*vit_xz^2</f>
        <v>62.0515271681923</v>
      </c>
      <c r="Y652" s="401" t="str">
        <f aca="false">IF(AND(pos_z&lt;=0,K651&gt;0),"Impact balistique","") &amp; IF(AND(H653&lt;0,vit_z&gt;=0),"Apogée","") &amp; IF(AND(Poussee=0,Q651&gt;0),"Fin de propulsion","") &amp; IF(AND(L653&gt;L_rampe,pos_xz&lt;=L_rampe),"Sortie de rampe","")</f>
        <v/>
      </c>
      <c r="Z652" s="402" t="str">
        <f aca="false">IF(ABS(t-T_para)&lt;pas/2,"Para","")</f>
        <v/>
      </c>
      <c r="AA652" s="403" t="str">
        <f aca="false">IF(ABS(t-T_satellite)&lt;pas/2,"Satellite","")</f>
        <v/>
      </c>
      <c r="AC652" s="399" t="e">
        <f aca="false">IF(ABS(t-ROUND(t,0))&lt;0.001,t,NA())</f>
        <v>#N/A</v>
      </c>
      <c r="AD652" s="404" t="e">
        <f aca="false">IF(ABS(t-ROUND(t,0))&lt;0.001,pos_x,NA())</f>
        <v>#N/A</v>
      </c>
      <c r="AE652" s="405" t="e">
        <f aca="false">IF(t&lt;T_para, pos_z, NA())</f>
        <v>#N/A</v>
      </c>
      <c r="AG652" s="396" t="n">
        <f aca="false">IF(AND(L651&lt;L_rampe,Poussee&lt;Poids*SIN(M651)),0,(-W651+Poussee)/m-Poids*SIN(M651)/m)</f>
        <v>2.41841747316649</v>
      </c>
      <c r="AH652" s="397" t="n">
        <f aca="false">IF(AND(L651&lt;L_rampe,Poussee&lt;Poids*SIN(M651)), g*SIN(M651), (-W651+Poussee)/m)</f>
        <v>-7.3433368933195</v>
      </c>
    </row>
    <row r="653" customFormat="false" ht="12.75" hidden="false" customHeight="false" outlineLevel="0" collapsed="false">
      <c r="A653" s="396" t="n">
        <f aca="false">IF(B652+0.01&lt;=T_ini+ROUNDUP(Temps_fin_propu,0), 0.01, IF(K652&gt;0, 0.1, 0.0001))</f>
        <v>0.0001</v>
      </c>
      <c r="B653" s="397" t="n">
        <f aca="false">B652+pas</f>
        <v>32.1148000000007</v>
      </c>
      <c r="D653" s="396" t="n">
        <f aca="false">IF(AND(L652&lt;L_rampe,Poussee&lt;Poids*SIN(M652)),0,(-W652+Poussee)/m*COS(M652)-U652/m*SIN(M652))</f>
        <v>-0.727389432459934</v>
      </c>
      <c r="E653" s="398" t="n">
        <f aca="false">IF(AND(L652&lt;L_rampe,Poussee&lt;Poids*SIN(M652)),0,(-W652+Poussee)/m*SIN(M652)+U652/m*COS(M652)-Poids/m)</f>
        <v>-2.50273815744657</v>
      </c>
      <c r="F653" s="397" t="n">
        <f aca="false">SQRT(acc_x^2+acc_z^2)</f>
        <v>2.60629884533478</v>
      </c>
      <c r="G653" s="396" t="n">
        <f aca="false">G652+acc_x*pas</f>
        <v>11.4865396514706</v>
      </c>
      <c r="H653" s="398" t="n">
        <f aca="false">H652+acc_z*pas</f>
        <v>-115.393299272086</v>
      </c>
      <c r="I653" s="397" t="n">
        <f aca="false">SQRT(vit_x^2+vit_z^2)</f>
        <v>115.963589587689</v>
      </c>
      <c r="J653" s="396" t="n">
        <f aca="false">J652+0.5*(vit_x+G652)*pas*(K652&gt;=0)</f>
        <v>690.928492655337</v>
      </c>
      <c r="K653" s="398" t="n">
        <f aca="false">K652+0.5*(vit_z+H652)*pas</f>
        <v>-10.3121513345774</v>
      </c>
      <c r="L653" s="397" t="n">
        <f aca="false">SQRT(pos_x^2+pos_z^2)</f>
        <v>691.005443124816</v>
      </c>
      <c r="M653" s="396" t="n">
        <f aca="false">IF(AND(L652&gt;L_rampe,G653&gt;0),ATAN2(G653,H653),$M$4)</f>
        <v>-1.47158064656532</v>
      </c>
      <c r="N653" s="397" t="n">
        <f aca="false">DEGREES(Beta)</f>
        <v>-84.3153602613257</v>
      </c>
      <c r="P653" s="399" t="n">
        <f aca="false">MATCH(t-pas/2-T_ini,CdP_t)</f>
        <v>23</v>
      </c>
      <c r="Q653" s="397" t="n">
        <f aca="false">(INDEX(CdP,2,i_P+1)-INDEX(CdP,2,i_P+0))/(INDEX(CdP,1,i_P+1)-INDEX(CdP,1,i_P+0))*(t-pas/2-T_ini-INDEX(CdP,1,i_P+0))+INDEX(CdP,2,i_P+0)</f>
        <v>0</v>
      </c>
      <c r="R653" s="396" t="n">
        <f aca="false">Poussee/(g*ISP)</f>
        <v>0</v>
      </c>
      <c r="S653" s="398" t="n">
        <f aca="false">S652-Débit*pas</f>
        <v>8.45</v>
      </c>
      <c r="T653" s="397" t="n">
        <f aca="false">m*g</f>
        <v>82.8945</v>
      </c>
      <c r="U653" s="400" t="n">
        <f aca="false">IF(pos_xz&lt;L_rampe,Poids*COS(Beta),0)</f>
        <v>0</v>
      </c>
      <c r="V653" s="396" t="n">
        <f aca="false">Rho_moyen*(20000-Alt_rampe-pos_z)/(20000+Alt_rampe+pos_z)</f>
        <v>1.22626389020984</v>
      </c>
      <c r="W653" s="397" t="n">
        <f aca="false">1/2*Rho*Sref*Cx*vit_xz^2</f>
        <v>62.0518575851124</v>
      </c>
      <c r="Y653" s="401" t="str">
        <f aca="false">IF(AND(pos_z&lt;=0,K652&gt;0),"Impact balistique","") &amp; IF(AND(H654&lt;0,vit_z&gt;=0),"Apogée","") &amp; IF(AND(Poussee=0,Q652&gt;0),"Fin de propulsion","") &amp; IF(AND(L654&gt;L_rampe,pos_xz&lt;=L_rampe),"Sortie de rampe","")</f>
        <v/>
      </c>
      <c r="Z653" s="402" t="str">
        <f aca="false">IF(ABS(t-T_para)&lt;pas/2,"Para","")</f>
        <v/>
      </c>
      <c r="AA653" s="403" t="str">
        <f aca="false">IF(ABS(t-T_satellite)&lt;pas/2,"Satellite","")</f>
        <v/>
      </c>
      <c r="AC653" s="399" t="e">
        <f aca="false">IF(ABS(t-ROUND(t,0))&lt;0.001,t,NA())</f>
        <v>#N/A</v>
      </c>
      <c r="AD653" s="404" t="e">
        <f aca="false">IF(ABS(t-ROUND(t,0))&lt;0.001,pos_x,NA())</f>
        <v>#N/A</v>
      </c>
      <c r="AE653" s="405" t="e">
        <f aca="false">IF(t&lt;T_para, pos_z, NA())</f>
        <v>#N/A</v>
      </c>
      <c r="AG653" s="396" t="n">
        <f aca="false">IF(AND(L652&lt;L_rampe,Poussee&lt;Poids*SIN(M652)),0,(-W652+Poussee)/m-Poids*SIN(M652)/m)</f>
        <v>2.41837918451414</v>
      </c>
      <c r="AH653" s="397" t="n">
        <f aca="false">IF(AND(L652&lt;L_rampe,Poussee&lt;Poids*SIN(M652)), g*SIN(M652), (-W652+Poussee)/m)</f>
        <v>-7.34337599623578</v>
      </c>
    </row>
    <row r="654" customFormat="false" ht="12.75" hidden="false" customHeight="false" outlineLevel="0" collapsed="false">
      <c r="A654" s="396" t="n">
        <f aca="false">IF(B653+0.01&lt;=T_ini+ROUNDUP(Temps_fin_propu,0), 0.01, IF(K653&gt;0, 0.1, 0.0001))</f>
        <v>0.0001</v>
      </c>
      <c r="B654" s="397" t="n">
        <f aca="false">B653+pas</f>
        <v>32.1149000000007</v>
      </c>
      <c r="D654" s="396" t="n">
        <f aca="false">IF(AND(L653&lt;L_rampe,Poussee&lt;Poids*SIN(M653)),0,(-W653+Poussee)/m*COS(M653)-U653/m*SIN(M653))</f>
        <v>-0.727387182561588</v>
      </c>
      <c r="E654" s="398" t="n">
        <f aca="false">IF(AND(L653&lt;L_rampe,Poussee&lt;Poids*SIN(M653)),0,(-W653+Poussee)/m*SIN(M653)+U653/m*COS(M653)-Poids/m)</f>
        <v>-2.50269863763868</v>
      </c>
      <c r="F654" s="397" t="n">
        <f aca="false">SQRT(acc_x^2+acc_z^2)</f>
        <v>2.60626026793055</v>
      </c>
      <c r="G654" s="396" t="n">
        <f aca="false">G653+acc_x*pas</f>
        <v>11.4864669127524</v>
      </c>
      <c r="H654" s="398" t="n">
        <f aca="false">H653+acc_z*pas</f>
        <v>-115.393549541949</v>
      </c>
      <c r="I654" s="397" t="n">
        <f aca="false">SQRT(vit_x^2+vit_z^2)</f>
        <v>115.963831421819</v>
      </c>
      <c r="J654" s="396" t="n">
        <f aca="false">J653+0.5*(vit_x+G653)*pas*(K653&gt;=0)</f>
        <v>690.928492655337</v>
      </c>
      <c r="K654" s="398" t="n">
        <f aca="false">K653+0.5*(vit_z+H653)*pas</f>
        <v>-10.3236906770181</v>
      </c>
      <c r="L654" s="397" t="n">
        <f aca="false">SQRT(pos_x^2+pos_z^2)</f>
        <v>691.005615427379</v>
      </c>
      <c r="M654" s="396" t="n">
        <f aca="false">IF(AND(L653&gt;L_rampe,G654&gt;0),ATAN2(G654,H654),$M$4)</f>
        <v>-1.47158148450743</v>
      </c>
      <c r="N654" s="397" t="n">
        <f aca="false">DEGREES(Beta)</f>
        <v>-84.3154082718722</v>
      </c>
      <c r="P654" s="399" t="n">
        <f aca="false">MATCH(t-pas/2-T_ini,CdP_t)</f>
        <v>23</v>
      </c>
      <c r="Q654" s="397" t="n">
        <f aca="false">(INDEX(CdP,2,i_P+1)-INDEX(CdP,2,i_P+0))/(INDEX(CdP,1,i_P+1)-INDEX(CdP,1,i_P+0))*(t-pas/2-T_ini-INDEX(CdP,1,i_P+0))+INDEX(CdP,2,i_P+0)</f>
        <v>0</v>
      </c>
      <c r="R654" s="396" t="n">
        <f aca="false">Poussee/(g*ISP)</f>
        <v>0</v>
      </c>
      <c r="S654" s="398" t="n">
        <f aca="false">S653-Débit*pas</f>
        <v>8.45</v>
      </c>
      <c r="T654" s="397" t="n">
        <f aca="false">m*g</f>
        <v>82.8945</v>
      </c>
      <c r="U654" s="400" t="n">
        <f aca="false">IF(pos_xz&lt;L_rampe,Poids*COS(Beta),0)</f>
        <v>0</v>
      </c>
      <c r="V654" s="396" t="n">
        <f aca="false">Rho_moyen*(20000-Alt_rampe-pos_z)/(20000+Alt_rampe+pos_z)</f>
        <v>1.22626530523893</v>
      </c>
      <c r="W654" s="397" t="n">
        <f aca="false">1/2*Rho*Sref*Cx*vit_xz^2</f>
        <v>62.0521879993098</v>
      </c>
      <c r="Y654" s="401" t="str">
        <f aca="false">IF(AND(pos_z&lt;=0,K653&gt;0),"Impact balistique","") &amp; IF(AND(H655&lt;0,vit_z&gt;=0),"Apogée","") &amp; IF(AND(Poussee=0,Q653&gt;0),"Fin de propulsion","") &amp; IF(AND(L655&gt;L_rampe,pos_xz&lt;=L_rampe),"Sortie de rampe","")</f>
        <v/>
      </c>
      <c r="Z654" s="402" t="str">
        <f aca="false">IF(ABS(t-T_para)&lt;pas/2,"Para","")</f>
        <v/>
      </c>
      <c r="AA654" s="403" t="str">
        <f aca="false">IF(ABS(t-T_satellite)&lt;pas/2,"Satellite","")</f>
        <v/>
      </c>
      <c r="AC654" s="399" t="e">
        <f aca="false">IF(ABS(t-ROUND(t,0))&lt;0.001,t,NA())</f>
        <v>#N/A</v>
      </c>
      <c r="AD654" s="404" t="e">
        <f aca="false">IF(ABS(t-ROUND(t,0))&lt;0.001,pos_x,NA())</f>
        <v>#N/A</v>
      </c>
      <c r="AE654" s="405" t="e">
        <f aca="false">IF(t&lt;T_para, pos_z, NA())</f>
        <v>#N/A</v>
      </c>
      <c r="AG654" s="396" t="n">
        <f aca="false">IF(AND(L653&lt;L_rampe,Poussee&lt;Poids*SIN(M653)),0,(-W653+Poussee)/m-Poids*SIN(M653)/m)</f>
        <v>2.41834089616858</v>
      </c>
      <c r="AH654" s="397" t="n">
        <f aca="false">IF(AND(L653&lt;L_rampe,Poussee&lt;Poids*SIN(M653)), g*SIN(M653), (-W653+Poussee)/m)</f>
        <v>-7.34341509882987</v>
      </c>
    </row>
    <row r="655" customFormat="false" ht="12.75" hidden="false" customHeight="false" outlineLevel="0" collapsed="false">
      <c r="A655" s="396" t="n">
        <f aca="false">IF(B654+0.01&lt;=T_ini+ROUNDUP(Temps_fin_propu,0), 0.01, IF(K654&gt;0, 0.1, 0.0001))</f>
        <v>0.0001</v>
      </c>
      <c r="B655" s="397" t="n">
        <f aca="false">B654+pas</f>
        <v>32.1150000000007</v>
      </c>
      <c r="D655" s="396" t="n">
        <f aca="false">IF(AND(L654&lt;L_rampe,Poussee&lt;Poids*SIN(M654)),0,(-W654+Poussee)/m*COS(M654)-U654/m*SIN(M654))</f>
        <v>-0.727384932629924</v>
      </c>
      <c r="E655" s="398" t="n">
        <f aca="false">IF(AND(L654&lt;L_rampe,Poussee&lt;Poids*SIN(M654)),0,(-W654+Poussee)/m*SIN(M654)+U654/m*COS(M654)-Poids/m)</f>
        <v>-2.50265911815646</v>
      </c>
      <c r="F655" s="397" t="n">
        <f aca="false">SQRT(acc_x^2+acc_z^2)</f>
        <v>2.60622169085991</v>
      </c>
      <c r="G655" s="396" t="n">
        <f aca="false">G654+acc_x*pas</f>
        <v>11.4863941742591</v>
      </c>
      <c r="H655" s="398" t="n">
        <f aca="false">H654+acc_z*pas</f>
        <v>-115.393799807861</v>
      </c>
      <c r="I655" s="397" t="n">
        <f aca="false">SQRT(vit_x^2+vit_z^2)</f>
        <v>115.964073252121</v>
      </c>
      <c r="J655" s="396" t="n">
        <f aca="false">J654+0.5*(vit_x+G654)*pas*(K654&gt;=0)</f>
        <v>690.928492655337</v>
      </c>
      <c r="K655" s="398" t="n">
        <f aca="false">K654+0.5*(vit_z+H654)*pas</f>
        <v>-10.3352300444856</v>
      </c>
      <c r="L655" s="397" t="n">
        <f aca="false">SQRT(pos_x^2+pos_z^2)</f>
        <v>691.005787922973</v>
      </c>
      <c r="M655" s="396" t="n">
        <f aca="false">IF(AND(L654&gt;L_rampe,G655&gt;0),ATAN2(G655,H655),$M$4)</f>
        <v>-1.47158232244074</v>
      </c>
      <c r="N655" s="397" t="n">
        <f aca="false">DEGREES(Beta)</f>
        <v>-84.3154562819144</v>
      </c>
      <c r="P655" s="399" t="n">
        <f aca="false">MATCH(t-pas/2-T_ini,CdP_t)</f>
        <v>23</v>
      </c>
      <c r="Q655" s="397" t="n">
        <f aca="false">(INDEX(CdP,2,i_P+1)-INDEX(CdP,2,i_P+0))/(INDEX(CdP,1,i_P+1)-INDEX(CdP,1,i_P+0))*(t-pas/2-T_ini-INDEX(CdP,1,i_P+0))+INDEX(CdP,2,i_P+0)</f>
        <v>0</v>
      </c>
      <c r="R655" s="396" t="n">
        <f aca="false">Poussee/(g*ISP)</f>
        <v>0</v>
      </c>
      <c r="S655" s="398" t="n">
        <f aca="false">S654-Débit*pas</f>
        <v>8.45</v>
      </c>
      <c r="T655" s="397" t="n">
        <f aca="false">m*g</f>
        <v>82.8945</v>
      </c>
      <c r="U655" s="400" t="n">
        <f aca="false">IF(pos_xz&lt;L_rampe,Poids*COS(Beta),0)</f>
        <v>0</v>
      </c>
      <c r="V655" s="396" t="n">
        <f aca="false">Rho_moyen*(20000-Alt_rampe-pos_z)/(20000+Alt_rampe+pos_z)</f>
        <v>1.22626672027272</v>
      </c>
      <c r="W655" s="397" t="n">
        <f aca="false">1/2*Rho*Sref*Cx*vit_xz^2</f>
        <v>62.0525184107847</v>
      </c>
      <c r="Y655" s="401" t="str">
        <f aca="false">IF(AND(pos_z&lt;=0,K654&gt;0),"Impact balistique","") &amp; IF(AND(H656&lt;0,vit_z&gt;=0),"Apogée","") &amp; IF(AND(Poussee=0,Q654&gt;0),"Fin de propulsion","") &amp; IF(AND(L656&gt;L_rampe,pos_xz&lt;=L_rampe),"Sortie de rampe","")</f>
        <v/>
      </c>
      <c r="Z655" s="402" t="str">
        <f aca="false">IF(ABS(t-T_para)&lt;pas/2,"Para","")</f>
        <v/>
      </c>
      <c r="AA655" s="403" t="str">
        <f aca="false">IF(ABS(t-T_satellite)&lt;pas/2,"Satellite","")</f>
        <v/>
      </c>
      <c r="AC655" s="399" t="e">
        <f aca="false">IF(ABS(t-ROUND(t,0))&lt;0.001,t,NA())</f>
        <v>#N/A</v>
      </c>
      <c r="AD655" s="404" t="e">
        <f aca="false">IF(ABS(t-ROUND(t,0))&lt;0.001,pos_x,NA())</f>
        <v>#N/A</v>
      </c>
      <c r="AE655" s="405" t="e">
        <f aca="false">IF(t&lt;T_para, pos_z, NA())</f>
        <v>#N/A</v>
      </c>
      <c r="AG655" s="396" t="n">
        <f aca="false">IF(AND(L654&lt;L_rampe,Poussee&lt;Poids*SIN(M654)),0,(-W654+Poussee)/m-Poids*SIN(M654)/m)</f>
        <v>2.41830260812981</v>
      </c>
      <c r="AH655" s="397" t="n">
        <f aca="false">IF(AND(L654&lt;L_rampe,Poussee&lt;Poids*SIN(M654)), g*SIN(M654), (-W654+Poussee)/m)</f>
        <v>-7.34345420110176</v>
      </c>
    </row>
    <row r="656" customFormat="false" ht="12.75" hidden="false" customHeight="false" outlineLevel="0" collapsed="false">
      <c r="A656" s="396" t="n">
        <f aca="false">IF(B655+0.01&lt;=T_ini+ROUNDUP(Temps_fin_propu,0), 0.01, IF(K655&gt;0, 0.1, 0.0001))</f>
        <v>0.0001</v>
      </c>
      <c r="B656" s="397" t="n">
        <f aca="false">B655+pas</f>
        <v>32.1151000000007</v>
      </c>
      <c r="D656" s="396" t="n">
        <f aca="false">IF(AND(L655&lt;L_rampe,Poussee&lt;Poids*SIN(M655)),0,(-W655+Poussee)/m*COS(M655)-U655/m*SIN(M655))</f>
        <v>-0.727382682664937</v>
      </c>
      <c r="E656" s="398" t="n">
        <f aca="false">IF(AND(L655&lt;L_rampe,Poussee&lt;Poids*SIN(M655)),0,(-W655+Poussee)/m*SIN(M655)+U655/m*COS(M655)-Poids/m)</f>
        <v>-2.50261959899989</v>
      </c>
      <c r="F656" s="397" t="n">
        <f aca="false">SQRT(acc_x^2+acc_z^2)</f>
        <v>2.60618311412288</v>
      </c>
      <c r="G656" s="396" t="n">
        <f aca="false">G655+acc_x*pas</f>
        <v>11.4863214359908</v>
      </c>
      <c r="H656" s="398" t="n">
        <f aca="false">H655+acc_z*pas</f>
        <v>-115.394050069821</v>
      </c>
      <c r="I656" s="397" t="n">
        <f aca="false">SQRT(vit_x^2+vit_z^2)</f>
        <v>115.964315078593</v>
      </c>
      <c r="J656" s="396" t="n">
        <f aca="false">J655+0.5*(vit_x+G655)*pas*(K655&gt;=0)</f>
        <v>690.928492655337</v>
      </c>
      <c r="K656" s="398" t="n">
        <f aca="false">K655+0.5*(vit_z+H655)*pas</f>
        <v>-10.3467694369795</v>
      </c>
      <c r="L656" s="397" t="n">
        <f aca="false">SQRT(pos_x^2+pos_z^2)</f>
        <v>691.005960611598</v>
      </c>
      <c r="M656" s="396" t="n">
        <f aca="false">IF(AND(L655&gt;L_rampe,G656&gt;0),ATAN2(G656,H656),$M$4)</f>
        <v>-1.47158316036525</v>
      </c>
      <c r="N656" s="397" t="n">
        <f aca="false">DEGREES(Beta)</f>
        <v>-84.3155042914524</v>
      </c>
      <c r="P656" s="399" t="n">
        <f aca="false">MATCH(t-pas/2-T_ini,CdP_t)</f>
        <v>23</v>
      </c>
      <c r="Q656" s="397" t="n">
        <f aca="false">(INDEX(CdP,2,i_P+1)-INDEX(CdP,2,i_P+0))/(INDEX(CdP,1,i_P+1)-INDEX(CdP,1,i_P+0))*(t-pas/2-T_ini-INDEX(CdP,1,i_P+0))+INDEX(CdP,2,i_P+0)</f>
        <v>0</v>
      </c>
      <c r="R656" s="396" t="n">
        <f aca="false">Poussee/(g*ISP)</f>
        <v>0</v>
      </c>
      <c r="S656" s="398" t="n">
        <f aca="false">S655-Débit*pas</f>
        <v>8.45</v>
      </c>
      <c r="T656" s="397" t="n">
        <f aca="false">m*g</f>
        <v>82.8945</v>
      </c>
      <c r="U656" s="400" t="n">
        <f aca="false">IF(pos_xz&lt;L_rampe,Poids*COS(Beta),0)</f>
        <v>0</v>
      </c>
      <c r="V656" s="396" t="n">
        <f aca="false">Rho_moyen*(20000-Alt_rampe-pos_z)/(20000+Alt_rampe+pos_z)</f>
        <v>1.22626813531121</v>
      </c>
      <c r="W656" s="397" t="n">
        <f aca="false">1/2*Rho*Sref*Cx*vit_xz^2</f>
        <v>62.0528488195369</v>
      </c>
      <c r="Y656" s="401" t="str">
        <f aca="false">IF(AND(pos_z&lt;=0,K655&gt;0),"Impact balistique","") &amp; IF(AND(H657&lt;0,vit_z&gt;=0),"Apogée","") &amp; IF(AND(Poussee=0,Q655&gt;0),"Fin de propulsion","") &amp; IF(AND(L657&gt;L_rampe,pos_xz&lt;=L_rampe),"Sortie de rampe","")</f>
        <v/>
      </c>
      <c r="Z656" s="402" t="str">
        <f aca="false">IF(ABS(t-T_para)&lt;pas/2,"Para","")</f>
        <v/>
      </c>
      <c r="AA656" s="403" t="str">
        <f aca="false">IF(ABS(t-T_satellite)&lt;pas/2,"Satellite","")</f>
        <v/>
      </c>
      <c r="AC656" s="399" t="e">
        <f aca="false">IF(ABS(t-ROUND(t,0))&lt;0.001,t,NA())</f>
        <v>#N/A</v>
      </c>
      <c r="AD656" s="404" t="e">
        <f aca="false">IF(ABS(t-ROUND(t,0))&lt;0.001,pos_x,NA())</f>
        <v>#N/A</v>
      </c>
      <c r="AE656" s="405" t="e">
        <f aca="false">IF(t&lt;T_para, pos_z, NA())</f>
        <v>#N/A</v>
      </c>
      <c r="AG656" s="396" t="n">
        <f aca="false">IF(AND(L655&lt;L_rampe,Poussee&lt;Poids*SIN(M655)),0,(-W655+Poussee)/m-Poids*SIN(M655)/m)</f>
        <v>2.41826432039783</v>
      </c>
      <c r="AH656" s="397" t="n">
        <f aca="false">IF(AND(L655&lt;L_rampe,Poussee&lt;Poids*SIN(M655)), g*SIN(M655), (-W655+Poussee)/m)</f>
        <v>-7.34349330305144</v>
      </c>
    </row>
    <row r="657" customFormat="false" ht="12.75" hidden="false" customHeight="false" outlineLevel="0" collapsed="false">
      <c r="A657" s="396" t="n">
        <f aca="false">IF(B656+0.01&lt;=T_ini+ROUNDUP(Temps_fin_propu,0), 0.01, IF(K656&gt;0, 0.1, 0.0001))</f>
        <v>0.0001</v>
      </c>
      <c r="B657" s="397" t="n">
        <f aca="false">B656+pas</f>
        <v>32.1152000000007</v>
      </c>
      <c r="D657" s="396" t="n">
        <f aca="false">IF(AND(L656&lt;L_rampe,Poussee&lt;Poids*SIN(M656)),0,(-W656+Poussee)/m*COS(M656)-U656/m*SIN(M656))</f>
        <v>-0.727380432666632</v>
      </c>
      <c r="E657" s="398" t="n">
        <f aca="false">IF(AND(L656&lt;L_rampe,Poussee&lt;Poids*SIN(M656)),0,(-W656+Poussee)/m*SIN(M656)+U656/m*COS(M656)-Poids/m)</f>
        <v>-2.50258008016898</v>
      </c>
      <c r="F657" s="397" t="n">
        <f aca="false">SQRT(acc_x^2+acc_z^2)</f>
        <v>2.60614453771944</v>
      </c>
      <c r="G657" s="396" t="n">
        <f aca="false">G656+acc_x*pas</f>
        <v>11.4862486979476</v>
      </c>
      <c r="H657" s="398" t="n">
        <f aca="false">H656+acc_z*pas</f>
        <v>-115.394300327829</v>
      </c>
      <c r="I657" s="397" t="n">
        <f aca="false">SQRT(vit_x^2+vit_z^2)</f>
        <v>115.964556901237</v>
      </c>
      <c r="J657" s="396" t="n">
        <f aca="false">J656+0.5*(vit_x+G656)*pas*(K656&gt;=0)</f>
        <v>690.928492655337</v>
      </c>
      <c r="K657" s="398" t="n">
        <f aca="false">K656+0.5*(vit_z+H656)*pas</f>
        <v>-10.3583088544993</v>
      </c>
      <c r="L657" s="397" t="n">
        <f aca="false">SQRT(pos_x^2+pos_z^2)</f>
        <v>691.006133493257</v>
      </c>
      <c r="M657" s="396" t="n">
        <f aca="false">IF(AND(L656&gt;L_rampe,G657&gt;0),ATAN2(G657,H657),$M$4)</f>
        <v>-1.47158399828096</v>
      </c>
      <c r="N657" s="397" t="n">
        <f aca="false">DEGREES(Beta)</f>
        <v>-84.3155523004862</v>
      </c>
      <c r="P657" s="399" t="n">
        <f aca="false">MATCH(t-pas/2-T_ini,CdP_t)</f>
        <v>23</v>
      </c>
      <c r="Q657" s="397" t="n">
        <f aca="false">(INDEX(CdP,2,i_P+1)-INDEX(CdP,2,i_P+0))/(INDEX(CdP,1,i_P+1)-INDEX(CdP,1,i_P+0))*(t-pas/2-T_ini-INDEX(CdP,1,i_P+0))+INDEX(CdP,2,i_P+0)</f>
        <v>0</v>
      </c>
      <c r="R657" s="396" t="n">
        <f aca="false">Poussee/(g*ISP)</f>
        <v>0</v>
      </c>
      <c r="S657" s="398" t="n">
        <f aca="false">S656-Débit*pas</f>
        <v>8.45</v>
      </c>
      <c r="T657" s="397" t="n">
        <f aca="false">m*g</f>
        <v>82.8945</v>
      </c>
      <c r="U657" s="400" t="n">
        <f aca="false">IF(pos_xz&lt;L_rampe,Poids*COS(Beta),0)</f>
        <v>0</v>
      </c>
      <c r="V657" s="396" t="n">
        <f aca="false">Rho_moyen*(20000-Alt_rampe-pos_z)/(20000+Alt_rampe+pos_z)</f>
        <v>1.22626955035441</v>
      </c>
      <c r="W657" s="397" t="n">
        <f aca="false">1/2*Rho*Sref*Cx*vit_xz^2</f>
        <v>62.0531792255665</v>
      </c>
      <c r="Y657" s="401" t="str">
        <f aca="false">IF(AND(pos_z&lt;=0,K656&gt;0),"Impact balistique","") &amp; IF(AND(H658&lt;0,vit_z&gt;=0),"Apogée","") &amp; IF(AND(Poussee=0,Q656&gt;0),"Fin de propulsion","") &amp; IF(AND(L658&gt;L_rampe,pos_xz&lt;=L_rampe),"Sortie de rampe","")</f>
        <v/>
      </c>
      <c r="Z657" s="402" t="str">
        <f aca="false">IF(ABS(t-T_para)&lt;pas/2,"Para","")</f>
        <v/>
      </c>
      <c r="AA657" s="403" t="str">
        <f aca="false">IF(ABS(t-T_satellite)&lt;pas/2,"Satellite","")</f>
        <v/>
      </c>
      <c r="AC657" s="399" t="e">
        <f aca="false">IF(ABS(t-ROUND(t,0))&lt;0.001,t,NA())</f>
        <v>#N/A</v>
      </c>
      <c r="AD657" s="404" t="e">
        <f aca="false">IF(ABS(t-ROUND(t,0))&lt;0.001,pos_x,NA())</f>
        <v>#N/A</v>
      </c>
      <c r="AE657" s="405" t="e">
        <f aca="false">IF(t&lt;T_para, pos_z, NA())</f>
        <v>#N/A</v>
      </c>
      <c r="AG657" s="396" t="n">
        <f aca="false">IF(AND(L656&lt;L_rampe,Poussee&lt;Poids*SIN(M656)),0,(-W656+Poussee)/m-Poids*SIN(M656)/m)</f>
        <v>2.41822603297265</v>
      </c>
      <c r="AH657" s="397" t="n">
        <f aca="false">IF(AND(L656&lt;L_rampe,Poussee&lt;Poids*SIN(M656)), g*SIN(M656), (-W656+Poussee)/m)</f>
        <v>-7.34353240467893</v>
      </c>
    </row>
    <row r="658" customFormat="false" ht="12.75" hidden="false" customHeight="false" outlineLevel="0" collapsed="false">
      <c r="A658" s="396" t="n">
        <f aca="false">IF(B657+0.01&lt;=T_ini+ROUNDUP(Temps_fin_propu,0), 0.01, IF(K657&gt;0, 0.1, 0.0001))</f>
        <v>0.0001</v>
      </c>
      <c r="B658" s="397" t="n">
        <f aca="false">B657+pas</f>
        <v>32.1153000000007</v>
      </c>
      <c r="D658" s="396" t="n">
        <f aca="false">IF(AND(L657&lt;L_rampe,Poussee&lt;Poids*SIN(M657)),0,(-W657+Poussee)/m*COS(M657)-U657/m*SIN(M657))</f>
        <v>-0.727378182635007</v>
      </c>
      <c r="E658" s="398" t="n">
        <f aca="false">IF(AND(L657&lt;L_rampe,Poussee&lt;Poids*SIN(M657)),0,(-W657+Poussee)/m*SIN(M657)+U657/m*COS(M657)-Poids/m)</f>
        <v>-2.50254056166374</v>
      </c>
      <c r="F658" s="397" t="n">
        <f aca="false">SQRT(acc_x^2+acc_z^2)</f>
        <v>2.60610596164962</v>
      </c>
      <c r="G658" s="396" t="n">
        <f aca="false">G657+acc_x*pas</f>
        <v>11.4861759601293</v>
      </c>
      <c r="H658" s="398" t="n">
        <f aca="false">H657+acc_z*pas</f>
        <v>-115.394550581885</v>
      </c>
      <c r="I658" s="397" t="n">
        <f aca="false">SQRT(vit_x^2+vit_z^2)</f>
        <v>115.964798720053</v>
      </c>
      <c r="J658" s="396" t="n">
        <f aca="false">J657+0.5*(vit_x+G657)*pas*(K657&gt;=0)</f>
        <v>690.928492655337</v>
      </c>
      <c r="K658" s="398" t="n">
        <f aca="false">K657+0.5*(vit_z+H657)*pas</f>
        <v>-10.3698482970448</v>
      </c>
      <c r="L658" s="397" t="n">
        <f aca="false">SQRT(pos_x^2+pos_z^2)</f>
        <v>691.00630656795</v>
      </c>
      <c r="M658" s="396" t="n">
        <f aca="false">IF(AND(L657&gt;L_rampe,G658&gt;0),ATAN2(G658,H658),$M$4)</f>
        <v>-1.47158483618787</v>
      </c>
      <c r="N658" s="397" t="n">
        <f aca="false">DEGREES(Beta)</f>
        <v>-84.3156003090157</v>
      </c>
      <c r="P658" s="399" t="n">
        <f aca="false">MATCH(t-pas/2-T_ini,CdP_t)</f>
        <v>23</v>
      </c>
      <c r="Q658" s="397" t="n">
        <f aca="false">(INDEX(CdP,2,i_P+1)-INDEX(CdP,2,i_P+0))/(INDEX(CdP,1,i_P+1)-INDEX(CdP,1,i_P+0))*(t-pas/2-T_ini-INDEX(CdP,1,i_P+0))+INDEX(CdP,2,i_P+0)</f>
        <v>0</v>
      </c>
      <c r="R658" s="396" t="n">
        <f aca="false">Poussee/(g*ISP)</f>
        <v>0</v>
      </c>
      <c r="S658" s="398" t="n">
        <f aca="false">S657-Débit*pas</f>
        <v>8.45</v>
      </c>
      <c r="T658" s="397" t="n">
        <f aca="false">m*g</f>
        <v>82.8945</v>
      </c>
      <c r="U658" s="400" t="n">
        <f aca="false">IF(pos_xz&lt;L_rampe,Poids*COS(Beta),0)</f>
        <v>0</v>
      </c>
      <c r="V658" s="396" t="n">
        <f aca="false">Rho_moyen*(20000-Alt_rampe-pos_z)/(20000+Alt_rampe+pos_z)</f>
        <v>1.22627096540231</v>
      </c>
      <c r="W658" s="397" t="n">
        <f aca="false">1/2*Rho*Sref*Cx*vit_xz^2</f>
        <v>62.0535096288736</v>
      </c>
      <c r="Y658" s="401" t="str">
        <f aca="false">IF(AND(pos_z&lt;=0,K657&gt;0),"Impact balistique","") &amp; IF(AND(H659&lt;0,vit_z&gt;=0),"Apogée","") &amp; IF(AND(Poussee=0,Q657&gt;0),"Fin de propulsion","") &amp; IF(AND(L659&gt;L_rampe,pos_xz&lt;=L_rampe),"Sortie de rampe","")</f>
        <v/>
      </c>
      <c r="Z658" s="402" t="str">
        <f aca="false">IF(ABS(t-T_para)&lt;pas/2,"Para","")</f>
        <v/>
      </c>
      <c r="AA658" s="403" t="str">
        <f aca="false">IF(ABS(t-T_satellite)&lt;pas/2,"Satellite","")</f>
        <v/>
      </c>
      <c r="AC658" s="399" t="e">
        <f aca="false">IF(ABS(t-ROUND(t,0))&lt;0.001,t,NA())</f>
        <v>#N/A</v>
      </c>
      <c r="AD658" s="404" t="e">
        <f aca="false">IF(ABS(t-ROUND(t,0))&lt;0.001,pos_x,NA())</f>
        <v>#N/A</v>
      </c>
      <c r="AE658" s="405" t="e">
        <f aca="false">IF(t&lt;T_para, pos_z, NA())</f>
        <v>#N/A</v>
      </c>
      <c r="AG658" s="396" t="n">
        <f aca="false">IF(AND(L657&lt;L_rampe,Poussee&lt;Poids*SIN(M657)),0,(-W657+Poussee)/m-Poids*SIN(M657)/m)</f>
        <v>2.41818774585427</v>
      </c>
      <c r="AH658" s="397" t="n">
        <f aca="false">IF(AND(L657&lt;L_rampe,Poussee&lt;Poids*SIN(M657)), g*SIN(M657), (-W657+Poussee)/m)</f>
        <v>-7.34357150598421</v>
      </c>
    </row>
    <row r="659" customFormat="false" ht="12.75" hidden="false" customHeight="false" outlineLevel="0" collapsed="false">
      <c r="A659" s="396" t="n">
        <f aca="false">IF(B658+0.01&lt;=T_ini+ROUNDUP(Temps_fin_propu,0), 0.01, IF(K658&gt;0, 0.1, 0.0001))</f>
        <v>0.0001</v>
      </c>
      <c r="B659" s="397" t="n">
        <f aca="false">B658+pas</f>
        <v>32.1154000000007</v>
      </c>
      <c r="D659" s="396" t="n">
        <f aca="false">IF(AND(L658&lt;L_rampe,Poussee&lt;Poids*SIN(M658)),0,(-W658+Poussee)/m*COS(M658)-U658/m*SIN(M658))</f>
        <v>-0.727375932570065</v>
      </c>
      <c r="E659" s="398" t="n">
        <f aca="false">IF(AND(L658&lt;L_rampe,Poussee&lt;Poids*SIN(M658)),0,(-W658+Poussee)/m*SIN(M658)+U658/m*COS(M658)-Poids/m)</f>
        <v>-2.50250104348415</v>
      </c>
      <c r="F659" s="397" t="n">
        <f aca="false">SQRT(acc_x^2+acc_z^2)</f>
        <v>2.60606738591339</v>
      </c>
      <c r="G659" s="396" t="n">
        <f aca="false">G658+acc_x*pas</f>
        <v>11.486103222536</v>
      </c>
      <c r="H659" s="398" t="n">
        <f aca="false">H658+acc_z*pas</f>
        <v>-115.39480083199</v>
      </c>
      <c r="I659" s="397" t="n">
        <f aca="false">SQRT(vit_x^2+vit_z^2)</f>
        <v>115.965040535039</v>
      </c>
      <c r="J659" s="396" t="n">
        <f aca="false">J658+0.5*(vit_x+G658)*pas*(K658&gt;=0)</f>
        <v>690.928492655337</v>
      </c>
      <c r="K659" s="398" t="n">
        <f aca="false">K658+0.5*(vit_z+H658)*pas</f>
        <v>-10.3813877646155</v>
      </c>
      <c r="L659" s="397" t="n">
        <f aca="false">SQRT(pos_x^2+pos_z^2)</f>
        <v>691.006479835678</v>
      </c>
      <c r="M659" s="396" t="n">
        <f aca="false">IF(AND(L658&gt;L_rampe,G659&gt;0),ATAN2(G659,H659),$M$4)</f>
        <v>-1.47158567408598</v>
      </c>
      <c r="N659" s="397" t="n">
        <f aca="false">DEGREES(Beta)</f>
        <v>-84.3156483170409</v>
      </c>
      <c r="P659" s="399" t="n">
        <f aca="false">MATCH(t-pas/2-T_ini,CdP_t)</f>
        <v>23</v>
      </c>
      <c r="Q659" s="397" t="n">
        <f aca="false">(INDEX(CdP,2,i_P+1)-INDEX(CdP,2,i_P+0))/(INDEX(CdP,1,i_P+1)-INDEX(CdP,1,i_P+0))*(t-pas/2-T_ini-INDEX(CdP,1,i_P+0))+INDEX(CdP,2,i_P+0)</f>
        <v>0</v>
      </c>
      <c r="R659" s="396" t="n">
        <f aca="false">Poussee/(g*ISP)</f>
        <v>0</v>
      </c>
      <c r="S659" s="398" t="n">
        <f aca="false">S658-Débit*pas</f>
        <v>8.45</v>
      </c>
      <c r="T659" s="397" t="n">
        <f aca="false">m*g</f>
        <v>82.8945</v>
      </c>
      <c r="U659" s="400" t="n">
        <f aca="false">IF(pos_xz&lt;L_rampe,Poids*COS(Beta),0)</f>
        <v>0</v>
      </c>
      <c r="V659" s="396" t="n">
        <f aca="false">Rho_moyen*(20000-Alt_rampe-pos_z)/(20000+Alt_rampe+pos_z)</f>
        <v>1.22627238045491</v>
      </c>
      <c r="W659" s="397" t="n">
        <f aca="false">1/2*Rho*Sref*Cx*vit_xz^2</f>
        <v>62.053840029458</v>
      </c>
      <c r="Y659" s="401" t="str">
        <f aca="false">IF(AND(pos_z&lt;=0,K658&gt;0),"Impact balistique","") &amp; IF(AND(H660&lt;0,vit_z&gt;=0),"Apogée","") &amp; IF(AND(Poussee=0,Q658&gt;0),"Fin de propulsion","") &amp; IF(AND(L660&gt;L_rampe,pos_xz&lt;=L_rampe),"Sortie de rampe","")</f>
        <v/>
      </c>
      <c r="Z659" s="402" t="str">
        <f aca="false">IF(ABS(t-T_para)&lt;pas/2,"Para","")</f>
        <v/>
      </c>
      <c r="AA659" s="403" t="str">
        <f aca="false">IF(ABS(t-T_satellite)&lt;pas/2,"Satellite","")</f>
        <v/>
      </c>
      <c r="AC659" s="399" t="e">
        <f aca="false">IF(ABS(t-ROUND(t,0))&lt;0.001,t,NA())</f>
        <v>#N/A</v>
      </c>
      <c r="AD659" s="404" t="e">
        <f aca="false">IF(ABS(t-ROUND(t,0))&lt;0.001,pos_x,NA())</f>
        <v>#N/A</v>
      </c>
      <c r="AE659" s="405" t="e">
        <f aca="false">IF(t&lt;T_para, pos_z, NA())</f>
        <v>#N/A</v>
      </c>
      <c r="AG659" s="396" t="n">
        <f aca="false">IF(AND(L658&lt;L_rampe,Poussee&lt;Poids*SIN(M658)),0,(-W658+Poussee)/m-Poids*SIN(M658)/m)</f>
        <v>2.41814945904269</v>
      </c>
      <c r="AH659" s="397" t="n">
        <f aca="false">IF(AND(L658&lt;L_rampe,Poussee&lt;Poids*SIN(M658)), g*SIN(M658), (-W658+Poussee)/m)</f>
        <v>-7.34361060696728</v>
      </c>
    </row>
    <row r="660" customFormat="false" ht="12.75" hidden="false" customHeight="false" outlineLevel="0" collapsed="false">
      <c r="A660" s="396" t="n">
        <f aca="false">IF(B659+0.01&lt;=T_ini+ROUNDUP(Temps_fin_propu,0), 0.01, IF(K659&gt;0, 0.1, 0.0001))</f>
        <v>0.0001</v>
      </c>
      <c r="B660" s="397" t="n">
        <f aca="false">B659+pas</f>
        <v>32.1155000000007</v>
      </c>
      <c r="D660" s="396" t="n">
        <f aca="false">IF(AND(L659&lt;L_rampe,Poussee&lt;Poids*SIN(M659)),0,(-W659+Poussee)/m*COS(M659)-U659/m*SIN(M659))</f>
        <v>-0.727373682471806</v>
      </c>
      <c r="E660" s="398" t="n">
        <f aca="false">IF(AND(L659&lt;L_rampe,Poussee&lt;Poids*SIN(M659)),0,(-W659+Poussee)/m*SIN(M659)+U659/m*COS(M659)-Poids/m)</f>
        <v>-2.50246152563022</v>
      </c>
      <c r="F660" s="397" t="n">
        <f aca="false">SQRT(acc_x^2+acc_z^2)</f>
        <v>2.60602881051076</v>
      </c>
      <c r="G660" s="396" t="n">
        <f aca="false">G659+acc_x*pas</f>
        <v>11.4860304851678</v>
      </c>
      <c r="H660" s="398" t="n">
        <f aca="false">H659+acc_z*pas</f>
        <v>-115.395051078142</v>
      </c>
      <c r="I660" s="397" t="n">
        <f aca="false">SQRT(vit_x^2+vit_z^2)</f>
        <v>115.965282346197</v>
      </c>
      <c r="J660" s="396" t="n">
        <f aca="false">J659+0.5*(vit_x+G659)*pas*(K659&gt;=0)</f>
        <v>690.928492655337</v>
      </c>
      <c r="K660" s="398" t="n">
        <f aca="false">K659+0.5*(vit_z+H659)*pas</f>
        <v>-10.392927257211</v>
      </c>
      <c r="L660" s="397" t="n">
        <f aca="false">SQRT(pos_x^2+pos_z^2)</f>
        <v>691.006653296442</v>
      </c>
      <c r="M660" s="396" t="n">
        <f aca="false">IF(AND(L659&gt;L_rampe,G660&gt;0),ATAN2(G660,H660),$M$4)</f>
        <v>-1.47158651197529</v>
      </c>
      <c r="N660" s="397" t="n">
        <f aca="false">DEGREES(Beta)</f>
        <v>-84.3156963245619</v>
      </c>
      <c r="P660" s="399" t="n">
        <f aca="false">MATCH(t-pas/2-T_ini,CdP_t)</f>
        <v>23</v>
      </c>
      <c r="Q660" s="397" t="n">
        <f aca="false">(INDEX(CdP,2,i_P+1)-INDEX(CdP,2,i_P+0))/(INDEX(CdP,1,i_P+1)-INDEX(CdP,1,i_P+0))*(t-pas/2-T_ini-INDEX(CdP,1,i_P+0))+INDEX(CdP,2,i_P+0)</f>
        <v>0</v>
      </c>
      <c r="R660" s="396" t="n">
        <f aca="false">Poussee/(g*ISP)</f>
        <v>0</v>
      </c>
      <c r="S660" s="398" t="n">
        <f aca="false">S659-Débit*pas</f>
        <v>8.45</v>
      </c>
      <c r="T660" s="397" t="n">
        <f aca="false">m*g</f>
        <v>82.8945</v>
      </c>
      <c r="U660" s="400" t="n">
        <f aca="false">IF(pos_xz&lt;L_rampe,Poids*COS(Beta),0)</f>
        <v>0</v>
      </c>
      <c r="V660" s="396" t="n">
        <f aca="false">Rho_moyen*(20000-Alt_rampe-pos_z)/(20000+Alt_rampe+pos_z)</f>
        <v>1.22627379551221</v>
      </c>
      <c r="W660" s="397" t="n">
        <f aca="false">1/2*Rho*Sref*Cx*vit_xz^2</f>
        <v>62.0541704273198</v>
      </c>
      <c r="Y660" s="401" t="str">
        <f aca="false">IF(AND(pos_z&lt;=0,K659&gt;0),"Impact balistique","") &amp; IF(AND(H661&lt;0,vit_z&gt;=0),"Apogée","") &amp; IF(AND(Poussee=0,Q659&gt;0),"Fin de propulsion","") &amp; IF(AND(L661&gt;L_rampe,pos_xz&lt;=L_rampe),"Sortie de rampe","")</f>
        <v/>
      </c>
      <c r="Z660" s="402" t="str">
        <f aca="false">IF(ABS(t-T_para)&lt;pas/2,"Para","")</f>
        <v/>
      </c>
      <c r="AA660" s="403" t="str">
        <f aca="false">IF(ABS(t-T_satellite)&lt;pas/2,"Satellite","")</f>
        <v/>
      </c>
      <c r="AC660" s="399" t="e">
        <f aca="false">IF(ABS(t-ROUND(t,0))&lt;0.001,t,NA())</f>
        <v>#N/A</v>
      </c>
      <c r="AD660" s="404" t="e">
        <f aca="false">IF(ABS(t-ROUND(t,0))&lt;0.001,pos_x,NA())</f>
        <v>#N/A</v>
      </c>
      <c r="AE660" s="405" t="e">
        <f aca="false">IF(t&lt;T_para, pos_z, NA())</f>
        <v>#N/A</v>
      </c>
      <c r="AG660" s="396" t="n">
        <f aca="false">IF(AND(L659&lt;L_rampe,Poussee&lt;Poids*SIN(M659)),0,(-W659+Poussee)/m-Poids*SIN(M659)/m)</f>
        <v>2.4181111725379</v>
      </c>
      <c r="AH660" s="397" t="n">
        <f aca="false">IF(AND(L659&lt;L_rampe,Poussee&lt;Poids*SIN(M659)), g*SIN(M659), (-W659+Poussee)/m)</f>
        <v>-7.34364970762817</v>
      </c>
    </row>
    <row r="661" customFormat="false" ht="12.75" hidden="false" customHeight="false" outlineLevel="0" collapsed="false">
      <c r="A661" s="396" t="n">
        <f aca="false">IF(B660+0.01&lt;=T_ini+ROUNDUP(Temps_fin_propu,0), 0.01, IF(K660&gt;0, 0.1, 0.0001))</f>
        <v>0.0001</v>
      </c>
      <c r="B661" s="397" t="n">
        <f aca="false">B660+pas</f>
        <v>32.1156000000007</v>
      </c>
      <c r="D661" s="396" t="n">
        <f aca="false">IF(AND(L660&lt;L_rampe,Poussee&lt;Poids*SIN(M660)),0,(-W660+Poussee)/m*COS(M660)-U660/m*SIN(M660))</f>
        <v>-0.727371432340231</v>
      </c>
      <c r="E661" s="398" t="n">
        <f aca="false">IF(AND(L660&lt;L_rampe,Poussee&lt;Poids*SIN(M660)),0,(-W660+Poussee)/m*SIN(M660)+U660/m*COS(M660)-Poids/m)</f>
        <v>-2.50242200810196</v>
      </c>
      <c r="F661" s="397" t="n">
        <f aca="false">SQRT(acc_x^2+acc_z^2)</f>
        <v>2.60599023544174</v>
      </c>
      <c r="G661" s="396" t="n">
        <f aca="false">G660+acc_x*pas</f>
        <v>11.4859577480246</v>
      </c>
      <c r="H661" s="398" t="n">
        <f aca="false">H660+acc_z*pas</f>
        <v>-115.395301320343</v>
      </c>
      <c r="I661" s="397" t="n">
        <f aca="false">SQRT(vit_x^2+vit_z^2)</f>
        <v>115.965524153527</v>
      </c>
      <c r="J661" s="396" t="n">
        <f aca="false">J660+0.5*(vit_x+G660)*pas*(K660&gt;=0)</f>
        <v>690.928492655337</v>
      </c>
      <c r="K661" s="398" t="n">
        <f aca="false">K660+0.5*(vit_z+H660)*pas</f>
        <v>-10.4044667748309</v>
      </c>
      <c r="L661" s="397" t="n">
        <f aca="false">SQRT(pos_x^2+pos_z^2)</f>
        <v>691.006826950244</v>
      </c>
      <c r="M661" s="396" t="n">
        <f aca="false">IF(AND(L660&gt;L_rampe,G661&gt;0),ATAN2(G661,H661),$M$4)</f>
        <v>-1.47158734985579</v>
      </c>
      <c r="N661" s="397" t="n">
        <f aca="false">DEGREES(Beta)</f>
        <v>-84.3157443315787</v>
      </c>
      <c r="P661" s="399" t="n">
        <f aca="false">MATCH(t-pas/2-T_ini,CdP_t)</f>
        <v>23</v>
      </c>
      <c r="Q661" s="397" t="n">
        <f aca="false">(INDEX(CdP,2,i_P+1)-INDEX(CdP,2,i_P+0))/(INDEX(CdP,1,i_P+1)-INDEX(CdP,1,i_P+0))*(t-pas/2-T_ini-INDEX(CdP,1,i_P+0))+INDEX(CdP,2,i_P+0)</f>
        <v>0</v>
      </c>
      <c r="R661" s="396" t="n">
        <f aca="false">Poussee/(g*ISP)</f>
        <v>0</v>
      </c>
      <c r="S661" s="398" t="n">
        <f aca="false">S660-Débit*pas</f>
        <v>8.45</v>
      </c>
      <c r="T661" s="397" t="n">
        <f aca="false">m*g</f>
        <v>82.8945</v>
      </c>
      <c r="U661" s="400" t="n">
        <f aca="false">IF(pos_xz&lt;L_rampe,Poids*COS(Beta),0)</f>
        <v>0</v>
      </c>
      <c r="V661" s="396" t="n">
        <f aca="false">Rho_moyen*(20000-Alt_rampe-pos_z)/(20000+Alt_rampe+pos_z)</f>
        <v>1.22627521057422</v>
      </c>
      <c r="W661" s="397" t="n">
        <f aca="false">1/2*Rho*Sref*Cx*vit_xz^2</f>
        <v>62.0545008224589</v>
      </c>
      <c r="Y661" s="401" t="str">
        <f aca="false">IF(AND(pos_z&lt;=0,K660&gt;0),"Impact balistique","") &amp; IF(AND(H662&lt;0,vit_z&gt;=0),"Apogée","") &amp; IF(AND(Poussee=0,Q660&gt;0),"Fin de propulsion","") &amp; IF(AND(L662&gt;L_rampe,pos_xz&lt;=L_rampe),"Sortie de rampe","")</f>
        <v/>
      </c>
      <c r="Z661" s="402" t="str">
        <f aca="false">IF(ABS(t-T_para)&lt;pas/2,"Para","")</f>
        <v/>
      </c>
      <c r="AA661" s="403" t="str">
        <f aca="false">IF(ABS(t-T_satellite)&lt;pas/2,"Satellite","")</f>
        <v/>
      </c>
      <c r="AC661" s="399" t="e">
        <f aca="false">IF(ABS(t-ROUND(t,0))&lt;0.001,t,NA())</f>
        <v>#N/A</v>
      </c>
      <c r="AD661" s="404" t="e">
        <f aca="false">IF(ABS(t-ROUND(t,0))&lt;0.001,pos_x,NA())</f>
        <v>#N/A</v>
      </c>
      <c r="AE661" s="405" t="e">
        <f aca="false">IF(t&lt;T_para, pos_z, NA())</f>
        <v>#N/A</v>
      </c>
      <c r="AG661" s="396" t="n">
        <f aca="false">IF(AND(L660&lt;L_rampe,Poussee&lt;Poids*SIN(M660)),0,(-W660+Poussee)/m-Poids*SIN(M660)/m)</f>
        <v>2.41807288633991</v>
      </c>
      <c r="AH661" s="397" t="n">
        <f aca="false">IF(AND(L660&lt;L_rampe,Poussee&lt;Poids*SIN(M660)), g*SIN(M660), (-W660+Poussee)/m)</f>
        <v>-7.34368880796684</v>
      </c>
    </row>
    <row r="662" customFormat="false" ht="12.75" hidden="false" customHeight="false" outlineLevel="0" collapsed="false">
      <c r="A662" s="396" t="n">
        <f aca="false">IF(B661+0.01&lt;=T_ini+ROUNDUP(Temps_fin_propu,0), 0.01, IF(K661&gt;0, 0.1, 0.0001))</f>
        <v>0.0001</v>
      </c>
      <c r="B662" s="397" t="n">
        <f aca="false">B661+pas</f>
        <v>32.1157000000007</v>
      </c>
      <c r="D662" s="396" t="n">
        <f aca="false">IF(AND(L661&lt;L_rampe,Poussee&lt;Poids*SIN(M661)),0,(-W661+Poussee)/m*COS(M661)-U661/m*SIN(M661))</f>
        <v>-0.727369182175338</v>
      </c>
      <c r="E662" s="398" t="n">
        <f aca="false">IF(AND(L661&lt;L_rampe,Poussee&lt;Poids*SIN(M661)),0,(-W661+Poussee)/m*SIN(M661)+U661/m*COS(M661)-Poids/m)</f>
        <v>-2.50238249089935</v>
      </c>
      <c r="F662" s="397" t="n">
        <f aca="false">SQRT(acc_x^2+acc_z^2)</f>
        <v>2.60595166070632</v>
      </c>
      <c r="G662" s="396" t="n">
        <f aca="false">G661+acc_x*pas</f>
        <v>11.4858850111063</v>
      </c>
      <c r="H662" s="398" t="n">
        <f aca="false">H661+acc_z*pas</f>
        <v>-115.395551558592</v>
      </c>
      <c r="I662" s="397" t="n">
        <f aca="false">SQRT(vit_x^2+vit_z^2)</f>
        <v>115.965765957027</v>
      </c>
      <c r="J662" s="396" t="n">
        <f aca="false">J661+0.5*(vit_x+G661)*pas*(K661&gt;=0)</f>
        <v>690.928492655337</v>
      </c>
      <c r="K662" s="398" t="n">
        <f aca="false">K661+0.5*(vit_z+H661)*pas</f>
        <v>-10.4160063174749</v>
      </c>
      <c r="L662" s="397" t="n">
        <f aca="false">SQRT(pos_x^2+pos_z^2)</f>
        <v>691.007000797084</v>
      </c>
      <c r="M662" s="396" t="n">
        <f aca="false">IF(AND(L661&gt;L_rampe,G662&gt;0),ATAN2(G662,H662),$M$4)</f>
        <v>-1.4715881877275</v>
      </c>
      <c r="N662" s="397" t="n">
        <f aca="false">DEGREES(Beta)</f>
        <v>-84.3157923380913</v>
      </c>
      <c r="P662" s="399" t="n">
        <f aca="false">MATCH(t-pas/2-T_ini,CdP_t)</f>
        <v>23</v>
      </c>
      <c r="Q662" s="397" t="n">
        <f aca="false">(INDEX(CdP,2,i_P+1)-INDEX(CdP,2,i_P+0))/(INDEX(CdP,1,i_P+1)-INDEX(CdP,1,i_P+0))*(t-pas/2-T_ini-INDEX(CdP,1,i_P+0))+INDEX(CdP,2,i_P+0)</f>
        <v>0</v>
      </c>
      <c r="R662" s="396" t="n">
        <f aca="false">Poussee/(g*ISP)</f>
        <v>0</v>
      </c>
      <c r="S662" s="398" t="n">
        <f aca="false">S661-Débit*pas</f>
        <v>8.45</v>
      </c>
      <c r="T662" s="397" t="n">
        <f aca="false">m*g</f>
        <v>82.8945</v>
      </c>
      <c r="U662" s="400" t="n">
        <f aca="false">IF(pos_xz&lt;L_rampe,Poids*COS(Beta),0)</f>
        <v>0</v>
      </c>
      <c r="V662" s="396" t="n">
        <f aca="false">Rho_moyen*(20000-Alt_rampe-pos_z)/(20000+Alt_rampe+pos_z)</f>
        <v>1.22627662564093</v>
      </c>
      <c r="W662" s="397" t="n">
        <f aca="false">1/2*Rho*Sref*Cx*vit_xz^2</f>
        <v>62.0548312148755</v>
      </c>
      <c r="Y662" s="401" t="str">
        <f aca="false">IF(AND(pos_z&lt;=0,K661&gt;0),"Impact balistique","") &amp; IF(AND(H663&lt;0,vit_z&gt;=0),"Apogée","") &amp; IF(AND(Poussee=0,Q661&gt;0),"Fin de propulsion","") &amp; IF(AND(L663&gt;L_rampe,pos_xz&lt;=L_rampe),"Sortie de rampe","")</f>
        <v/>
      </c>
      <c r="Z662" s="402" t="str">
        <f aca="false">IF(ABS(t-T_para)&lt;pas/2,"Para","")</f>
        <v/>
      </c>
      <c r="AA662" s="403" t="str">
        <f aca="false">IF(ABS(t-T_satellite)&lt;pas/2,"Satellite","")</f>
        <v/>
      </c>
      <c r="AC662" s="399" t="e">
        <f aca="false">IF(ABS(t-ROUND(t,0))&lt;0.001,t,NA())</f>
        <v>#N/A</v>
      </c>
      <c r="AD662" s="404" t="e">
        <f aca="false">IF(ABS(t-ROUND(t,0))&lt;0.001,pos_x,NA())</f>
        <v>#N/A</v>
      </c>
      <c r="AE662" s="405" t="e">
        <f aca="false">IF(t&lt;T_para, pos_z, NA())</f>
        <v>#N/A</v>
      </c>
      <c r="AG662" s="396" t="n">
        <f aca="false">IF(AND(L661&lt;L_rampe,Poussee&lt;Poids*SIN(M661)),0,(-W661+Poussee)/m-Poids*SIN(M661)/m)</f>
        <v>2.41803460044872</v>
      </c>
      <c r="AH662" s="397" t="n">
        <f aca="false">IF(AND(L661&lt;L_rampe,Poussee&lt;Poids*SIN(M661)), g*SIN(M661), (-W661+Poussee)/m)</f>
        <v>-7.34372790798331</v>
      </c>
    </row>
    <row r="663" customFormat="false" ht="12.75" hidden="false" customHeight="false" outlineLevel="0" collapsed="false">
      <c r="A663" s="396" t="n">
        <f aca="false">IF(B662+0.01&lt;=T_ini+ROUNDUP(Temps_fin_propu,0), 0.01, IF(K662&gt;0, 0.1, 0.0001))</f>
        <v>0.0001</v>
      </c>
      <c r="B663" s="397" t="n">
        <f aca="false">B662+pas</f>
        <v>32.1158000000007</v>
      </c>
      <c r="D663" s="396" t="n">
        <f aca="false">IF(AND(L662&lt;L_rampe,Poussee&lt;Poids*SIN(M662)),0,(-W662+Poussee)/m*COS(M662)-U662/m*SIN(M662))</f>
        <v>-0.727366931977132</v>
      </c>
      <c r="E663" s="398" t="n">
        <f aca="false">IF(AND(L662&lt;L_rampe,Poussee&lt;Poids*SIN(M662)),0,(-W662+Poussee)/m*SIN(M662)+U662/m*COS(M662)-Poids/m)</f>
        <v>-2.5023429740224</v>
      </c>
      <c r="F663" s="397" t="n">
        <f aca="false">SQRT(acc_x^2+acc_z^2)</f>
        <v>2.60591308630451</v>
      </c>
      <c r="G663" s="396" t="n">
        <f aca="false">G662+acc_x*pas</f>
        <v>11.4858122744132</v>
      </c>
      <c r="H663" s="398" t="n">
        <f aca="false">H662+acc_z*pas</f>
        <v>-115.395801792889</v>
      </c>
      <c r="I663" s="397" t="n">
        <f aca="false">SQRT(vit_x^2+vit_z^2)</f>
        <v>115.9660077567</v>
      </c>
      <c r="J663" s="396" t="n">
        <f aca="false">J662+0.5*(vit_x+G662)*pas*(K662&gt;=0)</f>
        <v>690.928492655337</v>
      </c>
      <c r="K663" s="398" t="n">
        <f aca="false">K662+0.5*(vit_z+H662)*pas</f>
        <v>-10.4275458851425</v>
      </c>
      <c r="L663" s="397" t="n">
        <f aca="false">SQRT(pos_x^2+pos_z^2)</f>
        <v>691.007174836964</v>
      </c>
      <c r="M663" s="396" t="n">
        <f aca="false">IF(AND(L662&gt;L_rampe,G663&gt;0),ATAN2(G663,H663),$M$4)</f>
        <v>-1.47158902559041</v>
      </c>
      <c r="N663" s="397" t="n">
        <f aca="false">DEGREES(Beta)</f>
        <v>-84.3158403440997</v>
      </c>
      <c r="P663" s="399" t="n">
        <f aca="false">MATCH(t-pas/2-T_ini,CdP_t)</f>
        <v>23</v>
      </c>
      <c r="Q663" s="397" t="n">
        <f aca="false">(INDEX(CdP,2,i_P+1)-INDEX(CdP,2,i_P+0))/(INDEX(CdP,1,i_P+1)-INDEX(CdP,1,i_P+0))*(t-pas/2-T_ini-INDEX(CdP,1,i_P+0))+INDEX(CdP,2,i_P+0)</f>
        <v>0</v>
      </c>
      <c r="R663" s="396" t="n">
        <f aca="false">Poussee/(g*ISP)</f>
        <v>0</v>
      </c>
      <c r="S663" s="398" t="n">
        <f aca="false">S662-Débit*pas</f>
        <v>8.45</v>
      </c>
      <c r="T663" s="397" t="n">
        <f aca="false">m*g</f>
        <v>82.8945</v>
      </c>
      <c r="U663" s="400" t="n">
        <f aca="false">IF(pos_xz&lt;L_rampe,Poids*COS(Beta),0)</f>
        <v>0</v>
      </c>
      <c r="V663" s="396" t="n">
        <f aca="false">Rho_moyen*(20000-Alt_rampe-pos_z)/(20000+Alt_rampe+pos_z)</f>
        <v>1.22627804071234</v>
      </c>
      <c r="W663" s="397" t="n">
        <f aca="false">1/2*Rho*Sref*Cx*vit_xz^2</f>
        <v>62.0551616045694</v>
      </c>
      <c r="Y663" s="401" t="str">
        <f aca="false">IF(AND(pos_z&lt;=0,K662&gt;0),"Impact balistique","") &amp; IF(AND(H664&lt;0,vit_z&gt;=0),"Apogée","") &amp; IF(AND(Poussee=0,Q662&gt;0),"Fin de propulsion","") &amp; IF(AND(L664&gt;L_rampe,pos_xz&lt;=L_rampe),"Sortie de rampe","")</f>
        <v/>
      </c>
      <c r="Z663" s="402" t="str">
        <f aca="false">IF(ABS(t-T_para)&lt;pas/2,"Para","")</f>
        <v/>
      </c>
      <c r="AA663" s="403" t="str">
        <f aca="false">IF(ABS(t-T_satellite)&lt;pas/2,"Satellite","")</f>
        <v/>
      </c>
      <c r="AC663" s="399" t="e">
        <f aca="false">IF(ABS(t-ROUND(t,0))&lt;0.001,t,NA())</f>
        <v>#N/A</v>
      </c>
      <c r="AD663" s="404" t="e">
        <f aca="false">IF(ABS(t-ROUND(t,0))&lt;0.001,pos_x,NA())</f>
        <v>#N/A</v>
      </c>
      <c r="AE663" s="405" t="e">
        <f aca="false">IF(t&lt;T_para, pos_z, NA())</f>
        <v>#N/A</v>
      </c>
      <c r="AG663" s="396" t="n">
        <f aca="false">IF(AND(L662&lt;L_rampe,Poussee&lt;Poids*SIN(M662)),0,(-W662+Poussee)/m-Poids*SIN(M662)/m)</f>
        <v>2.41799631486433</v>
      </c>
      <c r="AH663" s="397" t="n">
        <f aca="false">IF(AND(L662&lt;L_rampe,Poussee&lt;Poids*SIN(M662)), g*SIN(M662), (-W662+Poussee)/m)</f>
        <v>-7.34376700767758</v>
      </c>
    </row>
    <row r="664" customFormat="false" ht="12.75" hidden="false" customHeight="false" outlineLevel="0" collapsed="false">
      <c r="A664" s="396" t="n">
        <f aca="false">IF(B663+0.01&lt;=T_ini+ROUNDUP(Temps_fin_propu,0), 0.01, IF(K663&gt;0, 0.1, 0.0001))</f>
        <v>0.0001</v>
      </c>
      <c r="B664" s="397" t="n">
        <f aca="false">B663+pas</f>
        <v>32.1159000000007</v>
      </c>
      <c r="D664" s="396" t="n">
        <f aca="false">IF(AND(L663&lt;L_rampe,Poussee&lt;Poids*SIN(M663)),0,(-W663+Poussee)/m*COS(M663)-U663/m*SIN(M663))</f>
        <v>-0.727364681745613</v>
      </c>
      <c r="E664" s="398" t="n">
        <f aca="false">IF(AND(L663&lt;L_rampe,Poussee&lt;Poids*SIN(M663)),0,(-W663+Poussee)/m*SIN(M663)+U663/m*COS(M663)-Poids/m)</f>
        <v>-2.50230345747112</v>
      </c>
      <c r="F664" s="397" t="n">
        <f aca="false">SQRT(acc_x^2+acc_z^2)</f>
        <v>2.60587451223631</v>
      </c>
      <c r="G664" s="396" t="n">
        <f aca="false">G663+acc_x*pas</f>
        <v>11.485739537945</v>
      </c>
      <c r="H664" s="398" t="n">
        <f aca="false">H663+acc_z*pas</f>
        <v>-115.396052023235</v>
      </c>
      <c r="I664" s="397" t="n">
        <f aca="false">SQRT(vit_x^2+vit_z^2)</f>
        <v>115.966249552543</v>
      </c>
      <c r="J664" s="396" t="n">
        <f aca="false">J663+0.5*(vit_x+G663)*pas*(K663&gt;=0)</f>
        <v>690.928492655337</v>
      </c>
      <c r="K664" s="398" t="n">
        <f aca="false">K663+0.5*(vit_z+H663)*pas</f>
        <v>-10.4390854778333</v>
      </c>
      <c r="L664" s="397" t="n">
        <f aca="false">SQRT(pos_x^2+pos_z^2)</f>
        <v>691.007349069885</v>
      </c>
      <c r="M664" s="396" t="n">
        <f aca="false">IF(AND(L663&gt;L_rampe,G664&gt;0),ATAN2(G664,H664),$M$4)</f>
        <v>-1.47158986344452</v>
      </c>
      <c r="N664" s="397" t="n">
        <f aca="false">DEGREES(Beta)</f>
        <v>-84.3158883496039</v>
      </c>
      <c r="P664" s="399" t="n">
        <f aca="false">MATCH(t-pas/2-T_ini,CdP_t)</f>
        <v>23</v>
      </c>
      <c r="Q664" s="397" t="n">
        <f aca="false">(INDEX(CdP,2,i_P+1)-INDEX(CdP,2,i_P+0))/(INDEX(CdP,1,i_P+1)-INDEX(CdP,1,i_P+0))*(t-pas/2-T_ini-INDEX(CdP,1,i_P+0))+INDEX(CdP,2,i_P+0)</f>
        <v>0</v>
      </c>
      <c r="R664" s="396" t="n">
        <f aca="false">Poussee/(g*ISP)</f>
        <v>0</v>
      </c>
      <c r="S664" s="398" t="n">
        <f aca="false">S663-Débit*pas</f>
        <v>8.45</v>
      </c>
      <c r="T664" s="397" t="n">
        <f aca="false">m*g</f>
        <v>82.8945</v>
      </c>
      <c r="U664" s="400" t="n">
        <f aca="false">IF(pos_xz&lt;L_rampe,Poids*COS(Beta),0)</f>
        <v>0</v>
      </c>
      <c r="V664" s="396" t="n">
        <f aca="false">Rho_moyen*(20000-Alt_rampe-pos_z)/(20000+Alt_rampe+pos_z)</f>
        <v>1.22627945578845</v>
      </c>
      <c r="W664" s="397" t="n">
        <f aca="false">1/2*Rho*Sref*Cx*vit_xz^2</f>
        <v>62.0554919915407</v>
      </c>
      <c r="Y664" s="401" t="str">
        <f aca="false">IF(AND(pos_z&lt;=0,K663&gt;0),"Impact balistique","") &amp; IF(AND(H665&lt;0,vit_z&gt;=0),"Apogée","") &amp; IF(AND(Poussee=0,Q663&gt;0),"Fin de propulsion","") &amp; IF(AND(L665&gt;L_rampe,pos_xz&lt;=L_rampe),"Sortie de rampe","")</f>
        <v/>
      </c>
      <c r="Z664" s="402" t="str">
        <f aca="false">IF(ABS(t-T_para)&lt;pas/2,"Para","")</f>
        <v/>
      </c>
      <c r="AA664" s="403" t="str">
        <f aca="false">IF(ABS(t-T_satellite)&lt;pas/2,"Satellite","")</f>
        <v/>
      </c>
      <c r="AC664" s="399" t="e">
        <f aca="false">IF(ABS(t-ROUND(t,0))&lt;0.001,t,NA())</f>
        <v>#N/A</v>
      </c>
      <c r="AD664" s="404" t="e">
        <f aca="false">IF(ABS(t-ROUND(t,0))&lt;0.001,pos_x,NA())</f>
        <v>#N/A</v>
      </c>
      <c r="AE664" s="405" t="e">
        <f aca="false">IF(t&lt;T_para, pos_z, NA())</f>
        <v>#N/A</v>
      </c>
      <c r="AG664" s="396" t="n">
        <f aca="false">IF(AND(L663&lt;L_rampe,Poussee&lt;Poids*SIN(M663)),0,(-W663+Poussee)/m-Poids*SIN(M663)/m)</f>
        <v>2.41795802958675</v>
      </c>
      <c r="AH664" s="397" t="n">
        <f aca="false">IF(AND(L663&lt;L_rampe,Poussee&lt;Poids*SIN(M663)), g*SIN(M663), (-W663+Poussee)/m)</f>
        <v>-7.34380610704963</v>
      </c>
    </row>
    <row r="665" customFormat="false" ht="12.75" hidden="false" customHeight="false" outlineLevel="0" collapsed="false">
      <c r="A665" s="396" t="n">
        <f aca="false">IF(B664+0.01&lt;=T_ini+ROUNDUP(Temps_fin_propu,0), 0.01, IF(K664&gt;0, 0.1, 0.0001))</f>
        <v>0.0001</v>
      </c>
      <c r="B665" s="397" t="n">
        <f aca="false">B664+pas</f>
        <v>32.1160000000007</v>
      </c>
      <c r="D665" s="396" t="n">
        <f aca="false">IF(AND(L664&lt;L_rampe,Poussee&lt;Poids*SIN(M664)),0,(-W664+Poussee)/m*COS(M664)-U664/m*SIN(M664))</f>
        <v>-0.727362431480778</v>
      </c>
      <c r="E665" s="398" t="n">
        <f aca="false">IF(AND(L664&lt;L_rampe,Poussee&lt;Poids*SIN(M664)),0,(-W664+Poussee)/m*SIN(M664)+U664/m*COS(M664)-Poids/m)</f>
        <v>-2.5022639412455</v>
      </c>
      <c r="F665" s="397" t="n">
        <f aca="false">SQRT(acc_x^2+acc_z^2)</f>
        <v>2.60583593850171</v>
      </c>
      <c r="G665" s="396" t="n">
        <f aca="false">G664+acc_x*pas</f>
        <v>11.4856668017018</v>
      </c>
      <c r="H665" s="398" t="n">
        <f aca="false">H664+acc_z*pas</f>
        <v>-115.396302249629</v>
      </c>
      <c r="I665" s="397" t="n">
        <f aca="false">SQRT(vit_x^2+vit_z^2)</f>
        <v>115.966491344558</v>
      </c>
      <c r="J665" s="396" t="n">
        <f aca="false">J664+0.5*(vit_x+G664)*pas*(K664&gt;=0)</f>
        <v>690.928492655337</v>
      </c>
      <c r="K665" s="398" t="n">
        <f aca="false">K664+0.5*(vit_z+H664)*pas</f>
        <v>-10.4506250955469</v>
      </c>
      <c r="L665" s="397" t="n">
        <f aca="false">SQRT(pos_x^2+pos_z^2)</f>
        <v>691.007523495847</v>
      </c>
      <c r="M665" s="396" t="n">
        <f aca="false">IF(AND(L664&gt;L_rampe,G665&gt;0),ATAN2(G665,H665),$M$4)</f>
        <v>-1.47159070128982</v>
      </c>
      <c r="N665" s="397" t="n">
        <f aca="false">DEGREES(Beta)</f>
        <v>-84.3159363546039</v>
      </c>
      <c r="P665" s="399" t="n">
        <f aca="false">MATCH(t-pas/2-T_ini,CdP_t)</f>
        <v>23</v>
      </c>
      <c r="Q665" s="397" t="n">
        <f aca="false">(INDEX(CdP,2,i_P+1)-INDEX(CdP,2,i_P+0))/(INDEX(CdP,1,i_P+1)-INDEX(CdP,1,i_P+0))*(t-pas/2-T_ini-INDEX(CdP,1,i_P+0))+INDEX(CdP,2,i_P+0)</f>
        <v>0</v>
      </c>
      <c r="R665" s="396" t="n">
        <f aca="false">Poussee/(g*ISP)</f>
        <v>0</v>
      </c>
      <c r="S665" s="398" t="n">
        <f aca="false">S664-Débit*pas</f>
        <v>8.45</v>
      </c>
      <c r="T665" s="397" t="n">
        <f aca="false">m*g</f>
        <v>82.8945</v>
      </c>
      <c r="U665" s="400" t="n">
        <f aca="false">IF(pos_xz&lt;L_rampe,Poids*COS(Beta),0)</f>
        <v>0</v>
      </c>
      <c r="V665" s="396" t="n">
        <f aca="false">Rho_moyen*(20000-Alt_rampe-pos_z)/(20000+Alt_rampe+pos_z)</f>
        <v>1.22628087086927</v>
      </c>
      <c r="W665" s="397" t="n">
        <f aca="false">1/2*Rho*Sref*Cx*vit_xz^2</f>
        <v>62.0558223757893</v>
      </c>
      <c r="Y665" s="401" t="str">
        <f aca="false">IF(AND(pos_z&lt;=0,K664&gt;0),"Impact balistique","") &amp; IF(AND(H666&lt;0,vit_z&gt;=0),"Apogée","") &amp; IF(AND(Poussee=0,Q664&gt;0),"Fin de propulsion","") &amp; IF(AND(L666&gt;L_rampe,pos_xz&lt;=L_rampe),"Sortie de rampe","")</f>
        <v/>
      </c>
      <c r="Z665" s="402" t="str">
        <f aca="false">IF(ABS(t-T_para)&lt;pas/2,"Para","")</f>
        <v/>
      </c>
      <c r="AA665" s="403" t="str">
        <f aca="false">IF(ABS(t-T_satellite)&lt;pas/2,"Satellite","")</f>
        <v/>
      </c>
      <c r="AC665" s="399" t="e">
        <f aca="false">IF(ABS(t-ROUND(t,0))&lt;0.001,t,NA())</f>
        <v>#N/A</v>
      </c>
      <c r="AD665" s="404" t="e">
        <f aca="false">IF(ABS(t-ROUND(t,0))&lt;0.001,pos_x,NA())</f>
        <v>#N/A</v>
      </c>
      <c r="AE665" s="405" t="e">
        <f aca="false">IF(t&lt;T_para, pos_z, NA())</f>
        <v>#N/A</v>
      </c>
      <c r="AG665" s="396" t="n">
        <f aca="false">IF(AND(L664&lt;L_rampe,Poussee&lt;Poids*SIN(M664)),0,(-W664+Poussee)/m-Poids*SIN(M664)/m)</f>
        <v>2.41791974461596</v>
      </c>
      <c r="AH665" s="397" t="n">
        <f aca="false">IF(AND(L664&lt;L_rampe,Poussee&lt;Poids*SIN(M664)), g*SIN(M664), (-W664+Poussee)/m)</f>
        <v>-7.34384520609949</v>
      </c>
    </row>
    <row r="666" customFormat="false" ht="12.75" hidden="false" customHeight="false" outlineLevel="0" collapsed="false">
      <c r="A666" s="396" t="n">
        <f aca="false">IF(B665+0.01&lt;=T_ini+ROUNDUP(Temps_fin_propu,0), 0.01, IF(K665&gt;0, 0.1, 0.0001))</f>
        <v>0.0001</v>
      </c>
      <c r="B666" s="397" t="n">
        <f aca="false">B665+pas</f>
        <v>32.1161000000007</v>
      </c>
      <c r="D666" s="396" t="n">
        <f aca="false">IF(AND(L665&lt;L_rampe,Poussee&lt;Poids*SIN(M665)),0,(-W665+Poussee)/m*COS(M665)-U665/m*SIN(M665))</f>
        <v>-0.727360181182632</v>
      </c>
      <c r="E666" s="398" t="n">
        <f aca="false">IF(AND(L665&lt;L_rampe,Poussee&lt;Poids*SIN(M665)),0,(-W665+Poussee)/m*SIN(M665)+U665/m*COS(M665)-Poids/m)</f>
        <v>-2.50222442534554</v>
      </c>
      <c r="F666" s="397" t="n">
        <f aca="false">SQRT(acc_x^2+acc_z^2)</f>
        <v>2.60579736510072</v>
      </c>
      <c r="G666" s="396" t="n">
        <f aca="false">G665+acc_x*pas</f>
        <v>11.4855940656837</v>
      </c>
      <c r="H666" s="398" t="n">
        <f aca="false">H665+acc_z*pas</f>
        <v>-115.396552472072</v>
      </c>
      <c r="I666" s="397" t="n">
        <f aca="false">SQRT(vit_x^2+vit_z^2)</f>
        <v>115.966733132745</v>
      </c>
      <c r="J666" s="396" t="n">
        <f aca="false">J665+0.5*(vit_x+G665)*pas*(K665&gt;=0)</f>
        <v>690.928492655337</v>
      </c>
      <c r="K666" s="398" t="n">
        <f aca="false">K665+0.5*(vit_z+H665)*pas</f>
        <v>-10.462164738283</v>
      </c>
      <c r="L666" s="397" t="n">
        <f aca="false">SQRT(pos_x^2+pos_z^2)</f>
        <v>691.007698114852</v>
      </c>
      <c r="M666" s="396" t="n">
        <f aca="false">IF(AND(L665&gt;L_rampe,G666&gt;0),ATAN2(G666,H666),$M$4)</f>
        <v>-1.47159153912633</v>
      </c>
      <c r="N666" s="397" t="n">
        <f aca="false">DEGREES(Beta)</f>
        <v>-84.3159843590997</v>
      </c>
      <c r="P666" s="399" t="n">
        <f aca="false">MATCH(t-pas/2-T_ini,CdP_t)</f>
        <v>23</v>
      </c>
      <c r="Q666" s="397" t="n">
        <f aca="false">(INDEX(CdP,2,i_P+1)-INDEX(CdP,2,i_P+0))/(INDEX(CdP,1,i_P+1)-INDEX(CdP,1,i_P+0))*(t-pas/2-T_ini-INDEX(CdP,1,i_P+0))+INDEX(CdP,2,i_P+0)</f>
        <v>0</v>
      </c>
      <c r="R666" s="396" t="n">
        <f aca="false">Poussee/(g*ISP)</f>
        <v>0</v>
      </c>
      <c r="S666" s="398" t="n">
        <f aca="false">S665-Débit*pas</f>
        <v>8.45</v>
      </c>
      <c r="T666" s="397" t="n">
        <f aca="false">m*g</f>
        <v>82.8945</v>
      </c>
      <c r="U666" s="400" t="n">
        <f aca="false">IF(pos_xz&lt;L_rampe,Poids*COS(Beta),0)</f>
        <v>0</v>
      </c>
      <c r="V666" s="396" t="n">
        <f aca="false">Rho_moyen*(20000-Alt_rampe-pos_z)/(20000+Alt_rampe+pos_z)</f>
        <v>1.22628228595479</v>
      </c>
      <c r="W666" s="397" t="n">
        <f aca="false">1/2*Rho*Sref*Cx*vit_xz^2</f>
        <v>62.0561527573153</v>
      </c>
      <c r="Y666" s="401" t="str">
        <f aca="false">IF(AND(pos_z&lt;=0,K665&gt;0),"Impact balistique","") &amp; IF(AND(H667&lt;0,vit_z&gt;=0),"Apogée","") &amp; IF(AND(Poussee=0,Q665&gt;0),"Fin de propulsion","") &amp; IF(AND(L667&gt;L_rampe,pos_xz&lt;=L_rampe),"Sortie de rampe","")</f>
        <v/>
      </c>
      <c r="Z666" s="402" t="str">
        <f aca="false">IF(ABS(t-T_para)&lt;pas/2,"Para","")</f>
        <v/>
      </c>
      <c r="AA666" s="403" t="str">
        <f aca="false">IF(ABS(t-T_satellite)&lt;pas/2,"Satellite","")</f>
        <v/>
      </c>
      <c r="AC666" s="399" t="e">
        <f aca="false">IF(ABS(t-ROUND(t,0))&lt;0.001,t,NA())</f>
        <v>#N/A</v>
      </c>
      <c r="AD666" s="404" t="e">
        <f aca="false">IF(ABS(t-ROUND(t,0))&lt;0.001,pos_x,NA())</f>
        <v>#N/A</v>
      </c>
      <c r="AE666" s="405" t="e">
        <f aca="false">IF(t&lt;T_para, pos_z, NA())</f>
        <v>#N/A</v>
      </c>
      <c r="AG666" s="396" t="n">
        <f aca="false">IF(AND(L665&lt;L_rampe,Poussee&lt;Poids*SIN(M665)),0,(-W665+Poussee)/m-Poids*SIN(M665)/m)</f>
        <v>2.41788145995198</v>
      </c>
      <c r="AH666" s="397" t="n">
        <f aca="false">IF(AND(L665&lt;L_rampe,Poussee&lt;Poids*SIN(M665)), g*SIN(M665), (-W665+Poussee)/m)</f>
        <v>-7.34388430482714</v>
      </c>
    </row>
    <row r="667" customFormat="false" ht="12.75" hidden="false" customHeight="false" outlineLevel="0" collapsed="false">
      <c r="A667" s="396" t="n">
        <f aca="false">IF(B666+0.01&lt;=T_ini+ROUNDUP(Temps_fin_propu,0), 0.01, IF(K666&gt;0, 0.1, 0.0001))</f>
        <v>0.0001</v>
      </c>
      <c r="B667" s="397" t="n">
        <f aca="false">B666+pas</f>
        <v>32.1162000000007</v>
      </c>
      <c r="D667" s="396" t="n">
        <f aca="false">IF(AND(L666&lt;L_rampe,Poussee&lt;Poids*SIN(M666)),0,(-W666+Poussee)/m*COS(M666)-U666/m*SIN(M666))</f>
        <v>-0.727357930851176</v>
      </c>
      <c r="E667" s="398" t="n">
        <f aca="false">IF(AND(L666&lt;L_rampe,Poussee&lt;Poids*SIN(M666)),0,(-W666+Poussee)/m*SIN(M666)+U666/m*COS(M666)-Poids/m)</f>
        <v>-2.50218490977124</v>
      </c>
      <c r="F667" s="397" t="n">
        <f aca="false">SQRT(acc_x^2+acc_z^2)</f>
        <v>2.60575879203333</v>
      </c>
      <c r="G667" s="396" t="n">
        <f aca="false">G666+acc_x*pas</f>
        <v>11.4855213298906</v>
      </c>
      <c r="H667" s="398" t="n">
        <f aca="false">H666+acc_z*pas</f>
        <v>-115.396802690563</v>
      </c>
      <c r="I667" s="397" t="n">
        <f aca="false">SQRT(vit_x^2+vit_z^2)</f>
        <v>115.966974917103</v>
      </c>
      <c r="J667" s="396" t="n">
        <f aca="false">J666+0.5*(vit_x+G666)*pas*(K666&gt;=0)</f>
        <v>690.928492655337</v>
      </c>
      <c r="K667" s="398" t="n">
        <f aca="false">K666+0.5*(vit_z+H666)*pas</f>
        <v>-10.4737044060411</v>
      </c>
      <c r="L667" s="397" t="n">
        <f aca="false">SQRT(pos_x^2+pos_z^2)</f>
        <v>691.007872926902</v>
      </c>
      <c r="M667" s="396" t="n">
        <f aca="false">IF(AND(L666&gt;L_rampe,G667&gt;0),ATAN2(G667,H667),$M$4)</f>
        <v>-1.47159237695404</v>
      </c>
      <c r="N667" s="397" t="n">
        <f aca="false">DEGREES(Beta)</f>
        <v>-84.3160323630913</v>
      </c>
      <c r="P667" s="399" t="n">
        <f aca="false">MATCH(t-pas/2-T_ini,CdP_t)</f>
        <v>23</v>
      </c>
      <c r="Q667" s="397" t="n">
        <f aca="false">(INDEX(CdP,2,i_P+1)-INDEX(CdP,2,i_P+0))/(INDEX(CdP,1,i_P+1)-INDEX(CdP,1,i_P+0))*(t-pas/2-T_ini-INDEX(CdP,1,i_P+0))+INDEX(CdP,2,i_P+0)</f>
        <v>0</v>
      </c>
      <c r="R667" s="396" t="n">
        <f aca="false">Poussee/(g*ISP)</f>
        <v>0</v>
      </c>
      <c r="S667" s="398" t="n">
        <f aca="false">S666-Débit*pas</f>
        <v>8.45</v>
      </c>
      <c r="T667" s="397" t="n">
        <f aca="false">m*g</f>
        <v>82.8945</v>
      </c>
      <c r="U667" s="400" t="n">
        <f aca="false">IF(pos_xz&lt;L_rampe,Poids*COS(Beta),0)</f>
        <v>0</v>
      </c>
      <c r="V667" s="396" t="n">
        <f aca="false">Rho_moyen*(20000-Alt_rampe-pos_z)/(20000+Alt_rampe+pos_z)</f>
        <v>1.226283701045</v>
      </c>
      <c r="W667" s="397" t="n">
        <f aca="false">1/2*Rho*Sref*Cx*vit_xz^2</f>
        <v>62.0564831361187</v>
      </c>
      <c r="Y667" s="401" t="str">
        <f aca="false">IF(AND(pos_z&lt;=0,K666&gt;0),"Impact balistique","") &amp; IF(AND(H668&lt;0,vit_z&gt;=0),"Apogée","") &amp; IF(AND(Poussee=0,Q666&gt;0),"Fin de propulsion","") &amp; IF(AND(L668&gt;L_rampe,pos_xz&lt;=L_rampe),"Sortie de rampe","")</f>
        <v/>
      </c>
      <c r="Z667" s="402" t="str">
        <f aca="false">IF(ABS(t-T_para)&lt;pas/2,"Para","")</f>
        <v/>
      </c>
      <c r="AA667" s="403" t="str">
        <f aca="false">IF(ABS(t-T_satellite)&lt;pas/2,"Satellite","")</f>
        <v/>
      </c>
      <c r="AC667" s="399" t="e">
        <f aca="false">IF(ABS(t-ROUND(t,0))&lt;0.001,t,NA())</f>
        <v>#N/A</v>
      </c>
      <c r="AD667" s="404" t="e">
        <f aca="false">IF(ABS(t-ROUND(t,0))&lt;0.001,pos_x,NA())</f>
        <v>#N/A</v>
      </c>
      <c r="AE667" s="405" t="e">
        <f aca="false">IF(t&lt;T_para, pos_z, NA())</f>
        <v>#N/A</v>
      </c>
      <c r="AG667" s="396" t="n">
        <f aca="false">IF(AND(L666&lt;L_rampe,Poussee&lt;Poids*SIN(M666)),0,(-W666+Poussee)/m-Poids*SIN(M666)/m)</f>
        <v>2.4178431755948</v>
      </c>
      <c r="AH667" s="397" t="n">
        <f aca="false">IF(AND(L666&lt;L_rampe,Poussee&lt;Poids*SIN(M666)), g*SIN(M666), (-W666+Poussee)/m)</f>
        <v>-7.34392340323259</v>
      </c>
    </row>
    <row r="668" customFormat="false" ht="12.75" hidden="false" customHeight="false" outlineLevel="0" collapsed="false">
      <c r="A668" s="396" t="n">
        <f aca="false">IF(B667+0.01&lt;=T_ini+ROUNDUP(Temps_fin_propu,0), 0.01, IF(K667&gt;0, 0.1, 0.0001))</f>
        <v>0.0001</v>
      </c>
      <c r="B668" s="397" t="n">
        <f aca="false">B667+pas</f>
        <v>32.1163000000007</v>
      </c>
      <c r="D668" s="396" t="n">
        <f aca="false">IF(AND(L667&lt;L_rampe,Poussee&lt;Poids*SIN(M667)),0,(-W667+Poussee)/m*COS(M667)-U667/m*SIN(M667))</f>
        <v>-0.727355680486406</v>
      </c>
      <c r="E668" s="398" t="n">
        <f aca="false">IF(AND(L667&lt;L_rampe,Poussee&lt;Poids*SIN(M667)),0,(-W667+Poussee)/m*SIN(M667)+U667/m*COS(M667)-Poids/m)</f>
        <v>-2.50214539452261</v>
      </c>
      <c r="F668" s="397" t="n">
        <f aca="false">SQRT(acc_x^2+acc_z^2)</f>
        <v>2.60572021929956</v>
      </c>
      <c r="G668" s="396" t="n">
        <f aca="false">G667+acc_x*pas</f>
        <v>11.4854485943226</v>
      </c>
      <c r="H668" s="398" t="n">
        <f aca="false">H667+acc_z*pas</f>
        <v>-115.397052905102</v>
      </c>
      <c r="I668" s="397" t="n">
        <f aca="false">SQRT(vit_x^2+vit_z^2)</f>
        <v>115.967216697633</v>
      </c>
      <c r="J668" s="396" t="n">
        <f aca="false">J667+0.5*(vit_x+G667)*pas*(K667&gt;=0)</f>
        <v>690.928492655337</v>
      </c>
      <c r="K668" s="398" t="n">
        <f aca="false">K667+0.5*(vit_z+H667)*pas</f>
        <v>-10.4852440988209</v>
      </c>
      <c r="L668" s="397" t="n">
        <f aca="false">SQRT(pos_x^2+pos_z^2)</f>
        <v>691.008047931996</v>
      </c>
      <c r="M668" s="396" t="n">
        <f aca="false">IF(AND(L667&gt;L_rampe,G668&gt;0),ATAN2(G668,H668),$M$4)</f>
        <v>-1.47159321477295</v>
      </c>
      <c r="N668" s="397" t="n">
        <f aca="false">DEGREES(Beta)</f>
        <v>-84.3160803665788</v>
      </c>
      <c r="P668" s="399" t="n">
        <f aca="false">MATCH(t-pas/2-T_ini,CdP_t)</f>
        <v>23</v>
      </c>
      <c r="Q668" s="397" t="n">
        <f aca="false">(INDEX(CdP,2,i_P+1)-INDEX(CdP,2,i_P+0))/(INDEX(CdP,1,i_P+1)-INDEX(CdP,1,i_P+0))*(t-pas/2-T_ini-INDEX(CdP,1,i_P+0))+INDEX(CdP,2,i_P+0)</f>
        <v>0</v>
      </c>
      <c r="R668" s="396" t="n">
        <f aca="false">Poussee/(g*ISP)</f>
        <v>0</v>
      </c>
      <c r="S668" s="398" t="n">
        <f aca="false">S667-Débit*pas</f>
        <v>8.45</v>
      </c>
      <c r="T668" s="397" t="n">
        <f aca="false">m*g</f>
        <v>82.8945</v>
      </c>
      <c r="U668" s="400" t="n">
        <f aca="false">IF(pos_xz&lt;L_rampe,Poids*COS(Beta),0)</f>
        <v>0</v>
      </c>
      <c r="V668" s="396" t="n">
        <f aca="false">Rho_moyen*(20000-Alt_rampe-pos_z)/(20000+Alt_rampe+pos_z)</f>
        <v>1.22628511613993</v>
      </c>
      <c r="W668" s="397" t="n">
        <f aca="false">1/2*Rho*Sref*Cx*vit_xz^2</f>
        <v>62.0568135121994</v>
      </c>
      <c r="Y668" s="401" t="str">
        <f aca="false">IF(AND(pos_z&lt;=0,K667&gt;0),"Impact balistique","") &amp; IF(AND(H669&lt;0,vit_z&gt;=0),"Apogée","") &amp; IF(AND(Poussee=0,Q667&gt;0),"Fin de propulsion","") &amp; IF(AND(L669&gt;L_rampe,pos_xz&lt;=L_rampe),"Sortie de rampe","")</f>
        <v/>
      </c>
      <c r="Z668" s="402" t="str">
        <f aca="false">IF(ABS(t-T_para)&lt;pas/2,"Para","")</f>
        <v/>
      </c>
      <c r="AA668" s="403" t="str">
        <f aca="false">IF(ABS(t-T_satellite)&lt;pas/2,"Satellite","")</f>
        <v/>
      </c>
      <c r="AC668" s="399" t="e">
        <f aca="false">IF(ABS(t-ROUND(t,0))&lt;0.001,t,NA())</f>
        <v>#N/A</v>
      </c>
      <c r="AD668" s="404" t="e">
        <f aca="false">IF(ABS(t-ROUND(t,0))&lt;0.001,pos_x,NA())</f>
        <v>#N/A</v>
      </c>
      <c r="AE668" s="405" t="e">
        <f aca="false">IF(t&lt;T_para, pos_z, NA())</f>
        <v>#N/A</v>
      </c>
      <c r="AG668" s="396" t="n">
        <f aca="false">IF(AND(L667&lt;L_rampe,Poussee&lt;Poids*SIN(M667)),0,(-W667+Poussee)/m-Poids*SIN(M667)/m)</f>
        <v>2.41780489154443</v>
      </c>
      <c r="AH668" s="397" t="n">
        <f aca="false">IF(AND(L667&lt;L_rampe,Poussee&lt;Poids*SIN(M667)), g*SIN(M667), (-W667+Poussee)/m)</f>
        <v>-7.34396250131582</v>
      </c>
    </row>
    <row r="669" customFormat="false" ht="12.75" hidden="false" customHeight="false" outlineLevel="0" collapsed="false">
      <c r="A669" s="396" t="n">
        <f aca="false">IF(B668+0.01&lt;=T_ini+ROUNDUP(Temps_fin_propu,0), 0.01, IF(K668&gt;0, 0.1, 0.0001))</f>
        <v>0.0001</v>
      </c>
      <c r="B669" s="397" t="n">
        <f aca="false">B668+pas</f>
        <v>32.1164000000007</v>
      </c>
      <c r="D669" s="396" t="n">
        <f aca="false">IF(AND(L668&lt;L_rampe,Poussee&lt;Poids*SIN(M668)),0,(-W668+Poussee)/m*COS(M668)-U668/m*SIN(M668))</f>
        <v>-0.727353430088329</v>
      </c>
      <c r="E669" s="398" t="n">
        <f aca="false">IF(AND(L668&lt;L_rampe,Poussee&lt;Poids*SIN(M668)),0,(-W668+Poussee)/m*SIN(M668)+U668/m*COS(M668)-Poids/m)</f>
        <v>-2.50210587959964</v>
      </c>
      <c r="F669" s="397" t="n">
        <f aca="false">SQRT(acc_x^2+acc_z^2)</f>
        <v>2.60568164689939</v>
      </c>
      <c r="G669" s="396" t="n">
        <f aca="false">G668+acc_x*pas</f>
        <v>11.4853758589796</v>
      </c>
      <c r="H669" s="398" t="n">
        <f aca="false">H668+acc_z*pas</f>
        <v>-115.39730311569</v>
      </c>
      <c r="I669" s="397" t="n">
        <f aca="false">SQRT(vit_x^2+vit_z^2)</f>
        <v>115.967458474335</v>
      </c>
      <c r="J669" s="396" t="n">
        <f aca="false">J668+0.5*(vit_x+G668)*pas*(K668&gt;=0)</f>
        <v>690.928492655337</v>
      </c>
      <c r="K669" s="398" t="n">
        <f aca="false">K668+0.5*(vit_z+H668)*pas</f>
        <v>-10.496783816622</v>
      </c>
      <c r="L669" s="397" t="n">
        <f aca="false">SQRT(pos_x^2+pos_z^2)</f>
        <v>691.008223130137</v>
      </c>
      <c r="M669" s="396" t="n">
        <f aca="false">IF(AND(L668&gt;L_rampe,G669&gt;0),ATAN2(G669,H669),$M$4)</f>
        <v>-1.47159405258306</v>
      </c>
      <c r="N669" s="397" t="n">
        <f aca="false">DEGREES(Beta)</f>
        <v>-84.3161283695621</v>
      </c>
      <c r="P669" s="399" t="n">
        <f aca="false">MATCH(t-pas/2-T_ini,CdP_t)</f>
        <v>23</v>
      </c>
      <c r="Q669" s="397" t="n">
        <f aca="false">(INDEX(CdP,2,i_P+1)-INDEX(CdP,2,i_P+0))/(INDEX(CdP,1,i_P+1)-INDEX(CdP,1,i_P+0))*(t-pas/2-T_ini-INDEX(CdP,1,i_P+0))+INDEX(CdP,2,i_P+0)</f>
        <v>0</v>
      </c>
      <c r="R669" s="396" t="n">
        <f aca="false">Poussee/(g*ISP)</f>
        <v>0</v>
      </c>
      <c r="S669" s="398" t="n">
        <f aca="false">S668-Débit*pas</f>
        <v>8.45</v>
      </c>
      <c r="T669" s="397" t="n">
        <f aca="false">m*g</f>
        <v>82.8945</v>
      </c>
      <c r="U669" s="400" t="n">
        <f aca="false">IF(pos_xz&lt;L_rampe,Poids*COS(Beta),0)</f>
        <v>0</v>
      </c>
      <c r="V669" s="396" t="n">
        <f aca="false">Rho_moyen*(20000-Alt_rampe-pos_z)/(20000+Alt_rampe+pos_z)</f>
        <v>1.22628653123955</v>
      </c>
      <c r="W669" s="397" t="n">
        <f aca="false">1/2*Rho*Sref*Cx*vit_xz^2</f>
        <v>62.0571438855575</v>
      </c>
      <c r="Y669" s="401" t="str">
        <f aca="false">IF(AND(pos_z&lt;=0,K668&gt;0),"Impact balistique","") &amp; IF(AND(H670&lt;0,vit_z&gt;=0),"Apogée","") &amp; IF(AND(Poussee=0,Q668&gt;0),"Fin de propulsion","") &amp; IF(AND(L670&gt;L_rampe,pos_xz&lt;=L_rampe),"Sortie de rampe","")</f>
        <v/>
      </c>
      <c r="Z669" s="402" t="str">
        <f aca="false">IF(ABS(t-T_para)&lt;pas/2,"Para","")</f>
        <v/>
      </c>
      <c r="AA669" s="403" t="str">
        <f aca="false">IF(ABS(t-T_satellite)&lt;pas/2,"Satellite","")</f>
        <v/>
      </c>
      <c r="AC669" s="399" t="e">
        <f aca="false">IF(ABS(t-ROUND(t,0))&lt;0.001,t,NA())</f>
        <v>#N/A</v>
      </c>
      <c r="AD669" s="404" t="e">
        <f aca="false">IF(ABS(t-ROUND(t,0))&lt;0.001,pos_x,NA())</f>
        <v>#N/A</v>
      </c>
      <c r="AE669" s="405" t="e">
        <f aca="false">IF(t&lt;T_para, pos_z, NA())</f>
        <v>#N/A</v>
      </c>
      <c r="AG669" s="396" t="n">
        <f aca="false">IF(AND(L668&lt;L_rampe,Poussee&lt;Poids*SIN(M668)),0,(-W668+Poussee)/m-Poids*SIN(M668)/m)</f>
        <v>2.41776660780086</v>
      </c>
      <c r="AH669" s="397" t="n">
        <f aca="false">IF(AND(L668&lt;L_rampe,Poussee&lt;Poids*SIN(M668)), g*SIN(M668), (-W668+Poussee)/m)</f>
        <v>-7.34400159907686</v>
      </c>
    </row>
    <row r="670" customFormat="false" ht="12.75" hidden="false" customHeight="false" outlineLevel="0" collapsed="false">
      <c r="A670" s="396" t="n">
        <f aca="false">IF(B669+0.01&lt;=T_ini+ROUNDUP(Temps_fin_propu,0), 0.01, IF(K669&gt;0, 0.1, 0.0001))</f>
        <v>0.0001</v>
      </c>
      <c r="B670" s="397" t="n">
        <f aca="false">B669+pas</f>
        <v>32.1165000000007</v>
      </c>
      <c r="D670" s="396" t="n">
        <f aca="false">IF(AND(L669&lt;L_rampe,Poussee&lt;Poids*SIN(M669)),0,(-W669+Poussee)/m*COS(M669)-U669/m*SIN(M669))</f>
        <v>-0.727351179656942</v>
      </c>
      <c r="E670" s="398" t="n">
        <f aca="false">IF(AND(L669&lt;L_rampe,Poussee&lt;Poids*SIN(M669)),0,(-W669+Poussee)/m*SIN(M669)+U669/m*COS(M669)-Poids/m)</f>
        <v>-2.50206636500234</v>
      </c>
      <c r="F670" s="397" t="n">
        <f aca="false">SQRT(acc_x^2+acc_z^2)</f>
        <v>2.60564307483284</v>
      </c>
      <c r="G670" s="396" t="n">
        <f aca="false">G669+acc_x*pas</f>
        <v>11.4853031238616</v>
      </c>
      <c r="H670" s="398" t="n">
        <f aca="false">H669+acc_z*pas</f>
        <v>-115.397553322327</v>
      </c>
      <c r="I670" s="397" t="n">
        <f aca="false">SQRT(vit_x^2+vit_z^2)</f>
        <v>115.967700247208</v>
      </c>
      <c r="J670" s="396" t="n">
        <f aca="false">J669+0.5*(vit_x+G669)*pas*(K669&gt;=0)</f>
        <v>690.928492655337</v>
      </c>
      <c r="K670" s="398" t="n">
        <f aca="false">K669+0.5*(vit_z+H669)*pas</f>
        <v>-10.5083235594439</v>
      </c>
      <c r="L670" s="397" t="n">
        <f aca="false">SQRT(pos_x^2+pos_z^2)</f>
        <v>691.008398521325</v>
      </c>
      <c r="M670" s="396" t="n">
        <f aca="false">IF(AND(L669&gt;L_rampe,G670&gt;0),ATAN2(G670,H670),$M$4)</f>
        <v>-1.47159489038437</v>
      </c>
      <c r="N670" s="397" t="n">
        <f aca="false">DEGREES(Beta)</f>
        <v>-84.3161763720413</v>
      </c>
      <c r="P670" s="399" t="n">
        <f aca="false">MATCH(t-pas/2-T_ini,CdP_t)</f>
        <v>23</v>
      </c>
      <c r="Q670" s="397" t="n">
        <f aca="false">(INDEX(CdP,2,i_P+1)-INDEX(CdP,2,i_P+0))/(INDEX(CdP,1,i_P+1)-INDEX(CdP,1,i_P+0))*(t-pas/2-T_ini-INDEX(CdP,1,i_P+0))+INDEX(CdP,2,i_P+0)</f>
        <v>0</v>
      </c>
      <c r="R670" s="396" t="n">
        <f aca="false">Poussee/(g*ISP)</f>
        <v>0</v>
      </c>
      <c r="S670" s="398" t="n">
        <f aca="false">S669-Débit*pas</f>
        <v>8.45</v>
      </c>
      <c r="T670" s="397" t="n">
        <f aca="false">m*g</f>
        <v>82.8945</v>
      </c>
      <c r="U670" s="400" t="n">
        <f aca="false">IF(pos_xz&lt;L_rampe,Poids*COS(Beta),0)</f>
        <v>0</v>
      </c>
      <c r="V670" s="396" t="n">
        <f aca="false">Rho_moyen*(20000-Alt_rampe-pos_z)/(20000+Alt_rampe+pos_z)</f>
        <v>1.22628794634388</v>
      </c>
      <c r="W670" s="397" t="n">
        <f aca="false">1/2*Rho*Sref*Cx*vit_xz^2</f>
        <v>62.0574742561929</v>
      </c>
      <c r="Y670" s="401" t="str">
        <f aca="false">IF(AND(pos_z&lt;=0,K669&gt;0),"Impact balistique","") &amp; IF(AND(H671&lt;0,vit_z&gt;=0),"Apogée","") &amp; IF(AND(Poussee=0,Q669&gt;0),"Fin de propulsion","") &amp; IF(AND(L671&gt;L_rampe,pos_xz&lt;=L_rampe),"Sortie de rampe","")</f>
        <v/>
      </c>
      <c r="Z670" s="402" t="str">
        <f aca="false">IF(ABS(t-T_para)&lt;pas/2,"Para","")</f>
        <v/>
      </c>
      <c r="AA670" s="403" t="str">
        <f aca="false">IF(ABS(t-T_satellite)&lt;pas/2,"Satellite","")</f>
        <v/>
      </c>
      <c r="AC670" s="399" t="e">
        <f aca="false">IF(ABS(t-ROUND(t,0))&lt;0.001,t,NA())</f>
        <v>#N/A</v>
      </c>
      <c r="AD670" s="404" t="e">
        <f aca="false">IF(ABS(t-ROUND(t,0))&lt;0.001,pos_x,NA())</f>
        <v>#N/A</v>
      </c>
      <c r="AE670" s="405" t="e">
        <f aca="false">IF(t&lt;T_para, pos_z, NA())</f>
        <v>#N/A</v>
      </c>
      <c r="AG670" s="396" t="n">
        <f aca="false">IF(AND(L669&lt;L_rampe,Poussee&lt;Poids*SIN(M669)),0,(-W669+Poussee)/m-Poids*SIN(M669)/m)</f>
        <v>2.4177283243641</v>
      </c>
      <c r="AH670" s="397" t="n">
        <f aca="false">IF(AND(L669&lt;L_rampe,Poussee&lt;Poids*SIN(M669)), g*SIN(M669), (-W669+Poussee)/m)</f>
        <v>-7.34404069651568</v>
      </c>
    </row>
    <row r="671" customFormat="false" ht="12.75" hidden="false" customHeight="false" outlineLevel="0" collapsed="false">
      <c r="A671" s="396" t="n">
        <f aca="false">IF(B670+0.01&lt;=T_ini+ROUNDUP(Temps_fin_propu,0), 0.01, IF(K670&gt;0, 0.1, 0.0001))</f>
        <v>0.0001</v>
      </c>
      <c r="B671" s="397" t="n">
        <f aca="false">B670+pas</f>
        <v>32.1166000000007</v>
      </c>
      <c r="D671" s="396" t="n">
        <f aca="false">IF(AND(L670&lt;L_rampe,Poussee&lt;Poids*SIN(M670)),0,(-W670+Poussee)/m*COS(M670)-U670/m*SIN(M670))</f>
        <v>-0.727348929192245</v>
      </c>
      <c r="E671" s="398" t="n">
        <f aca="false">IF(AND(L670&lt;L_rampe,Poussee&lt;Poids*SIN(M670)),0,(-W670+Poussee)/m*SIN(M670)+U670/m*COS(M670)-Poids/m)</f>
        <v>-2.5020268507307</v>
      </c>
      <c r="F671" s="397" t="n">
        <f aca="false">SQRT(acc_x^2+acc_z^2)</f>
        <v>2.6056045030999</v>
      </c>
      <c r="G671" s="396" t="n">
        <f aca="false">G670+acc_x*pas</f>
        <v>11.4852303889687</v>
      </c>
      <c r="H671" s="398" t="n">
        <f aca="false">H670+acc_z*pas</f>
        <v>-115.397803525012</v>
      </c>
      <c r="I671" s="397" t="n">
        <f aca="false">SQRT(vit_x^2+vit_z^2)</f>
        <v>115.967942016253</v>
      </c>
      <c r="J671" s="396" t="n">
        <f aca="false">J670+0.5*(vit_x+G670)*pas*(K670&gt;=0)</f>
        <v>690.928492655337</v>
      </c>
      <c r="K671" s="398" t="n">
        <f aca="false">K670+0.5*(vit_z+H670)*pas</f>
        <v>-10.5198633272862</v>
      </c>
      <c r="L671" s="397" t="n">
        <f aca="false">SQRT(pos_x^2+pos_z^2)</f>
        <v>691.008574105561</v>
      </c>
      <c r="M671" s="396" t="n">
        <f aca="false">IF(AND(L670&gt;L_rampe,G671&gt;0),ATAN2(G671,H671),$M$4)</f>
        <v>-1.47159572817688</v>
      </c>
      <c r="N671" s="397" t="n">
        <f aca="false">DEGREES(Beta)</f>
        <v>-84.3162243740163</v>
      </c>
      <c r="P671" s="399" t="n">
        <f aca="false">MATCH(t-pas/2-T_ini,CdP_t)</f>
        <v>23</v>
      </c>
      <c r="Q671" s="397" t="n">
        <f aca="false">(INDEX(CdP,2,i_P+1)-INDEX(CdP,2,i_P+0))/(INDEX(CdP,1,i_P+1)-INDEX(CdP,1,i_P+0))*(t-pas/2-T_ini-INDEX(CdP,1,i_P+0))+INDEX(CdP,2,i_P+0)</f>
        <v>0</v>
      </c>
      <c r="R671" s="396" t="n">
        <f aca="false">Poussee/(g*ISP)</f>
        <v>0</v>
      </c>
      <c r="S671" s="398" t="n">
        <f aca="false">S670-Débit*pas</f>
        <v>8.45</v>
      </c>
      <c r="T671" s="397" t="n">
        <f aca="false">m*g</f>
        <v>82.8945</v>
      </c>
      <c r="U671" s="400" t="n">
        <f aca="false">IF(pos_xz&lt;L_rampe,Poids*COS(Beta),0)</f>
        <v>0</v>
      </c>
      <c r="V671" s="396" t="n">
        <f aca="false">Rho_moyen*(20000-Alt_rampe-pos_z)/(20000+Alt_rampe+pos_z)</f>
        <v>1.22628936145291</v>
      </c>
      <c r="W671" s="397" t="n">
        <f aca="false">1/2*Rho*Sref*Cx*vit_xz^2</f>
        <v>62.0578046241056</v>
      </c>
      <c r="Y671" s="401" t="str">
        <f aca="false">IF(AND(pos_z&lt;=0,K670&gt;0),"Impact balistique","") &amp; IF(AND(H672&lt;0,vit_z&gt;=0),"Apogée","") &amp; IF(AND(Poussee=0,Q670&gt;0),"Fin de propulsion","") &amp; IF(AND(L672&gt;L_rampe,pos_xz&lt;=L_rampe),"Sortie de rampe","")</f>
        <v/>
      </c>
      <c r="Z671" s="402" t="str">
        <f aca="false">IF(ABS(t-T_para)&lt;pas/2,"Para","")</f>
        <v/>
      </c>
      <c r="AA671" s="403" t="str">
        <f aca="false">IF(ABS(t-T_satellite)&lt;pas/2,"Satellite","")</f>
        <v/>
      </c>
      <c r="AC671" s="399" t="e">
        <f aca="false">IF(ABS(t-ROUND(t,0))&lt;0.001,t,NA())</f>
        <v>#N/A</v>
      </c>
      <c r="AD671" s="404" t="e">
        <f aca="false">IF(ABS(t-ROUND(t,0))&lt;0.001,pos_x,NA())</f>
        <v>#N/A</v>
      </c>
      <c r="AE671" s="405" t="e">
        <f aca="false">IF(t&lt;T_para, pos_z, NA())</f>
        <v>#N/A</v>
      </c>
      <c r="AG671" s="396" t="n">
        <f aca="false">IF(AND(L670&lt;L_rampe,Poussee&lt;Poids*SIN(M670)),0,(-W670+Poussee)/m-Poids*SIN(M670)/m)</f>
        <v>2.41769004123414</v>
      </c>
      <c r="AH671" s="397" t="n">
        <f aca="false">IF(AND(L670&lt;L_rampe,Poussee&lt;Poids*SIN(M670)), g*SIN(M670), (-W670+Poussee)/m)</f>
        <v>-7.3440797936323</v>
      </c>
    </row>
    <row r="672" customFormat="false" ht="12.75" hidden="false" customHeight="false" outlineLevel="0" collapsed="false">
      <c r="A672" s="396" t="n">
        <f aca="false">IF(B671+0.01&lt;=T_ini+ROUNDUP(Temps_fin_propu,0), 0.01, IF(K671&gt;0, 0.1, 0.0001))</f>
        <v>0.0001</v>
      </c>
      <c r="B672" s="397" t="n">
        <f aca="false">B671+pas</f>
        <v>32.1167000000007</v>
      </c>
      <c r="D672" s="396" t="n">
        <f aca="false">IF(AND(L671&lt;L_rampe,Poussee&lt;Poids*SIN(M671)),0,(-W671+Poussee)/m*COS(M671)-U671/m*SIN(M671))</f>
        <v>-0.727346678694242</v>
      </c>
      <c r="E672" s="398" t="n">
        <f aca="false">IF(AND(L671&lt;L_rampe,Poussee&lt;Poids*SIN(M671)),0,(-W671+Poussee)/m*SIN(M671)+U671/m*COS(M671)-Poids/m)</f>
        <v>-2.50198733678473</v>
      </c>
      <c r="F672" s="397" t="n">
        <f aca="false">SQRT(acc_x^2+acc_z^2)</f>
        <v>2.60556593170058</v>
      </c>
      <c r="G672" s="396" t="n">
        <f aca="false">G671+acc_x*pas</f>
        <v>11.4851576543008</v>
      </c>
      <c r="H672" s="398" t="n">
        <f aca="false">H671+acc_z*pas</f>
        <v>-115.398053723746</v>
      </c>
      <c r="I672" s="397" t="n">
        <f aca="false">SQRT(vit_x^2+vit_z^2)</f>
        <v>115.968183781469</v>
      </c>
      <c r="J672" s="396" t="n">
        <f aca="false">J671+0.5*(vit_x+G671)*pas*(K671&gt;=0)</f>
        <v>690.928492655337</v>
      </c>
      <c r="K672" s="398" t="n">
        <f aca="false">K671+0.5*(vit_z+H671)*pas</f>
        <v>-10.5314031201487</v>
      </c>
      <c r="L672" s="397" t="n">
        <f aca="false">SQRT(pos_x^2+pos_z^2)</f>
        <v>691.008749882847</v>
      </c>
      <c r="M672" s="396" t="n">
        <f aca="false">IF(AND(L671&gt;L_rampe,G672&gt;0),ATAN2(G672,H672),$M$4)</f>
        <v>-1.47159656596059</v>
      </c>
      <c r="N672" s="397" t="n">
        <f aca="false">DEGREES(Beta)</f>
        <v>-84.3162723754872</v>
      </c>
      <c r="P672" s="399" t="n">
        <f aca="false">MATCH(t-pas/2-T_ini,CdP_t)</f>
        <v>23</v>
      </c>
      <c r="Q672" s="397" t="n">
        <f aca="false">(INDEX(CdP,2,i_P+1)-INDEX(CdP,2,i_P+0))/(INDEX(CdP,1,i_P+1)-INDEX(CdP,1,i_P+0))*(t-pas/2-T_ini-INDEX(CdP,1,i_P+0))+INDEX(CdP,2,i_P+0)</f>
        <v>0</v>
      </c>
      <c r="R672" s="396" t="n">
        <f aca="false">Poussee/(g*ISP)</f>
        <v>0</v>
      </c>
      <c r="S672" s="398" t="n">
        <f aca="false">S671-Débit*pas</f>
        <v>8.45</v>
      </c>
      <c r="T672" s="397" t="n">
        <f aca="false">m*g</f>
        <v>82.8945</v>
      </c>
      <c r="U672" s="400" t="n">
        <f aca="false">IF(pos_xz&lt;L_rampe,Poids*COS(Beta),0)</f>
        <v>0</v>
      </c>
      <c r="V672" s="396" t="n">
        <f aca="false">Rho_moyen*(20000-Alt_rampe-pos_z)/(20000+Alt_rampe+pos_z)</f>
        <v>1.22629077656664</v>
      </c>
      <c r="W672" s="397" t="n">
        <f aca="false">1/2*Rho*Sref*Cx*vit_xz^2</f>
        <v>62.0581349892957</v>
      </c>
      <c r="Y672" s="401" t="str">
        <f aca="false">IF(AND(pos_z&lt;=0,K671&gt;0),"Impact balistique","") &amp; IF(AND(H673&lt;0,vit_z&gt;=0),"Apogée","") &amp; IF(AND(Poussee=0,Q671&gt;0),"Fin de propulsion","") &amp; IF(AND(L673&gt;L_rampe,pos_xz&lt;=L_rampe),"Sortie de rampe","")</f>
        <v/>
      </c>
      <c r="Z672" s="402" t="str">
        <f aca="false">IF(ABS(t-T_para)&lt;pas/2,"Para","")</f>
        <v/>
      </c>
      <c r="AA672" s="403" t="str">
        <f aca="false">IF(ABS(t-T_satellite)&lt;pas/2,"Satellite","")</f>
        <v/>
      </c>
      <c r="AC672" s="399" t="e">
        <f aca="false">IF(ABS(t-ROUND(t,0))&lt;0.001,t,NA())</f>
        <v>#N/A</v>
      </c>
      <c r="AD672" s="404" t="e">
        <f aca="false">IF(ABS(t-ROUND(t,0))&lt;0.001,pos_x,NA())</f>
        <v>#N/A</v>
      </c>
      <c r="AE672" s="405" t="e">
        <f aca="false">IF(t&lt;T_para, pos_z, NA())</f>
        <v>#N/A</v>
      </c>
      <c r="AG672" s="396" t="n">
        <f aca="false">IF(AND(L671&lt;L_rampe,Poussee&lt;Poids*SIN(M671)),0,(-W671+Poussee)/m-Poids*SIN(M671)/m)</f>
        <v>2.417651758411</v>
      </c>
      <c r="AH672" s="397" t="n">
        <f aca="false">IF(AND(L671&lt;L_rampe,Poussee&lt;Poids*SIN(M671)), g*SIN(M671), (-W671+Poussee)/m)</f>
        <v>-7.3441188904267</v>
      </c>
    </row>
    <row r="673" customFormat="false" ht="12.75" hidden="false" customHeight="false" outlineLevel="0" collapsed="false">
      <c r="A673" s="396" t="n">
        <f aca="false">IF(B672+0.01&lt;=T_ini+ROUNDUP(Temps_fin_propu,0), 0.01, IF(K672&gt;0, 0.1, 0.0001))</f>
        <v>0.0001</v>
      </c>
      <c r="B673" s="397" t="n">
        <f aca="false">B672+pas</f>
        <v>32.1168000000007</v>
      </c>
      <c r="D673" s="396" t="n">
        <f aca="false">IF(AND(L672&lt;L_rampe,Poussee&lt;Poids*SIN(M672)),0,(-W672+Poussee)/m*COS(M672)-U672/m*SIN(M672))</f>
        <v>-0.727344428162931</v>
      </c>
      <c r="E673" s="398" t="n">
        <f aca="false">IF(AND(L672&lt;L_rampe,Poussee&lt;Poids*SIN(M672)),0,(-W672+Poussee)/m*SIN(M672)+U672/m*COS(M672)-Poids/m)</f>
        <v>-2.50194782316442</v>
      </c>
      <c r="F673" s="397" t="n">
        <f aca="false">SQRT(acc_x^2+acc_z^2)</f>
        <v>2.60552736063486</v>
      </c>
      <c r="G673" s="396" t="n">
        <f aca="false">G672+acc_x*pas</f>
        <v>11.485084919858</v>
      </c>
      <c r="H673" s="398" t="n">
        <f aca="false">H672+acc_z*pas</f>
        <v>-115.398303918528</v>
      </c>
      <c r="I673" s="397" t="n">
        <f aca="false">SQRT(vit_x^2+vit_z^2)</f>
        <v>115.968425542857</v>
      </c>
      <c r="J673" s="396" t="n">
        <f aca="false">J672+0.5*(vit_x+G672)*pas*(K672&gt;=0)</f>
        <v>690.928492655337</v>
      </c>
      <c r="K673" s="398" t="n">
        <f aca="false">K672+0.5*(vit_z+H672)*pas</f>
        <v>-10.5429429380308</v>
      </c>
      <c r="L673" s="397" t="n">
        <f aca="false">SQRT(pos_x^2+pos_z^2)</f>
        <v>691.008925853183</v>
      </c>
      <c r="M673" s="396" t="n">
        <f aca="false">IF(AND(L672&gt;L_rampe,G673&gt;0),ATAN2(G673,H673),$M$4)</f>
        <v>-1.47159740373551</v>
      </c>
      <c r="N673" s="397" t="n">
        <f aca="false">DEGREES(Beta)</f>
        <v>-84.3163203764539</v>
      </c>
      <c r="P673" s="399" t="n">
        <f aca="false">MATCH(t-pas/2-T_ini,CdP_t)</f>
        <v>23</v>
      </c>
      <c r="Q673" s="397" t="n">
        <f aca="false">(INDEX(CdP,2,i_P+1)-INDEX(CdP,2,i_P+0))/(INDEX(CdP,1,i_P+1)-INDEX(CdP,1,i_P+0))*(t-pas/2-T_ini-INDEX(CdP,1,i_P+0))+INDEX(CdP,2,i_P+0)</f>
        <v>0</v>
      </c>
      <c r="R673" s="396" t="n">
        <f aca="false">Poussee/(g*ISP)</f>
        <v>0</v>
      </c>
      <c r="S673" s="398" t="n">
        <f aca="false">S672-Débit*pas</f>
        <v>8.45</v>
      </c>
      <c r="T673" s="397" t="n">
        <f aca="false">m*g</f>
        <v>82.8945</v>
      </c>
      <c r="U673" s="400" t="n">
        <f aca="false">IF(pos_xz&lt;L_rampe,Poids*COS(Beta),0)</f>
        <v>0</v>
      </c>
      <c r="V673" s="396" t="n">
        <f aca="false">Rho_moyen*(20000-Alt_rampe-pos_z)/(20000+Alt_rampe+pos_z)</f>
        <v>1.22629219168507</v>
      </c>
      <c r="W673" s="397" t="n">
        <f aca="false">1/2*Rho*Sref*Cx*vit_xz^2</f>
        <v>62.0584653517631</v>
      </c>
      <c r="Y673" s="401" t="str">
        <f aca="false">IF(AND(pos_z&lt;=0,K672&gt;0),"Impact balistique","") &amp; IF(AND(H674&lt;0,vit_z&gt;=0),"Apogée","") &amp; IF(AND(Poussee=0,Q672&gt;0),"Fin de propulsion","") &amp; IF(AND(L674&gt;L_rampe,pos_xz&lt;=L_rampe),"Sortie de rampe","")</f>
        <v/>
      </c>
      <c r="Z673" s="402" t="str">
        <f aca="false">IF(ABS(t-T_para)&lt;pas/2,"Para","")</f>
        <v/>
      </c>
      <c r="AA673" s="403" t="str">
        <f aca="false">IF(ABS(t-T_satellite)&lt;pas/2,"Satellite","")</f>
        <v/>
      </c>
      <c r="AC673" s="399" t="e">
        <f aca="false">IF(ABS(t-ROUND(t,0))&lt;0.001,t,NA())</f>
        <v>#N/A</v>
      </c>
      <c r="AD673" s="404" t="e">
        <f aca="false">IF(ABS(t-ROUND(t,0))&lt;0.001,pos_x,NA())</f>
        <v>#N/A</v>
      </c>
      <c r="AE673" s="405" t="e">
        <f aca="false">IF(t&lt;T_para, pos_z, NA())</f>
        <v>#N/A</v>
      </c>
      <c r="AG673" s="396" t="n">
        <f aca="false">IF(AND(L672&lt;L_rampe,Poussee&lt;Poids*SIN(M672)),0,(-W672+Poussee)/m-Poids*SIN(M672)/m)</f>
        <v>2.41761347589465</v>
      </c>
      <c r="AH673" s="397" t="n">
        <f aca="false">IF(AND(L672&lt;L_rampe,Poussee&lt;Poids*SIN(M672)), g*SIN(M672), (-W672+Poussee)/m)</f>
        <v>-7.3441579868989</v>
      </c>
    </row>
    <row r="674" customFormat="false" ht="12.75" hidden="false" customHeight="false" outlineLevel="0" collapsed="false">
      <c r="A674" s="396" t="n">
        <f aca="false">IF(B673+0.01&lt;=T_ini+ROUNDUP(Temps_fin_propu,0), 0.01, IF(K673&gt;0, 0.1, 0.0001))</f>
        <v>0.0001</v>
      </c>
      <c r="B674" s="397" t="n">
        <f aca="false">B673+pas</f>
        <v>32.1169000000008</v>
      </c>
      <c r="D674" s="396" t="n">
        <f aca="false">IF(AND(L673&lt;L_rampe,Poussee&lt;Poids*SIN(M673)),0,(-W673+Poussee)/m*COS(M673)-U673/m*SIN(M673))</f>
        <v>-0.727342177598315</v>
      </c>
      <c r="E674" s="398" t="n">
        <f aca="false">IF(AND(L673&lt;L_rampe,Poussee&lt;Poids*SIN(M673)),0,(-W673+Poussee)/m*SIN(M673)+U673/m*COS(M673)-Poids/m)</f>
        <v>-2.50190830986978</v>
      </c>
      <c r="F674" s="397" t="n">
        <f aca="false">SQRT(acc_x^2+acc_z^2)</f>
        <v>2.60548878990276</v>
      </c>
      <c r="G674" s="396" t="n">
        <f aca="false">G673+acc_x*pas</f>
        <v>11.4850121856402</v>
      </c>
      <c r="H674" s="398" t="n">
        <f aca="false">H673+acc_z*pas</f>
        <v>-115.398554109359</v>
      </c>
      <c r="I674" s="397" t="n">
        <f aca="false">SQRT(vit_x^2+vit_z^2)</f>
        <v>115.968667300417</v>
      </c>
      <c r="J674" s="396" t="n">
        <f aca="false">J673+0.5*(vit_x+G673)*pas*(K673&gt;=0)</f>
        <v>690.928492655337</v>
      </c>
      <c r="K674" s="398" t="n">
        <f aca="false">K673+0.5*(vit_z+H673)*pas</f>
        <v>-10.5544827809322</v>
      </c>
      <c r="L674" s="397" t="n">
        <f aca="false">SQRT(pos_x^2+pos_z^2)</f>
        <v>691.009102016572</v>
      </c>
      <c r="M674" s="396" t="n">
        <f aca="false">IF(AND(L673&gt;L_rampe,G674&gt;0),ATAN2(G674,H674),$M$4)</f>
        <v>-1.47159824150162</v>
      </c>
      <c r="N674" s="397" t="n">
        <f aca="false">DEGREES(Beta)</f>
        <v>-84.3163683769166</v>
      </c>
      <c r="P674" s="399" t="n">
        <f aca="false">MATCH(t-pas/2-T_ini,CdP_t)</f>
        <v>23</v>
      </c>
      <c r="Q674" s="397" t="n">
        <f aca="false">(INDEX(CdP,2,i_P+1)-INDEX(CdP,2,i_P+0))/(INDEX(CdP,1,i_P+1)-INDEX(CdP,1,i_P+0))*(t-pas/2-T_ini-INDEX(CdP,1,i_P+0))+INDEX(CdP,2,i_P+0)</f>
        <v>0</v>
      </c>
      <c r="R674" s="396" t="n">
        <f aca="false">Poussee/(g*ISP)</f>
        <v>0</v>
      </c>
      <c r="S674" s="398" t="n">
        <f aca="false">S673-Débit*pas</f>
        <v>8.45</v>
      </c>
      <c r="T674" s="397" t="n">
        <f aca="false">m*g</f>
        <v>82.8945</v>
      </c>
      <c r="U674" s="400" t="n">
        <f aca="false">IF(pos_xz&lt;L_rampe,Poids*COS(Beta),0)</f>
        <v>0</v>
      </c>
      <c r="V674" s="396" t="n">
        <f aca="false">Rho_moyen*(20000-Alt_rampe-pos_z)/(20000+Alt_rampe+pos_z)</f>
        <v>1.2262936068082</v>
      </c>
      <c r="W674" s="397" t="n">
        <f aca="false">1/2*Rho*Sref*Cx*vit_xz^2</f>
        <v>62.0587957115079</v>
      </c>
      <c r="Y674" s="401" t="str">
        <f aca="false">IF(AND(pos_z&lt;=0,K673&gt;0),"Impact balistique","") &amp; IF(AND(H675&lt;0,vit_z&gt;=0),"Apogée","") &amp; IF(AND(Poussee=0,Q673&gt;0),"Fin de propulsion","") &amp; IF(AND(L675&gt;L_rampe,pos_xz&lt;=L_rampe),"Sortie de rampe","")</f>
        <v/>
      </c>
      <c r="Z674" s="402" t="str">
        <f aca="false">IF(ABS(t-T_para)&lt;pas/2,"Para","")</f>
        <v/>
      </c>
      <c r="AA674" s="403" t="str">
        <f aca="false">IF(ABS(t-T_satellite)&lt;pas/2,"Satellite","")</f>
        <v/>
      </c>
      <c r="AC674" s="399" t="e">
        <f aca="false">IF(ABS(t-ROUND(t,0))&lt;0.001,t,NA())</f>
        <v>#N/A</v>
      </c>
      <c r="AD674" s="404" t="e">
        <f aca="false">IF(ABS(t-ROUND(t,0))&lt;0.001,pos_x,NA())</f>
        <v>#N/A</v>
      </c>
      <c r="AE674" s="405" t="e">
        <f aca="false">IF(t&lt;T_para, pos_z, NA())</f>
        <v>#N/A</v>
      </c>
      <c r="AG674" s="396" t="n">
        <f aca="false">IF(AND(L673&lt;L_rampe,Poussee&lt;Poids*SIN(M673)),0,(-W673+Poussee)/m-Poids*SIN(M673)/m)</f>
        <v>2.41757519368512</v>
      </c>
      <c r="AH674" s="397" t="n">
        <f aca="false">IF(AND(L673&lt;L_rampe,Poussee&lt;Poids*SIN(M673)), g*SIN(M673), (-W673+Poussee)/m)</f>
        <v>-7.34419708304889</v>
      </c>
    </row>
    <row r="675" customFormat="false" ht="12.75" hidden="false" customHeight="false" outlineLevel="0" collapsed="false">
      <c r="A675" s="396" t="n">
        <f aca="false">IF(B674+0.01&lt;=T_ini+ROUNDUP(Temps_fin_propu,0), 0.01, IF(K674&gt;0, 0.1, 0.0001))</f>
        <v>0.0001</v>
      </c>
      <c r="B675" s="397" t="n">
        <f aca="false">B674+pas</f>
        <v>32.1170000000008</v>
      </c>
      <c r="D675" s="396" t="n">
        <f aca="false">IF(AND(L674&lt;L_rampe,Poussee&lt;Poids*SIN(M674)),0,(-W674+Poussee)/m*COS(M674)-U674/m*SIN(M674))</f>
        <v>-0.727339927000392</v>
      </c>
      <c r="E675" s="398" t="n">
        <f aca="false">IF(AND(L674&lt;L_rampe,Poussee&lt;Poids*SIN(M674)),0,(-W674+Poussee)/m*SIN(M674)+U674/m*COS(M674)-Poids/m)</f>
        <v>-2.50186879690081</v>
      </c>
      <c r="F675" s="397" t="n">
        <f aca="false">SQRT(acc_x^2+acc_z^2)</f>
        <v>2.60545021950427</v>
      </c>
      <c r="G675" s="396" t="n">
        <f aca="false">G674+acc_x*pas</f>
        <v>11.4849394516475</v>
      </c>
      <c r="H675" s="398" t="n">
        <f aca="false">H674+acc_z*pas</f>
        <v>-115.398804296239</v>
      </c>
      <c r="I675" s="397" t="n">
        <f aca="false">SQRT(vit_x^2+vit_z^2)</f>
        <v>115.968909054149</v>
      </c>
      <c r="J675" s="396" t="n">
        <f aca="false">J674+0.5*(vit_x+G674)*pas*(K674&gt;=0)</f>
        <v>690.928492655337</v>
      </c>
      <c r="K675" s="398" t="n">
        <f aca="false">K674+0.5*(vit_z+H674)*pas</f>
        <v>-10.5660226488524</v>
      </c>
      <c r="L675" s="397" t="n">
        <f aca="false">SQRT(pos_x^2+pos_z^2)</f>
        <v>691.009278373013</v>
      </c>
      <c r="M675" s="396" t="n">
        <f aca="false">IF(AND(L674&gt;L_rampe,G675&gt;0),ATAN2(G675,H675),$M$4)</f>
        <v>-1.47159907925894</v>
      </c>
      <c r="N675" s="397" t="n">
        <f aca="false">DEGREES(Beta)</f>
        <v>-84.3164163768751</v>
      </c>
      <c r="P675" s="399" t="n">
        <f aca="false">MATCH(t-pas/2-T_ini,CdP_t)</f>
        <v>23</v>
      </c>
      <c r="Q675" s="397" t="n">
        <f aca="false">(INDEX(CdP,2,i_P+1)-INDEX(CdP,2,i_P+0))/(INDEX(CdP,1,i_P+1)-INDEX(CdP,1,i_P+0))*(t-pas/2-T_ini-INDEX(CdP,1,i_P+0))+INDEX(CdP,2,i_P+0)</f>
        <v>0</v>
      </c>
      <c r="R675" s="396" t="n">
        <f aca="false">Poussee/(g*ISP)</f>
        <v>0</v>
      </c>
      <c r="S675" s="398" t="n">
        <f aca="false">S674-Débit*pas</f>
        <v>8.45</v>
      </c>
      <c r="T675" s="397" t="n">
        <f aca="false">m*g</f>
        <v>82.8945</v>
      </c>
      <c r="U675" s="400" t="n">
        <f aca="false">IF(pos_xz&lt;L_rampe,Poids*COS(Beta),0)</f>
        <v>0</v>
      </c>
      <c r="V675" s="396" t="n">
        <f aca="false">Rho_moyen*(20000-Alt_rampe-pos_z)/(20000+Alt_rampe+pos_z)</f>
        <v>1.22629502193604</v>
      </c>
      <c r="W675" s="397" t="n">
        <f aca="false">1/2*Rho*Sref*Cx*vit_xz^2</f>
        <v>62.0591260685299</v>
      </c>
      <c r="Y675" s="401" t="str">
        <f aca="false">IF(AND(pos_z&lt;=0,K674&gt;0),"Impact balistique","") &amp; IF(AND(H676&lt;0,vit_z&gt;=0),"Apogée","") &amp; IF(AND(Poussee=0,Q674&gt;0),"Fin de propulsion","") &amp; IF(AND(L676&gt;L_rampe,pos_xz&lt;=L_rampe),"Sortie de rampe","")</f>
        <v/>
      </c>
      <c r="Z675" s="402" t="str">
        <f aca="false">IF(ABS(t-T_para)&lt;pas/2,"Para","")</f>
        <v/>
      </c>
      <c r="AA675" s="403" t="str">
        <f aca="false">IF(ABS(t-T_satellite)&lt;pas/2,"Satellite","")</f>
        <v/>
      </c>
      <c r="AC675" s="399" t="e">
        <f aca="false">IF(ABS(t-ROUND(t,0))&lt;0.001,t,NA())</f>
        <v>#N/A</v>
      </c>
      <c r="AD675" s="404" t="e">
        <f aca="false">IF(ABS(t-ROUND(t,0))&lt;0.001,pos_x,NA())</f>
        <v>#N/A</v>
      </c>
      <c r="AE675" s="405" t="e">
        <f aca="false">IF(t&lt;T_para, pos_z, NA())</f>
        <v>#N/A</v>
      </c>
      <c r="AG675" s="396" t="n">
        <f aca="false">IF(AND(L674&lt;L_rampe,Poussee&lt;Poids*SIN(M674)),0,(-W674+Poussee)/m-Poids*SIN(M674)/m)</f>
        <v>2.4175369117824</v>
      </c>
      <c r="AH675" s="397" t="n">
        <f aca="false">IF(AND(L674&lt;L_rampe,Poussee&lt;Poids*SIN(M674)), g*SIN(M674), (-W674+Poussee)/m)</f>
        <v>-7.34423617887667</v>
      </c>
    </row>
    <row r="676" customFormat="false" ht="12.75" hidden="false" customHeight="false" outlineLevel="0" collapsed="false">
      <c r="A676" s="396" t="n">
        <f aca="false">IF(B675+0.01&lt;=T_ini+ROUNDUP(Temps_fin_propu,0), 0.01, IF(K675&gt;0, 0.1, 0.0001))</f>
        <v>0.0001</v>
      </c>
      <c r="B676" s="397" t="n">
        <f aca="false">B675+pas</f>
        <v>32.1171000000008</v>
      </c>
      <c r="D676" s="396" t="n">
        <f aca="false">IF(AND(L675&lt;L_rampe,Poussee&lt;Poids*SIN(M675)),0,(-W675+Poussee)/m*COS(M675)-U675/m*SIN(M675))</f>
        <v>-0.727337676369165</v>
      </c>
      <c r="E676" s="398" t="n">
        <f aca="false">IF(AND(L675&lt;L_rampe,Poussee&lt;Poids*SIN(M675)),0,(-W675+Poussee)/m*SIN(M675)+U675/m*COS(M675)-Poids/m)</f>
        <v>-2.5018292842575</v>
      </c>
      <c r="F676" s="397" t="n">
        <f aca="false">SQRT(acc_x^2+acc_z^2)</f>
        <v>2.60541164943939</v>
      </c>
      <c r="G676" s="396" t="n">
        <f aca="false">G675+acc_x*pas</f>
        <v>11.4848667178799</v>
      </c>
      <c r="H676" s="398" t="n">
        <f aca="false">H675+acc_z*pas</f>
        <v>-115.399054479167</v>
      </c>
      <c r="I676" s="397" t="n">
        <f aca="false">SQRT(vit_x^2+vit_z^2)</f>
        <v>115.969150804053</v>
      </c>
      <c r="J676" s="396" t="n">
        <f aca="false">J675+0.5*(vit_x+G675)*pas*(K675&gt;=0)</f>
        <v>690.928492655337</v>
      </c>
      <c r="K676" s="398" t="n">
        <f aca="false">K675+0.5*(vit_z+H675)*pas</f>
        <v>-10.5775625417912</v>
      </c>
      <c r="L676" s="397" t="n">
        <f aca="false">SQRT(pos_x^2+pos_z^2)</f>
        <v>691.009454922508</v>
      </c>
      <c r="M676" s="396" t="n">
        <f aca="false">IF(AND(L675&gt;L_rampe,G676&gt;0),ATAN2(G676,H676),$M$4)</f>
        <v>-1.47159991700746</v>
      </c>
      <c r="N676" s="397" t="n">
        <f aca="false">DEGREES(Beta)</f>
        <v>-84.3164643763295</v>
      </c>
      <c r="P676" s="399" t="n">
        <f aca="false">MATCH(t-pas/2-T_ini,CdP_t)</f>
        <v>23</v>
      </c>
      <c r="Q676" s="397" t="n">
        <f aca="false">(INDEX(CdP,2,i_P+1)-INDEX(CdP,2,i_P+0))/(INDEX(CdP,1,i_P+1)-INDEX(CdP,1,i_P+0))*(t-pas/2-T_ini-INDEX(CdP,1,i_P+0))+INDEX(CdP,2,i_P+0)</f>
        <v>0</v>
      </c>
      <c r="R676" s="396" t="n">
        <f aca="false">Poussee/(g*ISP)</f>
        <v>0</v>
      </c>
      <c r="S676" s="398" t="n">
        <f aca="false">S675-Débit*pas</f>
        <v>8.45</v>
      </c>
      <c r="T676" s="397" t="n">
        <f aca="false">m*g</f>
        <v>82.8945</v>
      </c>
      <c r="U676" s="400" t="n">
        <f aca="false">IF(pos_xz&lt;L_rampe,Poids*COS(Beta),0)</f>
        <v>0</v>
      </c>
      <c r="V676" s="396" t="n">
        <f aca="false">Rho_moyen*(20000-Alt_rampe-pos_z)/(20000+Alt_rampe+pos_z)</f>
        <v>1.22629643706858</v>
      </c>
      <c r="W676" s="397" t="n">
        <f aca="false">1/2*Rho*Sref*Cx*vit_xz^2</f>
        <v>62.0594564228293</v>
      </c>
      <c r="Y676" s="401" t="str">
        <f aca="false">IF(AND(pos_z&lt;=0,K675&gt;0),"Impact balistique","") &amp; IF(AND(H677&lt;0,vit_z&gt;=0),"Apogée","") &amp; IF(AND(Poussee=0,Q675&gt;0),"Fin de propulsion","") &amp; IF(AND(L677&gt;L_rampe,pos_xz&lt;=L_rampe),"Sortie de rampe","")</f>
        <v/>
      </c>
      <c r="Z676" s="402" t="str">
        <f aca="false">IF(ABS(t-T_para)&lt;pas/2,"Para","")</f>
        <v/>
      </c>
      <c r="AA676" s="403" t="str">
        <f aca="false">IF(ABS(t-T_satellite)&lt;pas/2,"Satellite","")</f>
        <v/>
      </c>
      <c r="AC676" s="399" t="e">
        <f aca="false">IF(ABS(t-ROUND(t,0))&lt;0.001,t,NA())</f>
        <v>#N/A</v>
      </c>
      <c r="AD676" s="404" t="e">
        <f aca="false">IF(ABS(t-ROUND(t,0))&lt;0.001,pos_x,NA())</f>
        <v>#N/A</v>
      </c>
      <c r="AE676" s="405" t="e">
        <f aca="false">IF(t&lt;T_para, pos_z, NA())</f>
        <v>#N/A</v>
      </c>
      <c r="AG676" s="396" t="n">
        <f aca="false">IF(AND(L675&lt;L_rampe,Poussee&lt;Poids*SIN(M675)),0,(-W675+Poussee)/m-Poids*SIN(M675)/m)</f>
        <v>2.41749863018649</v>
      </c>
      <c r="AH676" s="397" t="n">
        <f aca="false">IF(AND(L675&lt;L_rampe,Poussee&lt;Poids*SIN(M675)), g*SIN(M675), (-W675+Poussee)/m)</f>
        <v>-7.34427527438224</v>
      </c>
    </row>
    <row r="677" customFormat="false" ht="12.75" hidden="false" customHeight="false" outlineLevel="0" collapsed="false">
      <c r="A677" s="396" t="n">
        <f aca="false">IF(B676+0.01&lt;=T_ini+ROUNDUP(Temps_fin_propu,0), 0.01, IF(K676&gt;0, 0.1, 0.0001))</f>
        <v>0.0001</v>
      </c>
      <c r="B677" s="397" t="n">
        <f aca="false">B676+pas</f>
        <v>32.1172000000008</v>
      </c>
      <c r="D677" s="396" t="n">
        <f aca="false">IF(AND(L676&lt;L_rampe,Poussee&lt;Poids*SIN(M676)),0,(-W676+Poussee)/m*COS(M676)-U676/m*SIN(M676))</f>
        <v>-0.727335425704636</v>
      </c>
      <c r="E677" s="398" t="n">
        <f aca="false">IF(AND(L676&lt;L_rampe,Poussee&lt;Poids*SIN(M676)),0,(-W676+Poussee)/m*SIN(M676)+U676/m*COS(M676)-Poids/m)</f>
        <v>-2.50178977193986</v>
      </c>
      <c r="F677" s="397" t="n">
        <f aca="false">SQRT(acc_x^2+acc_z^2)</f>
        <v>2.60537307970813</v>
      </c>
      <c r="G677" s="396" t="n">
        <f aca="false">G676+acc_x*pas</f>
        <v>11.4847939843373</v>
      </c>
      <c r="H677" s="398" t="n">
        <f aca="false">H676+acc_z*pas</f>
        <v>-115.399304658144</v>
      </c>
      <c r="I677" s="397" t="n">
        <f aca="false">SQRT(vit_x^2+vit_z^2)</f>
        <v>115.969392550129</v>
      </c>
      <c r="J677" s="396" t="n">
        <f aca="false">J676+0.5*(vit_x+G676)*pas*(K676&gt;=0)</f>
        <v>690.928492655337</v>
      </c>
      <c r="K677" s="398" t="n">
        <f aca="false">K676+0.5*(vit_z+H676)*pas</f>
        <v>-10.5891024597481</v>
      </c>
      <c r="L677" s="397" t="n">
        <f aca="false">SQRT(pos_x^2+pos_z^2)</f>
        <v>691.009631665058</v>
      </c>
      <c r="M677" s="396" t="n">
        <f aca="false">IF(AND(L676&gt;L_rampe,G677&gt;0),ATAN2(G677,H677),$M$4)</f>
        <v>-1.47160075474718</v>
      </c>
      <c r="N677" s="397" t="n">
        <f aca="false">DEGREES(Beta)</f>
        <v>-84.3165123752798</v>
      </c>
      <c r="P677" s="399" t="n">
        <f aca="false">MATCH(t-pas/2-T_ini,CdP_t)</f>
        <v>23</v>
      </c>
      <c r="Q677" s="397" t="n">
        <f aca="false">(INDEX(CdP,2,i_P+1)-INDEX(CdP,2,i_P+0))/(INDEX(CdP,1,i_P+1)-INDEX(CdP,1,i_P+0))*(t-pas/2-T_ini-INDEX(CdP,1,i_P+0))+INDEX(CdP,2,i_P+0)</f>
        <v>0</v>
      </c>
      <c r="R677" s="396" t="n">
        <f aca="false">Poussee/(g*ISP)</f>
        <v>0</v>
      </c>
      <c r="S677" s="398" t="n">
        <f aca="false">S676-Débit*pas</f>
        <v>8.45</v>
      </c>
      <c r="T677" s="397" t="n">
        <f aca="false">m*g</f>
        <v>82.8945</v>
      </c>
      <c r="U677" s="400" t="n">
        <f aca="false">IF(pos_xz&lt;L_rampe,Poids*COS(Beta),0)</f>
        <v>0</v>
      </c>
      <c r="V677" s="396" t="n">
        <f aca="false">Rho_moyen*(20000-Alt_rampe-pos_z)/(20000+Alt_rampe+pos_z)</f>
        <v>1.22629785220582</v>
      </c>
      <c r="W677" s="397" t="n">
        <f aca="false">1/2*Rho*Sref*Cx*vit_xz^2</f>
        <v>62.059786774406</v>
      </c>
      <c r="Y677" s="401" t="str">
        <f aca="false">IF(AND(pos_z&lt;=0,K676&gt;0),"Impact balistique","") &amp; IF(AND(H678&lt;0,vit_z&gt;=0),"Apogée","") &amp; IF(AND(Poussee=0,Q676&gt;0),"Fin de propulsion","") &amp; IF(AND(L678&gt;L_rampe,pos_xz&lt;=L_rampe),"Sortie de rampe","")</f>
        <v/>
      </c>
      <c r="Z677" s="402" t="str">
        <f aca="false">IF(ABS(t-T_para)&lt;pas/2,"Para","")</f>
        <v/>
      </c>
      <c r="AA677" s="403" t="str">
        <f aca="false">IF(ABS(t-T_satellite)&lt;pas/2,"Satellite","")</f>
        <v/>
      </c>
      <c r="AC677" s="399" t="e">
        <f aca="false">IF(ABS(t-ROUND(t,0))&lt;0.001,t,NA())</f>
        <v>#N/A</v>
      </c>
      <c r="AD677" s="404" t="e">
        <f aca="false">IF(ABS(t-ROUND(t,0))&lt;0.001,pos_x,NA())</f>
        <v>#N/A</v>
      </c>
      <c r="AE677" s="405" t="e">
        <f aca="false">IF(t&lt;T_para, pos_z, NA())</f>
        <v>#N/A</v>
      </c>
      <c r="AG677" s="396" t="n">
        <f aca="false">IF(AND(L676&lt;L_rampe,Poussee&lt;Poids*SIN(M676)),0,(-W676+Poussee)/m-Poids*SIN(M676)/m)</f>
        <v>2.41746034889739</v>
      </c>
      <c r="AH677" s="397" t="n">
        <f aca="false">IF(AND(L676&lt;L_rampe,Poussee&lt;Poids*SIN(M676)), g*SIN(M676), (-W676+Poussee)/m)</f>
        <v>-7.3443143695656</v>
      </c>
    </row>
    <row r="678" customFormat="false" ht="12.75" hidden="false" customHeight="false" outlineLevel="0" collapsed="false">
      <c r="A678" s="396" t="n">
        <f aca="false">IF(B677+0.01&lt;=T_ini+ROUNDUP(Temps_fin_propu,0), 0.01, IF(K677&gt;0, 0.1, 0.0001))</f>
        <v>0.0001</v>
      </c>
      <c r="B678" s="397" t="n">
        <f aca="false">B677+pas</f>
        <v>32.1173000000008</v>
      </c>
      <c r="D678" s="396" t="n">
        <f aca="false">IF(AND(L677&lt;L_rampe,Poussee&lt;Poids*SIN(M677)),0,(-W677+Poussee)/m*COS(M677)-U677/m*SIN(M677))</f>
        <v>-0.727333175006802</v>
      </c>
      <c r="E678" s="398" t="n">
        <f aca="false">IF(AND(L677&lt;L_rampe,Poussee&lt;Poids*SIN(M677)),0,(-W677+Poussee)/m*SIN(M677)+U677/m*COS(M677)-Poids/m)</f>
        <v>-2.50175025994789</v>
      </c>
      <c r="F678" s="397" t="n">
        <f aca="false">SQRT(acc_x^2+acc_z^2)</f>
        <v>2.6053345103105</v>
      </c>
      <c r="G678" s="396" t="n">
        <f aca="false">G677+acc_x*pas</f>
        <v>11.4847212510198</v>
      </c>
      <c r="H678" s="398" t="n">
        <f aca="false">H677+acc_z*pas</f>
        <v>-115.39955483317</v>
      </c>
      <c r="I678" s="397" t="n">
        <f aca="false">SQRT(vit_x^2+vit_z^2)</f>
        <v>115.969634292376</v>
      </c>
      <c r="J678" s="396" t="n">
        <f aca="false">J677+0.5*(vit_x+G677)*pas*(K677&gt;=0)</f>
        <v>690.928492655337</v>
      </c>
      <c r="K678" s="398" t="n">
        <f aca="false">K677+0.5*(vit_z+H677)*pas</f>
        <v>-10.6006424027226</v>
      </c>
      <c r="L678" s="397" t="n">
        <f aca="false">SQRT(pos_x^2+pos_z^2)</f>
        <v>691.009808600664</v>
      </c>
      <c r="M678" s="396" t="n">
        <f aca="false">IF(AND(L677&gt;L_rampe,G678&gt;0),ATAN2(G678,H678),$M$4)</f>
        <v>-1.4716015924781</v>
      </c>
      <c r="N678" s="397" t="n">
        <f aca="false">DEGREES(Beta)</f>
        <v>-84.3165603737261</v>
      </c>
      <c r="P678" s="399" t="n">
        <f aca="false">MATCH(t-pas/2-T_ini,CdP_t)</f>
        <v>23</v>
      </c>
      <c r="Q678" s="397" t="n">
        <f aca="false">(INDEX(CdP,2,i_P+1)-INDEX(CdP,2,i_P+0))/(INDEX(CdP,1,i_P+1)-INDEX(CdP,1,i_P+0))*(t-pas/2-T_ini-INDEX(CdP,1,i_P+0))+INDEX(CdP,2,i_P+0)</f>
        <v>0</v>
      </c>
      <c r="R678" s="396" t="n">
        <f aca="false">Poussee/(g*ISP)</f>
        <v>0</v>
      </c>
      <c r="S678" s="398" t="n">
        <f aca="false">S677-Débit*pas</f>
        <v>8.45</v>
      </c>
      <c r="T678" s="397" t="n">
        <f aca="false">m*g</f>
        <v>82.8945</v>
      </c>
      <c r="U678" s="400" t="n">
        <f aca="false">IF(pos_xz&lt;L_rampe,Poids*COS(Beta),0)</f>
        <v>0</v>
      </c>
      <c r="V678" s="396" t="n">
        <f aca="false">Rho_moyen*(20000-Alt_rampe-pos_z)/(20000+Alt_rampe+pos_z)</f>
        <v>1.22629926734776</v>
      </c>
      <c r="W678" s="397" t="n">
        <f aca="false">1/2*Rho*Sref*Cx*vit_xz^2</f>
        <v>62.06011712326</v>
      </c>
      <c r="Y678" s="401" t="str">
        <f aca="false">IF(AND(pos_z&lt;=0,K677&gt;0),"Impact balistique","") &amp; IF(AND(H679&lt;0,vit_z&gt;=0),"Apogée","") &amp; IF(AND(Poussee=0,Q677&gt;0),"Fin de propulsion","") &amp; IF(AND(L679&gt;L_rampe,pos_xz&lt;=L_rampe),"Sortie de rampe","")</f>
        <v/>
      </c>
      <c r="Z678" s="402" t="str">
        <f aca="false">IF(ABS(t-T_para)&lt;pas/2,"Para","")</f>
        <v/>
      </c>
      <c r="AA678" s="403" t="str">
        <f aca="false">IF(ABS(t-T_satellite)&lt;pas/2,"Satellite","")</f>
        <v/>
      </c>
      <c r="AC678" s="399" t="e">
        <f aca="false">IF(ABS(t-ROUND(t,0))&lt;0.001,t,NA())</f>
        <v>#N/A</v>
      </c>
      <c r="AD678" s="404" t="e">
        <f aca="false">IF(ABS(t-ROUND(t,0))&lt;0.001,pos_x,NA())</f>
        <v>#N/A</v>
      </c>
      <c r="AE678" s="405" t="e">
        <f aca="false">IF(t&lt;T_para, pos_z, NA())</f>
        <v>#N/A</v>
      </c>
      <c r="AG678" s="396" t="n">
        <f aca="false">IF(AND(L677&lt;L_rampe,Poussee&lt;Poids*SIN(M677)),0,(-W677+Poussee)/m-Poids*SIN(M677)/m)</f>
        <v>2.41742206791511</v>
      </c>
      <c r="AH678" s="397" t="n">
        <f aca="false">IF(AND(L677&lt;L_rampe,Poussee&lt;Poids*SIN(M677)), g*SIN(M677), (-W677+Poussee)/m)</f>
        <v>-7.34435346442675</v>
      </c>
    </row>
    <row r="679" customFormat="false" ht="12.75" hidden="false" customHeight="false" outlineLevel="0" collapsed="false">
      <c r="A679" s="396" t="n">
        <f aca="false">IF(B678+0.01&lt;=T_ini+ROUNDUP(Temps_fin_propu,0), 0.01, IF(K678&gt;0, 0.1, 0.0001))</f>
        <v>0.0001</v>
      </c>
      <c r="B679" s="397" t="n">
        <f aca="false">B678+pas</f>
        <v>32.1174000000008</v>
      </c>
      <c r="D679" s="396" t="n">
        <f aca="false">IF(AND(L678&lt;L_rampe,Poussee&lt;Poids*SIN(M678)),0,(-W678+Poussee)/m*COS(M678)-U678/m*SIN(M678))</f>
        <v>-0.727330924275667</v>
      </c>
      <c r="E679" s="398" t="n">
        <f aca="false">IF(AND(L678&lt;L_rampe,Poussee&lt;Poids*SIN(M678)),0,(-W678+Poussee)/m*SIN(M678)+U678/m*COS(M678)-Poids/m)</f>
        <v>-2.50171074828159</v>
      </c>
      <c r="F679" s="397" t="n">
        <f aca="false">SQRT(acc_x^2+acc_z^2)</f>
        <v>2.60529594124647</v>
      </c>
      <c r="G679" s="396" t="n">
        <f aca="false">G678+acc_x*pas</f>
        <v>11.4846485179274</v>
      </c>
      <c r="H679" s="398" t="n">
        <f aca="false">H678+acc_z*pas</f>
        <v>-115.399805004245</v>
      </c>
      <c r="I679" s="397" t="n">
        <f aca="false">SQRT(vit_x^2+vit_z^2)</f>
        <v>115.969876030796</v>
      </c>
      <c r="J679" s="396" t="n">
        <f aca="false">J678+0.5*(vit_x+G678)*pas*(K678&gt;=0)</f>
        <v>690.928492655337</v>
      </c>
      <c r="K679" s="398" t="n">
        <f aca="false">K678+0.5*(vit_z+H678)*pas</f>
        <v>-10.6121823707145</v>
      </c>
      <c r="L679" s="397" t="n">
        <f aca="false">SQRT(pos_x^2+pos_z^2)</f>
        <v>691.009985729327</v>
      </c>
      <c r="M679" s="396" t="n">
        <f aca="false">IF(AND(L678&gt;L_rampe,G679&gt;0),ATAN2(G679,H679),$M$4)</f>
        <v>-1.47160243020023</v>
      </c>
      <c r="N679" s="397" t="n">
        <f aca="false">DEGREES(Beta)</f>
        <v>-84.3166083716682</v>
      </c>
      <c r="P679" s="399" t="n">
        <f aca="false">MATCH(t-pas/2-T_ini,CdP_t)</f>
        <v>23</v>
      </c>
      <c r="Q679" s="397" t="n">
        <f aca="false">(INDEX(CdP,2,i_P+1)-INDEX(CdP,2,i_P+0))/(INDEX(CdP,1,i_P+1)-INDEX(CdP,1,i_P+0))*(t-pas/2-T_ini-INDEX(CdP,1,i_P+0))+INDEX(CdP,2,i_P+0)</f>
        <v>0</v>
      </c>
      <c r="R679" s="396" t="n">
        <f aca="false">Poussee/(g*ISP)</f>
        <v>0</v>
      </c>
      <c r="S679" s="398" t="n">
        <f aca="false">S678-Débit*pas</f>
        <v>8.45</v>
      </c>
      <c r="T679" s="397" t="n">
        <f aca="false">m*g</f>
        <v>82.8945</v>
      </c>
      <c r="U679" s="400" t="n">
        <f aca="false">IF(pos_xz&lt;L_rampe,Poids*COS(Beta),0)</f>
        <v>0</v>
      </c>
      <c r="V679" s="396" t="n">
        <f aca="false">Rho_moyen*(20000-Alt_rampe-pos_z)/(20000+Alt_rampe+pos_z)</f>
        <v>1.2263006824944</v>
      </c>
      <c r="W679" s="397" t="n">
        <f aca="false">1/2*Rho*Sref*Cx*vit_xz^2</f>
        <v>62.0604474693914</v>
      </c>
      <c r="Y679" s="401" t="str">
        <f aca="false">IF(AND(pos_z&lt;=0,K678&gt;0),"Impact balistique","") &amp; IF(AND(H680&lt;0,vit_z&gt;=0),"Apogée","") &amp; IF(AND(Poussee=0,Q678&gt;0),"Fin de propulsion","") &amp; IF(AND(L680&gt;L_rampe,pos_xz&lt;=L_rampe),"Sortie de rampe","")</f>
        <v/>
      </c>
      <c r="Z679" s="402" t="str">
        <f aca="false">IF(ABS(t-T_para)&lt;pas/2,"Para","")</f>
        <v/>
      </c>
      <c r="AA679" s="403" t="str">
        <f aca="false">IF(ABS(t-T_satellite)&lt;pas/2,"Satellite","")</f>
        <v/>
      </c>
      <c r="AC679" s="399" t="e">
        <f aca="false">IF(ABS(t-ROUND(t,0))&lt;0.001,t,NA())</f>
        <v>#N/A</v>
      </c>
      <c r="AD679" s="404" t="e">
        <f aca="false">IF(ABS(t-ROUND(t,0))&lt;0.001,pos_x,NA())</f>
        <v>#N/A</v>
      </c>
      <c r="AE679" s="405" t="e">
        <f aca="false">IF(t&lt;T_para, pos_z, NA())</f>
        <v>#N/A</v>
      </c>
      <c r="AG679" s="396" t="n">
        <f aca="false">IF(AND(L678&lt;L_rampe,Poussee&lt;Poids*SIN(M678)),0,(-W678+Poussee)/m-Poids*SIN(M678)/m)</f>
        <v>2.41738378723963</v>
      </c>
      <c r="AH679" s="397" t="n">
        <f aca="false">IF(AND(L678&lt;L_rampe,Poussee&lt;Poids*SIN(M678)), g*SIN(M678), (-W678+Poussee)/m)</f>
        <v>-7.34439255896569</v>
      </c>
    </row>
    <row r="680" customFormat="false" ht="12.75" hidden="false" customHeight="false" outlineLevel="0" collapsed="false">
      <c r="A680" s="396" t="n">
        <f aca="false">IF(B679+0.01&lt;=T_ini+ROUNDUP(Temps_fin_propu,0), 0.01, IF(K679&gt;0, 0.1, 0.0001))</f>
        <v>0.0001</v>
      </c>
      <c r="B680" s="397" t="n">
        <f aca="false">B679+pas</f>
        <v>32.1175000000008</v>
      </c>
      <c r="D680" s="396" t="n">
        <f aca="false">IF(AND(L679&lt;L_rampe,Poussee&lt;Poids*SIN(M679)),0,(-W679+Poussee)/m*COS(M679)-U679/m*SIN(M679))</f>
        <v>-0.727328673511231</v>
      </c>
      <c r="E680" s="398" t="n">
        <f aca="false">IF(AND(L679&lt;L_rampe,Poussee&lt;Poids*SIN(M679)),0,(-W679+Poussee)/m*SIN(M679)+U679/m*COS(M679)-Poids/m)</f>
        <v>-2.50167123694096</v>
      </c>
      <c r="F680" s="397" t="n">
        <f aca="false">SQRT(acc_x^2+acc_z^2)</f>
        <v>2.60525737251606</v>
      </c>
      <c r="G680" s="396" t="n">
        <f aca="false">G679+acc_x*pas</f>
        <v>11.48457578506</v>
      </c>
      <c r="H680" s="398" t="n">
        <f aca="false">H679+acc_z*pas</f>
        <v>-115.400055171369</v>
      </c>
      <c r="I680" s="397" t="n">
        <f aca="false">SQRT(vit_x^2+vit_z^2)</f>
        <v>115.970117765387</v>
      </c>
      <c r="J680" s="396" t="n">
        <f aca="false">J679+0.5*(vit_x+G679)*pas*(K679&gt;=0)</f>
        <v>690.928492655337</v>
      </c>
      <c r="K680" s="398" t="n">
        <f aca="false">K679+0.5*(vit_z+H679)*pas</f>
        <v>-10.6237223637233</v>
      </c>
      <c r="L680" s="397" t="n">
        <f aca="false">SQRT(pos_x^2+pos_z^2)</f>
        <v>691.010163051049</v>
      </c>
      <c r="M680" s="396" t="n">
        <f aca="false">IF(AND(L679&gt;L_rampe,G680&gt;0),ATAN2(G680,H680),$M$4)</f>
        <v>-1.47160326791355</v>
      </c>
      <c r="N680" s="397" t="n">
        <f aca="false">DEGREES(Beta)</f>
        <v>-84.3166563691063</v>
      </c>
      <c r="P680" s="399" t="n">
        <f aca="false">MATCH(t-pas/2-T_ini,CdP_t)</f>
        <v>23</v>
      </c>
      <c r="Q680" s="397" t="n">
        <f aca="false">(INDEX(CdP,2,i_P+1)-INDEX(CdP,2,i_P+0))/(INDEX(CdP,1,i_P+1)-INDEX(CdP,1,i_P+0))*(t-pas/2-T_ini-INDEX(CdP,1,i_P+0))+INDEX(CdP,2,i_P+0)</f>
        <v>0</v>
      </c>
      <c r="R680" s="396" t="n">
        <f aca="false">Poussee/(g*ISP)</f>
        <v>0</v>
      </c>
      <c r="S680" s="398" t="n">
        <f aca="false">S679-Débit*pas</f>
        <v>8.45</v>
      </c>
      <c r="T680" s="397" t="n">
        <f aca="false">m*g</f>
        <v>82.8945</v>
      </c>
      <c r="U680" s="400" t="n">
        <f aca="false">IF(pos_xz&lt;L_rampe,Poids*COS(Beta),0)</f>
        <v>0</v>
      </c>
      <c r="V680" s="396" t="n">
        <f aca="false">Rho_moyen*(20000-Alt_rampe-pos_z)/(20000+Alt_rampe+pos_z)</f>
        <v>1.22630209764575</v>
      </c>
      <c r="W680" s="397" t="n">
        <f aca="false">1/2*Rho*Sref*Cx*vit_xz^2</f>
        <v>62.0607778128</v>
      </c>
      <c r="Y680" s="401" t="str">
        <f aca="false">IF(AND(pos_z&lt;=0,K679&gt;0),"Impact balistique","") &amp; IF(AND(H681&lt;0,vit_z&gt;=0),"Apogée","") &amp; IF(AND(Poussee=0,Q679&gt;0),"Fin de propulsion","") &amp; IF(AND(L681&gt;L_rampe,pos_xz&lt;=L_rampe),"Sortie de rampe","")</f>
        <v/>
      </c>
      <c r="Z680" s="402" t="str">
        <f aca="false">IF(ABS(t-T_para)&lt;pas/2,"Para","")</f>
        <v/>
      </c>
      <c r="AA680" s="403" t="str">
        <f aca="false">IF(ABS(t-T_satellite)&lt;pas/2,"Satellite","")</f>
        <v/>
      </c>
      <c r="AC680" s="399" t="e">
        <f aca="false">IF(ABS(t-ROUND(t,0))&lt;0.001,t,NA())</f>
        <v>#N/A</v>
      </c>
      <c r="AD680" s="404" t="e">
        <f aca="false">IF(ABS(t-ROUND(t,0))&lt;0.001,pos_x,NA())</f>
        <v>#N/A</v>
      </c>
      <c r="AE680" s="405" t="e">
        <f aca="false">IF(t&lt;T_para, pos_z, NA())</f>
        <v>#N/A</v>
      </c>
      <c r="AG680" s="396" t="n">
        <f aca="false">IF(AND(L679&lt;L_rampe,Poussee&lt;Poids*SIN(M679)),0,(-W679+Poussee)/m-Poids*SIN(M679)/m)</f>
        <v>2.41734550687098</v>
      </c>
      <c r="AH680" s="397" t="n">
        <f aca="false">IF(AND(L679&lt;L_rampe,Poussee&lt;Poids*SIN(M679)), g*SIN(M679), (-W679+Poussee)/m)</f>
        <v>-7.34443165318241</v>
      </c>
    </row>
    <row r="681" customFormat="false" ht="12.75" hidden="false" customHeight="false" outlineLevel="0" collapsed="false">
      <c r="A681" s="396" t="n">
        <f aca="false">IF(B680+0.01&lt;=T_ini+ROUNDUP(Temps_fin_propu,0), 0.01, IF(K680&gt;0, 0.1, 0.0001))</f>
        <v>0.0001</v>
      </c>
      <c r="B681" s="397" t="n">
        <f aca="false">B680+pas</f>
        <v>32.1176000000008</v>
      </c>
      <c r="D681" s="396" t="n">
        <f aca="false">IF(AND(L680&lt;L_rampe,Poussee&lt;Poids*SIN(M680)),0,(-W680+Poussee)/m*COS(M680)-U680/m*SIN(M680))</f>
        <v>-0.727326422713494</v>
      </c>
      <c r="E681" s="398" t="n">
        <f aca="false">IF(AND(L680&lt;L_rampe,Poussee&lt;Poids*SIN(M680)),0,(-W680+Poussee)/m*SIN(M680)+U680/m*COS(M680)-Poids/m)</f>
        <v>-2.501631725926</v>
      </c>
      <c r="F681" s="397" t="n">
        <f aca="false">SQRT(acc_x^2+acc_z^2)</f>
        <v>2.60521880411928</v>
      </c>
      <c r="G681" s="396" t="n">
        <f aca="false">G680+acc_x*pas</f>
        <v>11.4845030524178</v>
      </c>
      <c r="H681" s="398" t="n">
        <f aca="false">H680+acc_z*pas</f>
        <v>-115.400305334541</v>
      </c>
      <c r="I681" s="397" t="n">
        <f aca="false">SQRT(vit_x^2+vit_z^2)</f>
        <v>115.97035949615</v>
      </c>
      <c r="J681" s="396" t="n">
        <f aca="false">J680+0.5*(vit_x+G680)*pas*(K680&gt;=0)</f>
        <v>690.928492655337</v>
      </c>
      <c r="K681" s="398" t="n">
        <f aca="false">K680+0.5*(vit_z+H680)*pas</f>
        <v>-10.6352623817486</v>
      </c>
      <c r="L681" s="397" t="n">
        <f aca="false">SQRT(pos_x^2+pos_z^2)</f>
        <v>691.01034056583</v>
      </c>
      <c r="M681" s="396" t="n">
        <f aca="false">IF(AND(L680&gt;L_rampe,G681&gt;0),ATAN2(G681,H681),$M$4)</f>
        <v>-1.47160410561808</v>
      </c>
      <c r="N681" s="397" t="n">
        <f aca="false">DEGREES(Beta)</f>
        <v>-84.3167043660403</v>
      </c>
      <c r="P681" s="399" t="n">
        <f aca="false">MATCH(t-pas/2-T_ini,CdP_t)</f>
        <v>23</v>
      </c>
      <c r="Q681" s="397" t="n">
        <f aca="false">(INDEX(CdP,2,i_P+1)-INDEX(CdP,2,i_P+0))/(INDEX(CdP,1,i_P+1)-INDEX(CdP,1,i_P+0))*(t-pas/2-T_ini-INDEX(CdP,1,i_P+0))+INDEX(CdP,2,i_P+0)</f>
        <v>0</v>
      </c>
      <c r="R681" s="396" t="n">
        <f aca="false">Poussee/(g*ISP)</f>
        <v>0</v>
      </c>
      <c r="S681" s="398" t="n">
        <f aca="false">S680-Débit*pas</f>
        <v>8.45</v>
      </c>
      <c r="T681" s="397" t="n">
        <f aca="false">m*g</f>
        <v>82.8945</v>
      </c>
      <c r="U681" s="400" t="n">
        <f aca="false">IF(pos_xz&lt;L_rampe,Poids*COS(Beta),0)</f>
        <v>0</v>
      </c>
      <c r="V681" s="396" t="n">
        <f aca="false">Rho_moyen*(20000-Alt_rampe-pos_z)/(20000+Alt_rampe+pos_z)</f>
        <v>1.2263035128018</v>
      </c>
      <c r="W681" s="397" t="n">
        <f aca="false">1/2*Rho*Sref*Cx*vit_xz^2</f>
        <v>62.0611081534859</v>
      </c>
      <c r="Y681" s="401" t="str">
        <f aca="false">IF(AND(pos_z&lt;=0,K680&gt;0),"Impact balistique","") &amp; IF(AND(H682&lt;0,vit_z&gt;=0),"Apogée","") &amp; IF(AND(Poussee=0,Q680&gt;0),"Fin de propulsion","") &amp; IF(AND(L682&gt;L_rampe,pos_xz&lt;=L_rampe),"Sortie de rampe","")</f>
        <v/>
      </c>
      <c r="Z681" s="402" t="str">
        <f aca="false">IF(ABS(t-T_para)&lt;pas/2,"Para","")</f>
        <v/>
      </c>
      <c r="AA681" s="403" t="str">
        <f aca="false">IF(ABS(t-T_satellite)&lt;pas/2,"Satellite","")</f>
        <v/>
      </c>
      <c r="AC681" s="399" t="e">
        <f aca="false">IF(ABS(t-ROUND(t,0))&lt;0.001,t,NA())</f>
        <v>#N/A</v>
      </c>
      <c r="AD681" s="404" t="e">
        <f aca="false">IF(ABS(t-ROUND(t,0))&lt;0.001,pos_x,NA())</f>
        <v>#N/A</v>
      </c>
      <c r="AE681" s="405" t="e">
        <f aca="false">IF(t&lt;T_para, pos_z, NA())</f>
        <v>#N/A</v>
      </c>
      <c r="AG681" s="396" t="n">
        <f aca="false">IF(AND(L680&lt;L_rampe,Poussee&lt;Poids*SIN(M680)),0,(-W680+Poussee)/m-Poids*SIN(M680)/m)</f>
        <v>2.41730722680914</v>
      </c>
      <c r="AH681" s="397" t="n">
        <f aca="false">IF(AND(L680&lt;L_rampe,Poussee&lt;Poids*SIN(M680)), g*SIN(M680), (-W680+Poussee)/m)</f>
        <v>-7.34447074707692</v>
      </c>
    </row>
    <row r="682" customFormat="false" ht="12.75" hidden="false" customHeight="false" outlineLevel="0" collapsed="false">
      <c r="A682" s="396" t="n">
        <f aca="false">IF(B681+0.01&lt;=T_ini+ROUNDUP(Temps_fin_propu,0), 0.01, IF(K681&gt;0, 0.1, 0.0001))</f>
        <v>0.0001</v>
      </c>
      <c r="B682" s="397" t="n">
        <f aca="false">B681+pas</f>
        <v>32.1177000000008</v>
      </c>
      <c r="D682" s="396" t="n">
        <f aca="false">IF(AND(L681&lt;L_rampe,Poussee&lt;Poids*SIN(M681)),0,(-W681+Poussee)/m*COS(M681)-U681/m*SIN(M681))</f>
        <v>-0.727324171882457</v>
      </c>
      <c r="E682" s="398" t="n">
        <f aca="false">IF(AND(L681&lt;L_rampe,Poussee&lt;Poids*SIN(M681)),0,(-W681+Poussee)/m*SIN(M681)+U681/m*COS(M681)-Poids/m)</f>
        <v>-2.50159221523671</v>
      </c>
      <c r="F682" s="397" t="n">
        <f aca="false">SQRT(acc_x^2+acc_z^2)</f>
        <v>2.60518023605611</v>
      </c>
      <c r="G682" s="396" t="n">
        <f aca="false">G681+acc_x*pas</f>
        <v>11.4844303200006</v>
      </c>
      <c r="H682" s="398" t="n">
        <f aca="false">H681+acc_z*pas</f>
        <v>-115.400555493763</v>
      </c>
      <c r="I682" s="397" t="n">
        <f aca="false">SQRT(vit_x^2+vit_z^2)</f>
        <v>115.970601223086</v>
      </c>
      <c r="J682" s="396" t="n">
        <f aca="false">J681+0.5*(vit_x+G681)*pas*(K681&gt;=0)</f>
        <v>690.928492655337</v>
      </c>
      <c r="K682" s="398" t="n">
        <f aca="false">K681+0.5*(vit_z+H681)*pas</f>
        <v>-10.64680242479</v>
      </c>
      <c r="L682" s="397" t="n">
        <f aca="false">SQRT(pos_x^2+pos_z^2)</f>
        <v>691.010518273672</v>
      </c>
      <c r="M682" s="396" t="n">
        <f aca="false">IF(AND(L681&gt;L_rampe,G682&gt;0),ATAN2(G682,H682),$M$4)</f>
        <v>-1.47160494331381</v>
      </c>
      <c r="N682" s="397" t="n">
        <f aca="false">DEGREES(Beta)</f>
        <v>-84.3167523624703</v>
      </c>
      <c r="P682" s="399" t="n">
        <f aca="false">MATCH(t-pas/2-T_ini,CdP_t)</f>
        <v>23</v>
      </c>
      <c r="Q682" s="397" t="n">
        <f aca="false">(INDEX(CdP,2,i_P+1)-INDEX(CdP,2,i_P+0))/(INDEX(CdP,1,i_P+1)-INDEX(CdP,1,i_P+0))*(t-pas/2-T_ini-INDEX(CdP,1,i_P+0))+INDEX(CdP,2,i_P+0)</f>
        <v>0</v>
      </c>
      <c r="R682" s="396" t="n">
        <f aca="false">Poussee/(g*ISP)</f>
        <v>0</v>
      </c>
      <c r="S682" s="398" t="n">
        <f aca="false">S681-Débit*pas</f>
        <v>8.45</v>
      </c>
      <c r="T682" s="397" t="n">
        <f aca="false">m*g</f>
        <v>82.8945</v>
      </c>
      <c r="U682" s="400" t="n">
        <f aca="false">IF(pos_xz&lt;L_rampe,Poids*COS(Beta),0)</f>
        <v>0</v>
      </c>
      <c r="V682" s="396" t="n">
        <f aca="false">Rho_moyen*(20000-Alt_rampe-pos_z)/(20000+Alt_rampe+pos_z)</f>
        <v>1.22630492796255</v>
      </c>
      <c r="W682" s="397" t="n">
        <f aca="false">1/2*Rho*Sref*Cx*vit_xz^2</f>
        <v>62.0614384914492</v>
      </c>
      <c r="Y682" s="401" t="str">
        <f aca="false">IF(AND(pos_z&lt;=0,K681&gt;0),"Impact balistique","") &amp; IF(AND(H683&lt;0,vit_z&gt;=0),"Apogée","") &amp; IF(AND(Poussee=0,Q681&gt;0),"Fin de propulsion","") &amp; IF(AND(L683&gt;L_rampe,pos_xz&lt;=L_rampe),"Sortie de rampe","")</f>
        <v/>
      </c>
      <c r="Z682" s="402" t="str">
        <f aca="false">IF(ABS(t-T_para)&lt;pas/2,"Para","")</f>
        <v/>
      </c>
      <c r="AA682" s="403" t="str">
        <f aca="false">IF(ABS(t-T_satellite)&lt;pas/2,"Satellite","")</f>
        <v/>
      </c>
      <c r="AC682" s="399" t="e">
        <f aca="false">IF(ABS(t-ROUND(t,0))&lt;0.001,t,NA())</f>
        <v>#N/A</v>
      </c>
      <c r="AD682" s="404" t="e">
        <f aca="false">IF(ABS(t-ROUND(t,0))&lt;0.001,pos_x,NA())</f>
        <v>#N/A</v>
      </c>
      <c r="AE682" s="405" t="e">
        <f aca="false">IF(t&lt;T_para, pos_z, NA())</f>
        <v>#N/A</v>
      </c>
      <c r="AG682" s="396" t="n">
        <f aca="false">IF(AND(L681&lt;L_rampe,Poussee&lt;Poids*SIN(M681)),0,(-W681+Poussee)/m-Poids*SIN(M681)/m)</f>
        <v>2.41726894705411</v>
      </c>
      <c r="AH682" s="397" t="n">
        <f aca="false">IF(AND(L681&lt;L_rampe,Poussee&lt;Poids*SIN(M681)), g*SIN(M681), (-W681+Poussee)/m)</f>
        <v>-7.34450984064922</v>
      </c>
    </row>
    <row r="683" customFormat="false" ht="12.75" hidden="false" customHeight="false" outlineLevel="0" collapsed="false">
      <c r="A683" s="396" t="n">
        <f aca="false">IF(B682+0.01&lt;=T_ini+ROUNDUP(Temps_fin_propu,0), 0.01, IF(K682&gt;0, 0.1, 0.0001))</f>
        <v>0.0001</v>
      </c>
      <c r="B683" s="397" t="n">
        <f aca="false">B682+pas</f>
        <v>32.1178000000008</v>
      </c>
      <c r="D683" s="396" t="n">
        <f aca="false">IF(AND(L682&lt;L_rampe,Poussee&lt;Poids*SIN(M682)),0,(-W682+Poussee)/m*COS(M682)-U682/m*SIN(M682))</f>
        <v>-0.727321921018122</v>
      </c>
      <c r="E683" s="398" t="n">
        <f aca="false">IF(AND(L682&lt;L_rampe,Poussee&lt;Poids*SIN(M682)),0,(-W682+Poussee)/m*SIN(M682)+U682/m*COS(M682)-Poids/m)</f>
        <v>-2.50155270487308</v>
      </c>
      <c r="F683" s="397" t="n">
        <f aca="false">SQRT(acc_x^2+acc_z^2)</f>
        <v>2.60514166832656</v>
      </c>
      <c r="G683" s="396" t="n">
        <f aca="false">G682+acc_x*pas</f>
        <v>11.4843575878085</v>
      </c>
      <c r="H683" s="398" t="n">
        <f aca="false">H682+acc_z*pas</f>
        <v>-115.400805649033</v>
      </c>
      <c r="I683" s="397" t="n">
        <f aca="false">SQRT(vit_x^2+vit_z^2)</f>
        <v>115.970842946193</v>
      </c>
      <c r="J683" s="396" t="n">
        <f aca="false">J682+0.5*(vit_x+G682)*pas*(K682&gt;=0)</f>
        <v>690.928492655337</v>
      </c>
      <c r="K683" s="398" t="n">
        <f aca="false">K682+0.5*(vit_z+H682)*pas</f>
        <v>-10.6583424928471</v>
      </c>
      <c r="L683" s="397" t="n">
        <f aca="false">SQRT(pos_x^2+pos_z^2)</f>
        <v>691.010696174575</v>
      </c>
      <c r="M683" s="396" t="n">
        <f aca="false">IF(AND(L682&gt;L_rampe,G683&gt;0),ATAN2(G683,H683),$M$4)</f>
        <v>-1.47160578100075</v>
      </c>
      <c r="N683" s="397" t="n">
        <f aca="false">DEGREES(Beta)</f>
        <v>-84.3168003583962</v>
      </c>
      <c r="P683" s="399" t="n">
        <f aca="false">MATCH(t-pas/2-T_ini,CdP_t)</f>
        <v>23</v>
      </c>
      <c r="Q683" s="397" t="n">
        <f aca="false">(INDEX(CdP,2,i_P+1)-INDEX(CdP,2,i_P+0))/(INDEX(CdP,1,i_P+1)-INDEX(CdP,1,i_P+0))*(t-pas/2-T_ini-INDEX(CdP,1,i_P+0))+INDEX(CdP,2,i_P+0)</f>
        <v>0</v>
      </c>
      <c r="R683" s="396" t="n">
        <f aca="false">Poussee/(g*ISP)</f>
        <v>0</v>
      </c>
      <c r="S683" s="398" t="n">
        <f aca="false">S682-Débit*pas</f>
        <v>8.45</v>
      </c>
      <c r="T683" s="397" t="n">
        <f aca="false">m*g</f>
        <v>82.8945</v>
      </c>
      <c r="U683" s="400" t="n">
        <f aca="false">IF(pos_xz&lt;L_rampe,Poids*COS(Beta),0)</f>
        <v>0</v>
      </c>
      <c r="V683" s="396" t="n">
        <f aca="false">Rho_moyen*(20000-Alt_rampe-pos_z)/(20000+Alt_rampe+pos_z)</f>
        <v>1.226306343128</v>
      </c>
      <c r="W683" s="397" t="n">
        <f aca="false">1/2*Rho*Sref*Cx*vit_xz^2</f>
        <v>62.0617688266897</v>
      </c>
      <c r="Y683" s="401" t="str">
        <f aca="false">IF(AND(pos_z&lt;=0,K682&gt;0),"Impact balistique","") &amp; IF(AND(H684&lt;0,vit_z&gt;=0),"Apogée","") &amp; IF(AND(Poussee=0,Q682&gt;0),"Fin de propulsion","") &amp; IF(AND(L684&gt;L_rampe,pos_xz&lt;=L_rampe),"Sortie de rampe","")</f>
        <v/>
      </c>
      <c r="Z683" s="402" t="str">
        <f aca="false">IF(ABS(t-T_para)&lt;pas/2,"Para","")</f>
        <v/>
      </c>
      <c r="AA683" s="403" t="str">
        <f aca="false">IF(ABS(t-T_satellite)&lt;pas/2,"Satellite","")</f>
        <v/>
      </c>
      <c r="AC683" s="399" t="e">
        <f aca="false">IF(ABS(t-ROUND(t,0))&lt;0.001,t,NA())</f>
        <v>#N/A</v>
      </c>
      <c r="AD683" s="404" t="e">
        <f aca="false">IF(ABS(t-ROUND(t,0))&lt;0.001,pos_x,NA())</f>
        <v>#N/A</v>
      </c>
      <c r="AE683" s="405" t="e">
        <f aca="false">IF(t&lt;T_para, pos_z, NA())</f>
        <v>#N/A</v>
      </c>
      <c r="AG683" s="396" t="n">
        <f aca="false">IF(AND(L682&lt;L_rampe,Poussee&lt;Poids*SIN(M682)),0,(-W682+Poussee)/m-Poids*SIN(M682)/m)</f>
        <v>2.4172306676059</v>
      </c>
      <c r="AH683" s="397" t="n">
        <f aca="false">IF(AND(L682&lt;L_rampe,Poussee&lt;Poids*SIN(M682)), g*SIN(M682), (-W682+Poussee)/m)</f>
        <v>-7.34454893389931</v>
      </c>
    </row>
    <row r="684" customFormat="false" ht="12.75" hidden="false" customHeight="false" outlineLevel="0" collapsed="false">
      <c r="A684" s="396" t="n">
        <f aca="false">IF(B683+0.01&lt;=T_ini+ROUNDUP(Temps_fin_propu,0), 0.01, IF(K683&gt;0, 0.1, 0.0001))</f>
        <v>0.0001</v>
      </c>
      <c r="B684" s="397" t="n">
        <f aca="false">B683+pas</f>
        <v>32.1179000000008</v>
      </c>
      <c r="D684" s="396" t="n">
        <f aca="false">IF(AND(L683&lt;L_rampe,Poussee&lt;Poids*SIN(M683)),0,(-W683+Poussee)/m*COS(M683)-U683/m*SIN(M683))</f>
        <v>-0.727319670120488</v>
      </c>
      <c r="E684" s="398" t="n">
        <f aca="false">IF(AND(L683&lt;L_rampe,Poussee&lt;Poids*SIN(M683)),0,(-W683+Poussee)/m*SIN(M683)+U683/m*COS(M683)-Poids/m)</f>
        <v>-2.50151319483513</v>
      </c>
      <c r="F684" s="397" t="n">
        <f aca="false">SQRT(acc_x^2+acc_z^2)</f>
        <v>2.60510310093064</v>
      </c>
      <c r="G684" s="396" t="n">
        <f aca="false">G683+acc_x*pas</f>
        <v>11.4842848558415</v>
      </c>
      <c r="H684" s="398" t="n">
        <f aca="false">H683+acc_z*pas</f>
        <v>-115.401055800353</v>
      </c>
      <c r="I684" s="397" t="n">
        <f aca="false">SQRT(vit_x^2+vit_z^2)</f>
        <v>115.971084665473</v>
      </c>
      <c r="J684" s="396" t="n">
        <f aca="false">J683+0.5*(vit_x+G683)*pas*(K683&gt;=0)</f>
        <v>690.928492655337</v>
      </c>
      <c r="K684" s="398" t="n">
        <f aca="false">K683+0.5*(vit_z+H683)*pas</f>
        <v>-10.6698825859196</v>
      </c>
      <c r="L684" s="397" t="n">
        <f aca="false">SQRT(pos_x^2+pos_z^2)</f>
        <v>691.010874268541</v>
      </c>
      <c r="M684" s="396" t="n">
        <f aca="false">IF(AND(L683&gt;L_rampe,G684&gt;0),ATAN2(G684,H684),$M$4)</f>
        <v>-1.47160661867889</v>
      </c>
      <c r="N684" s="397" t="n">
        <f aca="false">DEGREES(Beta)</f>
        <v>-84.3168483538181</v>
      </c>
      <c r="P684" s="399" t="n">
        <f aca="false">MATCH(t-pas/2-T_ini,CdP_t)</f>
        <v>23</v>
      </c>
      <c r="Q684" s="397" t="n">
        <f aca="false">(INDEX(CdP,2,i_P+1)-INDEX(CdP,2,i_P+0))/(INDEX(CdP,1,i_P+1)-INDEX(CdP,1,i_P+0))*(t-pas/2-T_ini-INDEX(CdP,1,i_P+0))+INDEX(CdP,2,i_P+0)</f>
        <v>0</v>
      </c>
      <c r="R684" s="396" t="n">
        <f aca="false">Poussee/(g*ISP)</f>
        <v>0</v>
      </c>
      <c r="S684" s="398" t="n">
        <f aca="false">S683-Débit*pas</f>
        <v>8.45</v>
      </c>
      <c r="T684" s="397" t="n">
        <f aca="false">m*g</f>
        <v>82.8945</v>
      </c>
      <c r="U684" s="400" t="n">
        <f aca="false">IF(pos_xz&lt;L_rampe,Poids*COS(Beta),0)</f>
        <v>0</v>
      </c>
      <c r="V684" s="396" t="n">
        <f aca="false">Rho_moyen*(20000-Alt_rampe-pos_z)/(20000+Alt_rampe+pos_z)</f>
        <v>1.22630775829815</v>
      </c>
      <c r="W684" s="397" t="n">
        <f aca="false">1/2*Rho*Sref*Cx*vit_xz^2</f>
        <v>62.0620991592075</v>
      </c>
      <c r="Y684" s="401" t="str">
        <f aca="false">IF(AND(pos_z&lt;=0,K683&gt;0),"Impact balistique","") &amp; IF(AND(H685&lt;0,vit_z&gt;=0),"Apogée","") &amp; IF(AND(Poussee=0,Q683&gt;0),"Fin de propulsion","") &amp; IF(AND(L685&gt;L_rampe,pos_xz&lt;=L_rampe),"Sortie de rampe","")</f>
        <v/>
      </c>
      <c r="Z684" s="402" t="str">
        <f aca="false">IF(ABS(t-T_para)&lt;pas/2,"Para","")</f>
        <v/>
      </c>
      <c r="AA684" s="403" t="str">
        <f aca="false">IF(ABS(t-T_satellite)&lt;pas/2,"Satellite","")</f>
        <v/>
      </c>
      <c r="AC684" s="399" t="e">
        <f aca="false">IF(ABS(t-ROUND(t,0))&lt;0.001,t,NA())</f>
        <v>#N/A</v>
      </c>
      <c r="AD684" s="404" t="e">
        <f aca="false">IF(ABS(t-ROUND(t,0))&lt;0.001,pos_x,NA())</f>
        <v>#N/A</v>
      </c>
      <c r="AE684" s="405" t="e">
        <f aca="false">IF(t&lt;T_para, pos_z, NA())</f>
        <v>#N/A</v>
      </c>
      <c r="AG684" s="396" t="n">
        <f aca="false">IF(AND(L683&lt;L_rampe,Poussee&lt;Poids*SIN(M683)),0,(-W683+Poussee)/m-Poids*SIN(M683)/m)</f>
        <v>2.4171923884645</v>
      </c>
      <c r="AH684" s="397" t="n">
        <f aca="false">IF(AND(L683&lt;L_rampe,Poussee&lt;Poids*SIN(M683)), g*SIN(M683), (-W683+Poussee)/m)</f>
        <v>-7.34458802682718</v>
      </c>
    </row>
    <row r="685" customFormat="false" ht="12.75" hidden="false" customHeight="false" outlineLevel="0" collapsed="false">
      <c r="A685" s="396" t="n">
        <f aca="false">IF(B684+0.01&lt;=T_ini+ROUNDUP(Temps_fin_propu,0), 0.01, IF(K684&gt;0, 0.1, 0.0001))</f>
        <v>0.0001</v>
      </c>
      <c r="B685" s="397" t="n">
        <f aca="false">B684+pas</f>
        <v>32.1180000000008</v>
      </c>
      <c r="D685" s="396" t="n">
        <f aca="false">IF(AND(L684&lt;L_rampe,Poussee&lt;Poids*SIN(M684)),0,(-W684+Poussee)/m*COS(M684)-U684/m*SIN(M684))</f>
        <v>-0.727317419189556</v>
      </c>
      <c r="E685" s="398" t="n">
        <f aca="false">IF(AND(L684&lt;L_rampe,Poussee&lt;Poids*SIN(M684)),0,(-W684+Poussee)/m*SIN(M684)+U684/m*COS(M684)-Poids/m)</f>
        <v>-2.50147368512285</v>
      </c>
      <c r="F685" s="397" t="n">
        <f aca="false">SQRT(acc_x^2+acc_z^2)</f>
        <v>2.60506453386833</v>
      </c>
      <c r="G685" s="396" t="n">
        <f aca="false">G684+acc_x*pas</f>
        <v>11.4842121240996</v>
      </c>
      <c r="H685" s="398" t="n">
        <f aca="false">H684+acc_z*pas</f>
        <v>-115.401305947721</v>
      </c>
      <c r="I685" s="397" t="n">
        <f aca="false">SQRT(vit_x^2+vit_z^2)</f>
        <v>115.971326380924</v>
      </c>
      <c r="J685" s="396" t="n">
        <f aca="false">J684+0.5*(vit_x+G684)*pas*(K684&gt;=0)</f>
        <v>690.928492655337</v>
      </c>
      <c r="K685" s="398" t="n">
        <f aca="false">K684+0.5*(vit_z+H684)*pas</f>
        <v>-10.681422704007</v>
      </c>
      <c r="L685" s="397" t="n">
        <f aca="false">SQRT(pos_x^2+pos_z^2)</f>
        <v>691.011052555571</v>
      </c>
      <c r="M685" s="396" t="n">
        <f aca="false">IF(AND(L684&gt;L_rampe,G685&gt;0),ATAN2(G685,H685),$M$4)</f>
        <v>-1.47160745634823</v>
      </c>
      <c r="N685" s="397" t="n">
        <f aca="false">DEGREES(Beta)</f>
        <v>-84.3168963487359</v>
      </c>
      <c r="P685" s="399" t="n">
        <f aca="false">MATCH(t-pas/2-T_ini,CdP_t)</f>
        <v>23</v>
      </c>
      <c r="Q685" s="397" t="n">
        <f aca="false">(INDEX(CdP,2,i_P+1)-INDEX(CdP,2,i_P+0))/(INDEX(CdP,1,i_P+1)-INDEX(CdP,1,i_P+0))*(t-pas/2-T_ini-INDEX(CdP,1,i_P+0))+INDEX(CdP,2,i_P+0)</f>
        <v>0</v>
      </c>
      <c r="R685" s="396" t="n">
        <f aca="false">Poussee/(g*ISP)</f>
        <v>0</v>
      </c>
      <c r="S685" s="398" t="n">
        <f aca="false">S684-Débit*pas</f>
        <v>8.45</v>
      </c>
      <c r="T685" s="397" t="n">
        <f aca="false">m*g</f>
        <v>82.8945</v>
      </c>
      <c r="U685" s="400" t="n">
        <f aca="false">IF(pos_xz&lt;L_rampe,Poids*COS(Beta),0)</f>
        <v>0</v>
      </c>
      <c r="V685" s="396" t="n">
        <f aca="false">Rho_moyen*(20000-Alt_rampe-pos_z)/(20000+Alt_rampe+pos_z)</f>
        <v>1.226309173473</v>
      </c>
      <c r="W685" s="397" t="n">
        <f aca="false">1/2*Rho*Sref*Cx*vit_xz^2</f>
        <v>62.0624294890026</v>
      </c>
      <c r="Y685" s="401" t="str">
        <f aca="false">IF(AND(pos_z&lt;=0,K684&gt;0),"Impact balistique","") &amp; IF(AND(H686&lt;0,vit_z&gt;=0),"Apogée","") &amp; IF(AND(Poussee=0,Q684&gt;0),"Fin de propulsion","") &amp; IF(AND(L686&gt;L_rampe,pos_xz&lt;=L_rampe),"Sortie de rampe","")</f>
        <v/>
      </c>
      <c r="Z685" s="402" t="str">
        <f aca="false">IF(ABS(t-T_para)&lt;pas/2,"Para","")</f>
        <v/>
      </c>
      <c r="AA685" s="403" t="str">
        <f aca="false">IF(ABS(t-T_satellite)&lt;pas/2,"Satellite","")</f>
        <v/>
      </c>
      <c r="AC685" s="399" t="e">
        <f aca="false">IF(ABS(t-ROUND(t,0))&lt;0.001,t,NA())</f>
        <v>#N/A</v>
      </c>
      <c r="AD685" s="404" t="e">
        <f aca="false">IF(ABS(t-ROUND(t,0))&lt;0.001,pos_x,NA())</f>
        <v>#N/A</v>
      </c>
      <c r="AE685" s="405" t="e">
        <f aca="false">IF(t&lt;T_para, pos_z, NA())</f>
        <v>#N/A</v>
      </c>
      <c r="AG685" s="396" t="n">
        <f aca="false">IF(AND(L684&lt;L_rampe,Poussee&lt;Poids*SIN(M684)),0,(-W684+Poussee)/m-Poids*SIN(M684)/m)</f>
        <v>2.41715410962993</v>
      </c>
      <c r="AH685" s="397" t="n">
        <f aca="false">IF(AND(L684&lt;L_rampe,Poussee&lt;Poids*SIN(M684)), g*SIN(M684), (-W684+Poussee)/m)</f>
        <v>-7.34462711943284</v>
      </c>
    </row>
    <row r="686" customFormat="false" ht="12.75" hidden="false" customHeight="false" outlineLevel="0" collapsed="false">
      <c r="A686" s="396" t="n">
        <f aca="false">IF(B685+0.01&lt;=T_ini+ROUNDUP(Temps_fin_propu,0), 0.01, IF(K685&gt;0, 0.1, 0.0001))</f>
        <v>0.0001</v>
      </c>
      <c r="B686" s="397" t="n">
        <f aca="false">B685+pas</f>
        <v>32.1181000000008</v>
      </c>
      <c r="D686" s="396" t="n">
        <f aca="false">IF(AND(L685&lt;L_rampe,Poussee&lt;Poids*SIN(M685)),0,(-W685+Poussee)/m*COS(M685)-U685/m*SIN(M685))</f>
        <v>-0.727315168225329</v>
      </c>
      <c r="E686" s="398" t="n">
        <f aca="false">IF(AND(L685&lt;L_rampe,Poussee&lt;Poids*SIN(M685)),0,(-W685+Poussee)/m*SIN(M685)+U685/m*COS(M685)-Poids/m)</f>
        <v>-2.50143417573624</v>
      </c>
      <c r="F686" s="397" t="n">
        <f aca="false">SQRT(acc_x^2+acc_z^2)</f>
        <v>2.60502596713965</v>
      </c>
      <c r="G686" s="396" t="n">
        <f aca="false">G685+acc_x*pas</f>
        <v>11.4841393925827</v>
      </c>
      <c r="H686" s="398" t="n">
        <f aca="false">H685+acc_z*pas</f>
        <v>-115.401556091139</v>
      </c>
      <c r="I686" s="397" t="n">
        <f aca="false">SQRT(vit_x^2+vit_z^2)</f>
        <v>115.971568092548</v>
      </c>
      <c r="J686" s="396" t="n">
        <f aca="false">J685+0.5*(vit_x+G685)*pas*(K685&gt;=0)</f>
        <v>690.928492655337</v>
      </c>
      <c r="K686" s="398" t="n">
        <f aca="false">K685+0.5*(vit_z+H685)*pas</f>
        <v>-10.692962847109</v>
      </c>
      <c r="L686" s="397" t="n">
        <f aca="false">SQRT(pos_x^2+pos_z^2)</f>
        <v>691.011231035665</v>
      </c>
      <c r="M686" s="396" t="n">
        <f aca="false">IF(AND(L685&gt;L_rampe,G686&gt;0),ATAN2(G686,H686),$M$4)</f>
        <v>-1.47160829400877</v>
      </c>
      <c r="N686" s="397" t="n">
        <f aca="false">DEGREES(Beta)</f>
        <v>-84.3169443431498</v>
      </c>
      <c r="P686" s="399" t="n">
        <f aca="false">MATCH(t-pas/2-T_ini,CdP_t)</f>
        <v>23</v>
      </c>
      <c r="Q686" s="397" t="n">
        <f aca="false">(INDEX(CdP,2,i_P+1)-INDEX(CdP,2,i_P+0))/(INDEX(CdP,1,i_P+1)-INDEX(CdP,1,i_P+0))*(t-pas/2-T_ini-INDEX(CdP,1,i_P+0))+INDEX(CdP,2,i_P+0)</f>
        <v>0</v>
      </c>
      <c r="R686" s="396" t="n">
        <f aca="false">Poussee/(g*ISP)</f>
        <v>0</v>
      </c>
      <c r="S686" s="398" t="n">
        <f aca="false">S685-Débit*pas</f>
        <v>8.45</v>
      </c>
      <c r="T686" s="397" t="n">
        <f aca="false">m*g</f>
        <v>82.8945</v>
      </c>
      <c r="U686" s="400" t="n">
        <f aca="false">IF(pos_xz&lt;L_rampe,Poids*COS(Beta),0)</f>
        <v>0</v>
      </c>
      <c r="V686" s="396" t="n">
        <f aca="false">Rho_moyen*(20000-Alt_rampe-pos_z)/(20000+Alt_rampe+pos_z)</f>
        <v>1.22631058865256</v>
      </c>
      <c r="W686" s="397" t="n">
        <f aca="false">1/2*Rho*Sref*Cx*vit_xz^2</f>
        <v>62.062759816075</v>
      </c>
      <c r="Y686" s="401" t="str">
        <f aca="false">IF(AND(pos_z&lt;=0,K685&gt;0),"Impact balistique","") &amp; IF(AND(H687&lt;0,vit_z&gt;=0),"Apogée","") &amp; IF(AND(Poussee=0,Q685&gt;0),"Fin de propulsion","") &amp; IF(AND(L687&gt;L_rampe,pos_xz&lt;=L_rampe),"Sortie de rampe","")</f>
        <v/>
      </c>
      <c r="Z686" s="402" t="str">
        <f aca="false">IF(ABS(t-T_para)&lt;pas/2,"Para","")</f>
        <v/>
      </c>
      <c r="AA686" s="403" t="str">
        <f aca="false">IF(ABS(t-T_satellite)&lt;pas/2,"Satellite","")</f>
        <v/>
      </c>
      <c r="AC686" s="399" t="e">
        <f aca="false">IF(ABS(t-ROUND(t,0))&lt;0.001,t,NA())</f>
        <v>#N/A</v>
      </c>
      <c r="AD686" s="404" t="e">
        <f aca="false">IF(ABS(t-ROUND(t,0))&lt;0.001,pos_x,NA())</f>
        <v>#N/A</v>
      </c>
      <c r="AE686" s="405" t="e">
        <f aca="false">IF(t&lt;T_para, pos_z, NA())</f>
        <v>#N/A</v>
      </c>
      <c r="AG686" s="396" t="n">
        <f aca="false">IF(AND(L685&lt;L_rampe,Poussee&lt;Poids*SIN(M685)),0,(-W685+Poussee)/m-Poids*SIN(M685)/m)</f>
        <v>2.41711583110217</v>
      </c>
      <c r="AH686" s="397" t="n">
        <f aca="false">IF(AND(L685&lt;L_rampe,Poussee&lt;Poids*SIN(M685)), g*SIN(M685), (-W685+Poussee)/m)</f>
        <v>-7.34466621171629</v>
      </c>
    </row>
    <row r="687" customFormat="false" ht="12.75" hidden="false" customHeight="false" outlineLevel="0" collapsed="false">
      <c r="A687" s="396" t="n">
        <f aca="false">IF(B686+0.01&lt;=T_ini+ROUNDUP(Temps_fin_propu,0), 0.01, IF(K686&gt;0, 0.1, 0.0001))</f>
        <v>0.0001</v>
      </c>
      <c r="B687" s="397" t="n">
        <f aca="false">B686+pas</f>
        <v>32.1182000000008</v>
      </c>
      <c r="D687" s="396" t="n">
        <f aca="false">IF(AND(L686&lt;L_rampe,Poussee&lt;Poids*SIN(M686)),0,(-W686+Poussee)/m*COS(M686)-U686/m*SIN(M686))</f>
        <v>-0.727312917227804</v>
      </c>
      <c r="E687" s="398" t="n">
        <f aca="false">IF(AND(L686&lt;L_rampe,Poussee&lt;Poids*SIN(M686)),0,(-W686+Poussee)/m*SIN(M686)+U686/m*COS(M686)-Poids/m)</f>
        <v>-2.50139466667531</v>
      </c>
      <c r="F687" s="397" t="n">
        <f aca="false">SQRT(acc_x^2+acc_z^2)</f>
        <v>2.6049874007446</v>
      </c>
      <c r="G687" s="396" t="n">
        <f aca="false">G686+acc_x*pas</f>
        <v>11.484066661291</v>
      </c>
      <c r="H687" s="398" t="n">
        <f aca="false">H686+acc_z*pas</f>
        <v>-115.401806230606</v>
      </c>
      <c r="I687" s="397" t="n">
        <f aca="false">SQRT(vit_x^2+vit_z^2)</f>
        <v>115.971809800344</v>
      </c>
      <c r="J687" s="396" t="n">
        <f aca="false">J686+0.5*(vit_x+G686)*pas*(K686&gt;=0)</f>
        <v>690.928492655337</v>
      </c>
      <c r="K687" s="398" t="n">
        <f aca="false">K686+0.5*(vit_z+H686)*pas</f>
        <v>-10.7045030152251</v>
      </c>
      <c r="L687" s="397" t="n">
        <f aca="false">SQRT(pos_x^2+pos_z^2)</f>
        <v>691.011409708826</v>
      </c>
      <c r="M687" s="396" t="n">
        <f aca="false">IF(AND(L686&gt;L_rampe,G687&gt;0),ATAN2(G687,H687),$M$4)</f>
        <v>-1.47160913166052</v>
      </c>
      <c r="N687" s="397" t="n">
        <f aca="false">DEGREES(Beta)</f>
        <v>-84.3169923370596</v>
      </c>
      <c r="P687" s="399" t="n">
        <f aca="false">MATCH(t-pas/2-T_ini,CdP_t)</f>
        <v>23</v>
      </c>
      <c r="Q687" s="397" t="n">
        <f aca="false">(INDEX(CdP,2,i_P+1)-INDEX(CdP,2,i_P+0))/(INDEX(CdP,1,i_P+1)-INDEX(CdP,1,i_P+0))*(t-pas/2-T_ini-INDEX(CdP,1,i_P+0))+INDEX(CdP,2,i_P+0)</f>
        <v>0</v>
      </c>
      <c r="R687" s="396" t="n">
        <f aca="false">Poussee/(g*ISP)</f>
        <v>0</v>
      </c>
      <c r="S687" s="398" t="n">
        <f aca="false">S686-Débit*pas</f>
        <v>8.45</v>
      </c>
      <c r="T687" s="397" t="n">
        <f aca="false">m*g</f>
        <v>82.8945</v>
      </c>
      <c r="U687" s="400" t="n">
        <f aca="false">IF(pos_xz&lt;L_rampe,Poids*COS(Beta),0)</f>
        <v>0</v>
      </c>
      <c r="V687" s="396" t="n">
        <f aca="false">Rho_moyen*(20000-Alt_rampe-pos_z)/(20000+Alt_rampe+pos_z)</f>
        <v>1.22631200383682</v>
      </c>
      <c r="W687" s="397" t="n">
        <f aca="false">1/2*Rho*Sref*Cx*vit_xz^2</f>
        <v>62.0630901404246</v>
      </c>
      <c r="Y687" s="401" t="str">
        <f aca="false">IF(AND(pos_z&lt;=0,K686&gt;0),"Impact balistique","") &amp; IF(AND(H688&lt;0,vit_z&gt;=0),"Apogée","") &amp; IF(AND(Poussee=0,Q686&gt;0),"Fin de propulsion","") &amp; IF(AND(L688&gt;L_rampe,pos_xz&lt;=L_rampe),"Sortie de rampe","")</f>
        <v/>
      </c>
      <c r="Z687" s="402" t="str">
        <f aca="false">IF(ABS(t-T_para)&lt;pas/2,"Para","")</f>
        <v/>
      </c>
      <c r="AA687" s="403" t="str">
        <f aca="false">IF(ABS(t-T_satellite)&lt;pas/2,"Satellite","")</f>
        <v/>
      </c>
      <c r="AC687" s="399" t="e">
        <f aca="false">IF(ABS(t-ROUND(t,0))&lt;0.001,t,NA())</f>
        <v>#N/A</v>
      </c>
      <c r="AD687" s="404" t="e">
        <f aca="false">IF(ABS(t-ROUND(t,0))&lt;0.001,pos_x,NA())</f>
        <v>#N/A</v>
      </c>
      <c r="AE687" s="405" t="e">
        <f aca="false">IF(t&lt;T_para, pos_z, NA())</f>
        <v>#N/A</v>
      </c>
      <c r="AG687" s="396" t="n">
        <f aca="false">IF(AND(L686&lt;L_rampe,Poussee&lt;Poids*SIN(M686)),0,(-W686+Poussee)/m-Poids*SIN(M686)/m)</f>
        <v>2.41707755288124</v>
      </c>
      <c r="AH687" s="397" t="n">
        <f aca="false">IF(AND(L686&lt;L_rampe,Poussee&lt;Poids*SIN(M686)), g*SIN(M686), (-W686+Poussee)/m)</f>
        <v>-7.34470530367751</v>
      </c>
    </row>
    <row r="688" customFormat="false" ht="12.75" hidden="false" customHeight="false" outlineLevel="0" collapsed="false">
      <c r="A688" s="396" t="n">
        <f aca="false">IF(B687+0.01&lt;=T_ini+ROUNDUP(Temps_fin_propu,0), 0.01, IF(K687&gt;0, 0.1, 0.0001))</f>
        <v>0.0001</v>
      </c>
      <c r="B688" s="397" t="n">
        <f aca="false">B687+pas</f>
        <v>32.1183000000008</v>
      </c>
      <c r="D688" s="396" t="n">
        <f aca="false">IF(AND(L687&lt;L_rampe,Poussee&lt;Poids*SIN(M687)),0,(-W687+Poussee)/m*COS(M687)-U687/m*SIN(M687))</f>
        <v>-0.727310666196986</v>
      </c>
      <c r="E688" s="398" t="n">
        <f aca="false">IF(AND(L687&lt;L_rampe,Poussee&lt;Poids*SIN(M687)),0,(-W687+Poussee)/m*SIN(M687)+U687/m*COS(M687)-Poids/m)</f>
        <v>-2.50135515794005</v>
      </c>
      <c r="F688" s="397" t="n">
        <f aca="false">SQRT(acc_x^2+acc_z^2)</f>
        <v>2.60494883468316</v>
      </c>
      <c r="G688" s="396" t="n">
        <f aca="false">G687+acc_x*pas</f>
        <v>11.4839939302244</v>
      </c>
      <c r="H688" s="398" t="n">
        <f aca="false">H687+acc_z*pas</f>
        <v>-115.402056366121</v>
      </c>
      <c r="I688" s="397" t="n">
        <f aca="false">SQRT(vit_x^2+vit_z^2)</f>
        <v>115.972051504312</v>
      </c>
      <c r="J688" s="396" t="n">
        <f aca="false">J687+0.5*(vit_x+G687)*pas*(K687&gt;=0)</f>
        <v>690.928492655337</v>
      </c>
      <c r="K688" s="398" t="n">
        <f aca="false">K687+0.5*(vit_z+H687)*pas</f>
        <v>-10.7160432083549</v>
      </c>
      <c r="L688" s="397" t="n">
        <f aca="false">SQRT(pos_x^2+pos_z^2)</f>
        <v>691.011588575054</v>
      </c>
      <c r="M688" s="396" t="n">
        <f aca="false">IF(AND(L687&gt;L_rampe,G688&gt;0),ATAN2(G688,H688),$M$4)</f>
        <v>-1.47160996930347</v>
      </c>
      <c r="N688" s="397" t="n">
        <f aca="false">DEGREES(Beta)</f>
        <v>-84.3170403304654</v>
      </c>
      <c r="P688" s="399" t="n">
        <f aca="false">MATCH(t-pas/2-T_ini,CdP_t)</f>
        <v>23</v>
      </c>
      <c r="Q688" s="397" t="n">
        <f aca="false">(INDEX(CdP,2,i_P+1)-INDEX(CdP,2,i_P+0))/(INDEX(CdP,1,i_P+1)-INDEX(CdP,1,i_P+0))*(t-pas/2-T_ini-INDEX(CdP,1,i_P+0))+INDEX(CdP,2,i_P+0)</f>
        <v>0</v>
      </c>
      <c r="R688" s="396" t="n">
        <f aca="false">Poussee/(g*ISP)</f>
        <v>0</v>
      </c>
      <c r="S688" s="398" t="n">
        <f aca="false">S687-Débit*pas</f>
        <v>8.45</v>
      </c>
      <c r="T688" s="397" t="n">
        <f aca="false">m*g</f>
        <v>82.8945</v>
      </c>
      <c r="U688" s="400" t="n">
        <f aca="false">IF(pos_xz&lt;L_rampe,Poids*COS(Beta),0)</f>
        <v>0</v>
      </c>
      <c r="V688" s="396" t="n">
        <f aca="false">Rho_moyen*(20000-Alt_rampe-pos_z)/(20000+Alt_rampe+pos_z)</f>
        <v>1.22631341902578</v>
      </c>
      <c r="W688" s="397" t="n">
        <f aca="false">1/2*Rho*Sref*Cx*vit_xz^2</f>
        <v>62.0634204620516</v>
      </c>
      <c r="Y688" s="401" t="str">
        <f aca="false">IF(AND(pos_z&lt;=0,K687&gt;0),"Impact balistique","") &amp; IF(AND(H689&lt;0,vit_z&gt;=0),"Apogée","") &amp; IF(AND(Poussee=0,Q687&gt;0),"Fin de propulsion","") &amp; IF(AND(L689&gt;L_rampe,pos_xz&lt;=L_rampe),"Sortie de rampe","")</f>
        <v/>
      </c>
      <c r="Z688" s="402" t="str">
        <f aca="false">IF(ABS(t-T_para)&lt;pas/2,"Para","")</f>
        <v/>
      </c>
      <c r="AA688" s="403" t="str">
        <f aca="false">IF(ABS(t-T_satellite)&lt;pas/2,"Satellite","")</f>
        <v/>
      </c>
      <c r="AC688" s="399" t="e">
        <f aca="false">IF(ABS(t-ROUND(t,0))&lt;0.001,t,NA())</f>
        <v>#N/A</v>
      </c>
      <c r="AD688" s="404" t="e">
        <f aca="false">IF(ABS(t-ROUND(t,0))&lt;0.001,pos_x,NA())</f>
        <v>#N/A</v>
      </c>
      <c r="AE688" s="405" t="e">
        <f aca="false">IF(t&lt;T_para, pos_z, NA())</f>
        <v>#N/A</v>
      </c>
      <c r="AG688" s="396" t="n">
        <f aca="false">IF(AND(L687&lt;L_rampe,Poussee&lt;Poids*SIN(M687)),0,(-W687+Poussee)/m-Poids*SIN(M687)/m)</f>
        <v>2.41703927496712</v>
      </c>
      <c r="AH688" s="397" t="n">
        <f aca="false">IF(AND(L687&lt;L_rampe,Poussee&lt;Poids*SIN(M687)), g*SIN(M687), (-W687+Poussee)/m)</f>
        <v>-7.34474439531652</v>
      </c>
    </row>
    <row r="689" customFormat="false" ht="12.75" hidden="false" customHeight="false" outlineLevel="0" collapsed="false">
      <c r="A689" s="396" t="n">
        <f aca="false">IF(B688+0.01&lt;=T_ini+ROUNDUP(Temps_fin_propu,0), 0.01, IF(K688&gt;0, 0.1, 0.0001))</f>
        <v>0.0001</v>
      </c>
      <c r="B689" s="397" t="n">
        <f aca="false">B688+pas</f>
        <v>32.1184000000008</v>
      </c>
      <c r="D689" s="396" t="n">
        <f aca="false">IF(AND(L688&lt;L_rampe,Poussee&lt;Poids*SIN(M688)),0,(-W688+Poussee)/m*COS(M688)-U688/m*SIN(M688))</f>
        <v>-0.727308415132874</v>
      </c>
      <c r="E689" s="398" t="n">
        <f aca="false">IF(AND(L688&lt;L_rampe,Poussee&lt;Poids*SIN(M688)),0,(-W688+Poussee)/m*SIN(M688)+U688/m*COS(M688)-Poids/m)</f>
        <v>-2.50131564953045</v>
      </c>
      <c r="F689" s="397" t="n">
        <f aca="false">SQRT(acc_x^2+acc_z^2)</f>
        <v>2.60491026895535</v>
      </c>
      <c r="G689" s="396" t="n">
        <f aca="false">G688+acc_x*pas</f>
        <v>11.4839211993829</v>
      </c>
      <c r="H689" s="398" t="n">
        <f aca="false">H688+acc_z*pas</f>
        <v>-115.402306497686</v>
      </c>
      <c r="I689" s="397" t="n">
        <f aca="false">SQRT(vit_x^2+vit_z^2)</f>
        <v>115.972293204453</v>
      </c>
      <c r="J689" s="396" t="n">
        <f aca="false">J688+0.5*(vit_x+G688)*pas*(K688&gt;=0)</f>
        <v>690.928492655337</v>
      </c>
      <c r="K689" s="398" t="n">
        <f aca="false">K688+0.5*(vit_z+H688)*pas</f>
        <v>-10.7275834264981</v>
      </c>
      <c r="L689" s="397" t="n">
        <f aca="false">SQRT(pos_x^2+pos_z^2)</f>
        <v>691.011767634349</v>
      </c>
      <c r="M689" s="396" t="n">
        <f aca="false">IF(AND(L688&gt;L_rampe,G689&gt;0),ATAN2(G689,H689),$M$4)</f>
        <v>-1.47161080693762</v>
      </c>
      <c r="N689" s="397" t="n">
        <f aca="false">DEGREES(Beta)</f>
        <v>-84.3170883233671</v>
      </c>
      <c r="P689" s="399" t="n">
        <f aca="false">MATCH(t-pas/2-T_ini,CdP_t)</f>
        <v>23</v>
      </c>
      <c r="Q689" s="397" t="n">
        <f aca="false">(INDEX(CdP,2,i_P+1)-INDEX(CdP,2,i_P+0))/(INDEX(CdP,1,i_P+1)-INDEX(CdP,1,i_P+0))*(t-pas/2-T_ini-INDEX(CdP,1,i_P+0))+INDEX(CdP,2,i_P+0)</f>
        <v>0</v>
      </c>
      <c r="R689" s="396" t="n">
        <f aca="false">Poussee/(g*ISP)</f>
        <v>0</v>
      </c>
      <c r="S689" s="398" t="n">
        <f aca="false">S688-Débit*pas</f>
        <v>8.45</v>
      </c>
      <c r="T689" s="397" t="n">
        <f aca="false">m*g</f>
        <v>82.8945</v>
      </c>
      <c r="U689" s="400" t="n">
        <f aca="false">IF(pos_xz&lt;L_rampe,Poids*COS(Beta),0)</f>
        <v>0</v>
      </c>
      <c r="V689" s="396" t="n">
        <f aca="false">Rho_moyen*(20000-Alt_rampe-pos_z)/(20000+Alt_rampe+pos_z)</f>
        <v>1.22631483421944</v>
      </c>
      <c r="W689" s="397" t="n">
        <f aca="false">1/2*Rho*Sref*Cx*vit_xz^2</f>
        <v>62.0637507809558</v>
      </c>
      <c r="Y689" s="401" t="str">
        <f aca="false">IF(AND(pos_z&lt;=0,K688&gt;0),"Impact balistique","") &amp; IF(AND(H690&lt;0,vit_z&gt;=0),"Apogée","") &amp; IF(AND(Poussee=0,Q688&gt;0),"Fin de propulsion","") &amp; IF(AND(L690&gt;L_rampe,pos_xz&lt;=L_rampe),"Sortie de rampe","")</f>
        <v/>
      </c>
      <c r="Z689" s="402" t="str">
        <f aca="false">IF(ABS(t-T_para)&lt;pas/2,"Para","")</f>
        <v/>
      </c>
      <c r="AA689" s="403" t="str">
        <f aca="false">IF(ABS(t-T_satellite)&lt;pas/2,"Satellite","")</f>
        <v/>
      </c>
      <c r="AC689" s="399" t="e">
        <f aca="false">IF(ABS(t-ROUND(t,0))&lt;0.001,t,NA())</f>
        <v>#N/A</v>
      </c>
      <c r="AD689" s="404" t="e">
        <f aca="false">IF(ABS(t-ROUND(t,0))&lt;0.001,pos_x,NA())</f>
        <v>#N/A</v>
      </c>
      <c r="AE689" s="405" t="e">
        <f aca="false">IF(t&lt;T_para, pos_z, NA())</f>
        <v>#N/A</v>
      </c>
      <c r="AG689" s="396" t="n">
        <f aca="false">IF(AND(L688&lt;L_rampe,Poussee&lt;Poids*SIN(M688)),0,(-W688+Poussee)/m-Poids*SIN(M688)/m)</f>
        <v>2.41700099735982</v>
      </c>
      <c r="AH689" s="397" t="n">
        <f aca="false">IF(AND(L688&lt;L_rampe,Poussee&lt;Poids*SIN(M688)), g*SIN(M688), (-W688+Poussee)/m)</f>
        <v>-7.34478348663332</v>
      </c>
    </row>
    <row r="690" customFormat="false" ht="12.75" hidden="false" customHeight="false" outlineLevel="0" collapsed="false">
      <c r="A690" s="396" t="n">
        <f aca="false">IF(B689+0.01&lt;=T_ini+ROUNDUP(Temps_fin_propu,0), 0.01, IF(K689&gt;0, 0.1, 0.0001))</f>
        <v>0.0001</v>
      </c>
      <c r="B690" s="397" t="n">
        <f aca="false">B689+pas</f>
        <v>32.1185000000008</v>
      </c>
      <c r="D690" s="396" t="n">
        <f aca="false">IF(AND(L689&lt;L_rampe,Poussee&lt;Poids*SIN(M689)),0,(-W689+Poussee)/m*COS(M689)-U689/m*SIN(M689))</f>
        <v>-0.727306164035468</v>
      </c>
      <c r="E690" s="398" t="n">
        <f aca="false">IF(AND(L689&lt;L_rampe,Poussee&lt;Poids*SIN(M689)),0,(-W689+Poussee)/m*SIN(M689)+U689/m*COS(M689)-Poids/m)</f>
        <v>-2.50127614144654</v>
      </c>
      <c r="F690" s="397" t="n">
        <f aca="false">SQRT(acc_x^2+acc_z^2)</f>
        <v>2.60487170356117</v>
      </c>
      <c r="G690" s="396" t="n">
        <f aca="false">G689+acc_x*pas</f>
        <v>11.4838484687665</v>
      </c>
      <c r="H690" s="398" t="n">
        <f aca="false">H689+acc_z*pas</f>
        <v>-115.4025566253</v>
      </c>
      <c r="I690" s="397" t="n">
        <f aca="false">SQRT(vit_x^2+vit_z^2)</f>
        <v>115.972534900765</v>
      </c>
      <c r="J690" s="396" t="n">
        <f aca="false">J689+0.5*(vit_x+G689)*pas*(K689&gt;=0)</f>
        <v>690.928492655337</v>
      </c>
      <c r="K690" s="398" t="n">
        <f aca="false">K689+0.5*(vit_z+H689)*pas</f>
        <v>-10.7391236696542</v>
      </c>
      <c r="L690" s="397" t="n">
        <f aca="false">SQRT(pos_x^2+pos_z^2)</f>
        <v>691.011946886715</v>
      </c>
      <c r="M690" s="396" t="n">
        <f aca="false">IF(AND(L689&gt;L_rampe,G690&gt;0),ATAN2(G690,H690),$M$4)</f>
        <v>-1.47161164456298</v>
      </c>
      <c r="N690" s="397" t="n">
        <f aca="false">DEGREES(Beta)</f>
        <v>-84.317136315765</v>
      </c>
      <c r="P690" s="399" t="n">
        <f aca="false">MATCH(t-pas/2-T_ini,CdP_t)</f>
        <v>23</v>
      </c>
      <c r="Q690" s="397" t="n">
        <f aca="false">(INDEX(CdP,2,i_P+1)-INDEX(CdP,2,i_P+0))/(INDEX(CdP,1,i_P+1)-INDEX(CdP,1,i_P+0))*(t-pas/2-T_ini-INDEX(CdP,1,i_P+0))+INDEX(CdP,2,i_P+0)</f>
        <v>0</v>
      </c>
      <c r="R690" s="396" t="n">
        <f aca="false">Poussee/(g*ISP)</f>
        <v>0</v>
      </c>
      <c r="S690" s="398" t="n">
        <f aca="false">S689-Débit*pas</f>
        <v>8.45</v>
      </c>
      <c r="T690" s="397" t="n">
        <f aca="false">m*g</f>
        <v>82.8945</v>
      </c>
      <c r="U690" s="400" t="n">
        <f aca="false">IF(pos_xz&lt;L_rampe,Poids*COS(Beta),0)</f>
        <v>0</v>
      </c>
      <c r="V690" s="396" t="n">
        <f aca="false">Rho_moyen*(20000-Alt_rampe-pos_z)/(20000+Alt_rampe+pos_z)</f>
        <v>1.2263162494178</v>
      </c>
      <c r="W690" s="397" t="n">
        <f aca="false">1/2*Rho*Sref*Cx*vit_xz^2</f>
        <v>62.0640810971372</v>
      </c>
      <c r="Y690" s="401" t="str">
        <f aca="false">IF(AND(pos_z&lt;=0,K689&gt;0),"Impact balistique","") &amp; IF(AND(H691&lt;0,vit_z&gt;=0),"Apogée","") &amp; IF(AND(Poussee=0,Q689&gt;0),"Fin de propulsion","") &amp; IF(AND(L691&gt;L_rampe,pos_xz&lt;=L_rampe),"Sortie de rampe","")</f>
        <v/>
      </c>
      <c r="Z690" s="402" t="str">
        <f aca="false">IF(ABS(t-T_para)&lt;pas/2,"Para","")</f>
        <v/>
      </c>
      <c r="AA690" s="403" t="str">
        <f aca="false">IF(ABS(t-T_satellite)&lt;pas/2,"Satellite","")</f>
        <v/>
      </c>
      <c r="AC690" s="399" t="e">
        <f aca="false">IF(ABS(t-ROUND(t,0))&lt;0.001,t,NA())</f>
        <v>#N/A</v>
      </c>
      <c r="AD690" s="404" t="e">
        <f aca="false">IF(ABS(t-ROUND(t,0))&lt;0.001,pos_x,NA())</f>
        <v>#N/A</v>
      </c>
      <c r="AE690" s="405" t="e">
        <f aca="false">IF(t&lt;T_para, pos_z, NA())</f>
        <v>#N/A</v>
      </c>
      <c r="AG690" s="396" t="n">
        <f aca="false">IF(AND(L689&lt;L_rampe,Poussee&lt;Poids*SIN(M689)),0,(-W689+Poussee)/m-Poids*SIN(M689)/m)</f>
        <v>2.41696272005935</v>
      </c>
      <c r="AH690" s="397" t="n">
        <f aca="false">IF(AND(L689&lt;L_rampe,Poussee&lt;Poids*SIN(M689)), g*SIN(M689), (-W689+Poussee)/m)</f>
        <v>-7.3448225776279</v>
      </c>
    </row>
    <row r="691" customFormat="false" ht="12.75" hidden="false" customHeight="false" outlineLevel="0" collapsed="false">
      <c r="A691" s="396" t="n">
        <f aca="false">IF(B690+0.01&lt;=T_ini+ROUNDUP(Temps_fin_propu,0), 0.01, IF(K690&gt;0, 0.1, 0.0001))</f>
        <v>0.0001</v>
      </c>
      <c r="B691" s="397" t="n">
        <f aca="false">B690+pas</f>
        <v>32.1186000000008</v>
      </c>
      <c r="D691" s="396" t="n">
        <f aca="false">IF(AND(L690&lt;L_rampe,Poussee&lt;Poids*SIN(M690)),0,(-W690+Poussee)/m*COS(M690)-U690/m*SIN(M690))</f>
        <v>-0.727303912904768</v>
      </c>
      <c r="E691" s="398" t="n">
        <f aca="false">IF(AND(L690&lt;L_rampe,Poussee&lt;Poids*SIN(M690)),0,(-W690+Poussee)/m*SIN(M690)+U690/m*COS(M690)-Poids/m)</f>
        <v>-2.5012366336883</v>
      </c>
      <c r="F691" s="397" t="n">
        <f aca="false">SQRT(acc_x^2+acc_z^2)</f>
        <v>2.60483313850061</v>
      </c>
      <c r="G691" s="396" t="n">
        <f aca="false">G690+acc_x*pas</f>
        <v>11.4837757383752</v>
      </c>
      <c r="H691" s="398" t="n">
        <f aca="false">H690+acc_z*pas</f>
        <v>-115.402806748964</v>
      </c>
      <c r="I691" s="397" t="n">
        <f aca="false">SQRT(vit_x^2+vit_z^2)</f>
        <v>115.97277659325</v>
      </c>
      <c r="J691" s="396" t="n">
        <f aca="false">J690+0.5*(vit_x+G690)*pas*(K690&gt;=0)</f>
        <v>690.928492655337</v>
      </c>
      <c r="K691" s="398" t="n">
        <f aca="false">K690+0.5*(vit_z+H690)*pas</f>
        <v>-10.7506639378229</v>
      </c>
      <c r="L691" s="397" t="n">
        <f aca="false">SQRT(pos_x^2+pos_z^2)</f>
        <v>691.01212633215</v>
      </c>
      <c r="M691" s="396" t="n">
        <f aca="false">IF(AND(L690&gt;L_rampe,G691&gt;0),ATAN2(G691,H691),$M$4)</f>
        <v>-1.47161248217954</v>
      </c>
      <c r="N691" s="397" t="n">
        <f aca="false">DEGREES(Beta)</f>
        <v>-84.3171843076588</v>
      </c>
      <c r="P691" s="399" t="n">
        <f aca="false">MATCH(t-pas/2-T_ini,CdP_t)</f>
        <v>23</v>
      </c>
      <c r="Q691" s="397" t="n">
        <f aca="false">(INDEX(CdP,2,i_P+1)-INDEX(CdP,2,i_P+0))/(INDEX(CdP,1,i_P+1)-INDEX(CdP,1,i_P+0))*(t-pas/2-T_ini-INDEX(CdP,1,i_P+0))+INDEX(CdP,2,i_P+0)</f>
        <v>0</v>
      </c>
      <c r="R691" s="396" t="n">
        <f aca="false">Poussee/(g*ISP)</f>
        <v>0</v>
      </c>
      <c r="S691" s="398" t="n">
        <f aca="false">S690-Débit*pas</f>
        <v>8.45</v>
      </c>
      <c r="T691" s="397" t="n">
        <f aca="false">m*g</f>
        <v>82.8945</v>
      </c>
      <c r="U691" s="400" t="n">
        <f aca="false">IF(pos_xz&lt;L_rampe,Poids*COS(Beta),0)</f>
        <v>0</v>
      </c>
      <c r="V691" s="396" t="n">
        <f aca="false">Rho_moyen*(20000-Alt_rampe-pos_z)/(20000+Alt_rampe+pos_z)</f>
        <v>1.22631766462086</v>
      </c>
      <c r="W691" s="397" t="n">
        <f aca="false">1/2*Rho*Sref*Cx*vit_xz^2</f>
        <v>62.064411410596</v>
      </c>
      <c r="Y691" s="401" t="str">
        <f aca="false">IF(AND(pos_z&lt;=0,K690&gt;0),"Impact balistique","") &amp; IF(AND(H692&lt;0,vit_z&gt;=0),"Apogée","") &amp; IF(AND(Poussee=0,Q690&gt;0),"Fin de propulsion","") &amp; IF(AND(L692&gt;L_rampe,pos_xz&lt;=L_rampe),"Sortie de rampe","")</f>
        <v/>
      </c>
      <c r="Z691" s="402" t="str">
        <f aca="false">IF(ABS(t-T_para)&lt;pas/2,"Para","")</f>
        <v/>
      </c>
      <c r="AA691" s="403" t="str">
        <f aca="false">IF(ABS(t-T_satellite)&lt;pas/2,"Satellite","")</f>
        <v/>
      </c>
      <c r="AC691" s="399" t="e">
        <f aca="false">IF(ABS(t-ROUND(t,0))&lt;0.001,t,NA())</f>
        <v>#N/A</v>
      </c>
      <c r="AD691" s="404" t="e">
        <f aca="false">IF(ABS(t-ROUND(t,0))&lt;0.001,pos_x,NA())</f>
        <v>#N/A</v>
      </c>
      <c r="AE691" s="405" t="e">
        <f aca="false">IF(t&lt;T_para, pos_z, NA())</f>
        <v>#N/A</v>
      </c>
      <c r="AG691" s="396" t="n">
        <f aca="false">IF(AND(L690&lt;L_rampe,Poussee&lt;Poids*SIN(M690)),0,(-W690+Poussee)/m-Poids*SIN(M690)/m)</f>
        <v>2.4169244430657</v>
      </c>
      <c r="AH691" s="397" t="n">
        <f aca="false">IF(AND(L690&lt;L_rampe,Poussee&lt;Poids*SIN(M690)), g*SIN(M690), (-W690+Poussee)/m)</f>
        <v>-7.34486166830027</v>
      </c>
    </row>
    <row r="692" customFormat="false" ht="12.75" hidden="false" customHeight="false" outlineLevel="0" collapsed="false">
      <c r="A692" s="396" t="n">
        <f aca="false">IF(B691+0.01&lt;=T_ini+ROUNDUP(Temps_fin_propu,0), 0.01, IF(K691&gt;0, 0.1, 0.0001))</f>
        <v>0.0001</v>
      </c>
      <c r="B692" s="397" t="n">
        <f aca="false">B691+pas</f>
        <v>32.1187000000008</v>
      </c>
      <c r="D692" s="396" t="n">
        <f aca="false">IF(AND(L691&lt;L_rampe,Poussee&lt;Poids*SIN(M691)),0,(-W691+Poussee)/m*COS(M691)-U691/m*SIN(M691))</f>
        <v>-0.727301661740778</v>
      </c>
      <c r="E692" s="398" t="n">
        <f aca="false">IF(AND(L691&lt;L_rampe,Poussee&lt;Poids*SIN(M691)),0,(-W691+Poussee)/m*SIN(M691)+U691/m*COS(M691)-Poids/m)</f>
        <v>-2.50119712625573</v>
      </c>
      <c r="F692" s="397" t="n">
        <f aca="false">SQRT(acc_x^2+acc_z^2)</f>
        <v>2.60479457377368</v>
      </c>
      <c r="G692" s="396" t="n">
        <f aca="false">G691+acc_x*pas</f>
        <v>11.483703008209</v>
      </c>
      <c r="H692" s="398" t="n">
        <f aca="false">H691+acc_z*pas</f>
        <v>-115.403056868676</v>
      </c>
      <c r="I692" s="397" t="n">
        <f aca="false">SQRT(vit_x^2+vit_z^2)</f>
        <v>115.973018281908</v>
      </c>
      <c r="J692" s="396" t="n">
        <f aca="false">J691+0.5*(vit_x+G691)*pas*(K691&gt;=0)</f>
        <v>690.928492655337</v>
      </c>
      <c r="K692" s="398" t="n">
        <f aca="false">K691+0.5*(vit_z+H691)*pas</f>
        <v>-10.7622042310038</v>
      </c>
      <c r="L692" s="397" t="n">
        <f aca="false">SQRT(pos_x^2+pos_z^2)</f>
        <v>691.012305970658</v>
      </c>
      <c r="M692" s="396" t="n">
        <f aca="false">IF(AND(L691&gt;L_rampe,G692&gt;0),ATAN2(G692,H692),$M$4)</f>
        <v>-1.47161331978731</v>
      </c>
      <c r="N692" s="397" t="n">
        <f aca="false">DEGREES(Beta)</f>
        <v>-84.3172322990486</v>
      </c>
      <c r="P692" s="399" t="n">
        <f aca="false">MATCH(t-pas/2-T_ini,CdP_t)</f>
        <v>23</v>
      </c>
      <c r="Q692" s="397" t="n">
        <f aca="false">(INDEX(CdP,2,i_P+1)-INDEX(CdP,2,i_P+0))/(INDEX(CdP,1,i_P+1)-INDEX(CdP,1,i_P+0))*(t-pas/2-T_ini-INDEX(CdP,1,i_P+0))+INDEX(CdP,2,i_P+0)</f>
        <v>0</v>
      </c>
      <c r="R692" s="396" t="n">
        <f aca="false">Poussee/(g*ISP)</f>
        <v>0</v>
      </c>
      <c r="S692" s="398" t="n">
        <f aca="false">S691-Débit*pas</f>
        <v>8.45</v>
      </c>
      <c r="T692" s="397" t="n">
        <f aca="false">m*g</f>
        <v>82.8945</v>
      </c>
      <c r="U692" s="400" t="n">
        <f aca="false">IF(pos_xz&lt;L_rampe,Poids*COS(Beta),0)</f>
        <v>0</v>
      </c>
      <c r="V692" s="396" t="n">
        <f aca="false">Rho_moyen*(20000-Alt_rampe-pos_z)/(20000+Alt_rampe+pos_z)</f>
        <v>1.22631907982862</v>
      </c>
      <c r="W692" s="397" t="n">
        <f aca="false">1/2*Rho*Sref*Cx*vit_xz^2</f>
        <v>62.0647417213319</v>
      </c>
      <c r="Y692" s="401" t="str">
        <f aca="false">IF(AND(pos_z&lt;=0,K691&gt;0),"Impact balistique","") &amp; IF(AND(H693&lt;0,vit_z&gt;=0),"Apogée","") &amp; IF(AND(Poussee=0,Q691&gt;0),"Fin de propulsion","") &amp; IF(AND(L693&gt;L_rampe,pos_xz&lt;=L_rampe),"Sortie de rampe","")</f>
        <v/>
      </c>
      <c r="Z692" s="402" t="str">
        <f aca="false">IF(ABS(t-T_para)&lt;pas/2,"Para","")</f>
        <v/>
      </c>
      <c r="AA692" s="403" t="str">
        <f aca="false">IF(ABS(t-T_satellite)&lt;pas/2,"Satellite","")</f>
        <v/>
      </c>
      <c r="AC692" s="399" t="e">
        <f aca="false">IF(ABS(t-ROUND(t,0))&lt;0.001,t,NA())</f>
        <v>#N/A</v>
      </c>
      <c r="AD692" s="404" t="e">
        <f aca="false">IF(ABS(t-ROUND(t,0))&lt;0.001,pos_x,NA())</f>
        <v>#N/A</v>
      </c>
      <c r="AE692" s="405" t="e">
        <f aca="false">IF(t&lt;T_para, pos_z, NA())</f>
        <v>#N/A</v>
      </c>
      <c r="AG692" s="396" t="n">
        <f aca="false">IF(AND(L691&lt;L_rampe,Poussee&lt;Poids*SIN(M691)),0,(-W691+Poussee)/m-Poids*SIN(M691)/m)</f>
        <v>2.41688616637888</v>
      </c>
      <c r="AH692" s="397" t="n">
        <f aca="false">IF(AND(L691&lt;L_rampe,Poussee&lt;Poids*SIN(M691)), g*SIN(M691), (-W691+Poussee)/m)</f>
        <v>-7.34490075865041</v>
      </c>
    </row>
    <row r="693" customFormat="false" ht="12.75" hidden="false" customHeight="false" outlineLevel="0" collapsed="false">
      <c r="A693" s="396" t="n">
        <f aca="false">IF(B692+0.01&lt;=T_ini+ROUNDUP(Temps_fin_propu,0), 0.01, IF(K692&gt;0, 0.1, 0.0001))</f>
        <v>0.0001</v>
      </c>
      <c r="B693" s="397" t="n">
        <f aca="false">B692+pas</f>
        <v>32.1188000000008</v>
      </c>
      <c r="D693" s="396" t="n">
        <f aca="false">IF(AND(L692&lt;L_rampe,Poussee&lt;Poids*SIN(M692)),0,(-W692+Poussee)/m*COS(M692)-U692/m*SIN(M692))</f>
        <v>-0.727299410543496</v>
      </c>
      <c r="E693" s="398" t="n">
        <f aca="false">IF(AND(L692&lt;L_rampe,Poussee&lt;Poids*SIN(M692)),0,(-W692+Poussee)/m*SIN(M692)+U692/m*COS(M692)-Poids/m)</f>
        <v>-2.50115761914884</v>
      </c>
      <c r="F693" s="397" t="n">
        <f aca="false">SQRT(acc_x^2+acc_z^2)</f>
        <v>2.60475600938038</v>
      </c>
      <c r="G693" s="396" t="n">
        <f aca="false">G692+acc_x*pas</f>
        <v>11.483630278268</v>
      </c>
      <c r="H693" s="398" t="n">
        <f aca="false">H692+acc_z*pas</f>
        <v>-115.403306984438</v>
      </c>
      <c r="I693" s="397" t="n">
        <f aca="false">SQRT(vit_x^2+vit_z^2)</f>
        <v>115.973259966737</v>
      </c>
      <c r="J693" s="396" t="n">
        <f aca="false">J692+0.5*(vit_x+G692)*pas*(K692&gt;=0)</f>
        <v>690.928492655337</v>
      </c>
      <c r="K693" s="398" t="n">
        <f aca="false">K692+0.5*(vit_z+H692)*pas</f>
        <v>-10.7737445491965</v>
      </c>
      <c r="L693" s="397" t="n">
        <f aca="false">SQRT(pos_x^2+pos_z^2)</f>
        <v>691.012485802237</v>
      </c>
      <c r="M693" s="396" t="n">
        <f aca="false">IF(AND(L692&gt;L_rampe,G693&gt;0),ATAN2(G693,H693),$M$4)</f>
        <v>-1.47161415738628</v>
      </c>
      <c r="N693" s="397" t="n">
        <f aca="false">DEGREES(Beta)</f>
        <v>-84.3172802899345</v>
      </c>
      <c r="P693" s="399" t="n">
        <f aca="false">MATCH(t-pas/2-T_ini,CdP_t)</f>
        <v>23</v>
      </c>
      <c r="Q693" s="397" t="n">
        <f aca="false">(INDEX(CdP,2,i_P+1)-INDEX(CdP,2,i_P+0))/(INDEX(CdP,1,i_P+1)-INDEX(CdP,1,i_P+0))*(t-pas/2-T_ini-INDEX(CdP,1,i_P+0))+INDEX(CdP,2,i_P+0)</f>
        <v>0</v>
      </c>
      <c r="R693" s="396" t="n">
        <f aca="false">Poussee/(g*ISP)</f>
        <v>0</v>
      </c>
      <c r="S693" s="398" t="n">
        <f aca="false">S692-Débit*pas</f>
        <v>8.45</v>
      </c>
      <c r="T693" s="397" t="n">
        <f aca="false">m*g</f>
        <v>82.8945</v>
      </c>
      <c r="U693" s="400" t="n">
        <f aca="false">IF(pos_xz&lt;L_rampe,Poids*COS(Beta),0)</f>
        <v>0</v>
      </c>
      <c r="V693" s="396" t="n">
        <f aca="false">Rho_moyen*(20000-Alt_rampe-pos_z)/(20000+Alt_rampe+pos_z)</f>
        <v>1.22632049504109</v>
      </c>
      <c r="W693" s="397" t="n">
        <f aca="false">1/2*Rho*Sref*Cx*vit_xz^2</f>
        <v>62.0650720293452</v>
      </c>
      <c r="Y693" s="401" t="str">
        <f aca="false">IF(AND(pos_z&lt;=0,K692&gt;0),"Impact balistique","") &amp; IF(AND(H694&lt;0,vit_z&gt;=0),"Apogée","") &amp; IF(AND(Poussee=0,Q692&gt;0),"Fin de propulsion","") &amp; IF(AND(L694&gt;L_rampe,pos_xz&lt;=L_rampe),"Sortie de rampe","")</f>
        <v/>
      </c>
      <c r="Z693" s="402" t="str">
        <f aca="false">IF(ABS(t-T_para)&lt;pas/2,"Para","")</f>
        <v/>
      </c>
      <c r="AA693" s="403" t="str">
        <f aca="false">IF(ABS(t-T_satellite)&lt;pas/2,"Satellite","")</f>
        <v/>
      </c>
      <c r="AC693" s="399" t="e">
        <f aca="false">IF(ABS(t-ROUND(t,0))&lt;0.001,t,NA())</f>
        <v>#N/A</v>
      </c>
      <c r="AD693" s="404" t="e">
        <f aca="false">IF(ABS(t-ROUND(t,0))&lt;0.001,pos_x,NA())</f>
        <v>#N/A</v>
      </c>
      <c r="AE693" s="405" t="e">
        <f aca="false">IF(t&lt;T_para, pos_z, NA())</f>
        <v>#N/A</v>
      </c>
      <c r="AG693" s="396" t="n">
        <f aca="false">IF(AND(L692&lt;L_rampe,Poussee&lt;Poids*SIN(M692)),0,(-W692+Poussee)/m-Poids*SIN(M692)/m)</f>
        <v>2.41684788999888</v>
      </c>
      <c r="AH693" s="397" t="n">
        <f aca="false">IF(AND(L692&lt;L_rampe,Poussee&lt;Poids*SIN(M692)), g*SIN(M692), (-W692+Poussee)/m)</f>
        <v>-7.34493984867834</v>
      </c>
    </row>
    <row r="694" customFormat="false" ht="12.75" hidden="false" customHeight="false" outlineLevel="0" collapsed="false">
      <c r="A694" s="396" t="n">
        <f aca="false">IF(B693+0.01&lt;=T_ini+ROUNDUP(Temps_fin_propu,0), 0.01, IF(K693&gt;0, 0.1, 0.0001))</f>
        <v>0.0001</v>
      </c>
      <c r="B694" s="397" t="n">
        <f aca="false">B693+pas</f>
        <v>32.1189000000008</v>
      </c>
      <c r="D694" s="396" t="n">
        <f aca="false">IF(AND(L693&lt;L_rampe,Poussee&lt;Poids*SIN(M693)),0,(-W693+Poussee)/m*COS(M693)-U693/m*SIN(M693))</f>
        <v>-0.727297159312925</v>
      </c>
      <c r="E694" s="398" t="n">
        <f aca="false">IF(AND(L693&lt;L_rampe,Poussee&lt;Poids*SIN(M693)),0,(-W693+Poussee)/m*SIN(M693)+U693/m*COS(M693)-Poids/m)</f>
        <v>-2.50111811236762</v>
      </c>
      <c r="F694" s="397" t="n">
        <f aca="false">SQRT(acc_x^2+acc_z^2)</f>
        <v>2.60471744532071</v>
      </c>
      <c r="G694" s="396" t="n">
        <f aca="false">G693+acc_x*pas</f>
        <v>11.483557548552</v>
      </c>
      <c r="H694" s="398" t="n">
        <f aca="false">H693+acc_z*pas</f>
        <v>-115.40355709625</v>
      </c>
      <c r="I694" s="397" t="n">
        <f aca="false">SQRT(vit_x^2+vit_z^2)</f>
        <v>115.97350164774</v>
      </c>
      <c r="J694" s="396" t="n">
        <f aca="false">J693+0.5*(vit_x+G693)*pas*(K693&gt;=0)</f>
        <v>690.928492655337</v>
      </c>
      <c r="K694" s="398" t="n">
        <f aca="false">K693+0.5*(vit_z+H693)*pas</f>
        <v>-10.7852848924005</v>
      </c>
      <c r="L694" s="397" t="n">
        <f aca="false">SQRT(pos_x^2+pos_z^2)</f>
        <v>691.012665826891</v>
      </c>
      <c r="M694" s="396" t="n">
        <f aca="false">IF(AND(L693&gt;L_rampe,G694&gt;0),ATAN2(G694,H694),$M$4)</f>
        <v>-1.47161499497645</v>
      </c>
      <c r="N694" s="397" t="n">
        <f aca="false">DEGREES(Beta)</f>
        <v>-84.3173282803164</v>
      </c>
      <c r="P694" s="399" t="n">
        <f aca="false">MATCH(t-pas/2-T_ini,CdP_t)</f>
        <v>23</v>
      </c>
      <c r="Q694" s="397" t="n">
        <f aca="false">(INDEX(CdP,2,i_P+1)-INDEX(CdP,2,i_P+0))/(INDEX(CdP,1,i_P+1)-INDEX(CdP,1,i_P+0))*(t-pas/2-T_ini-INDEX(CdP,1,i_P+0))+INDEX(CdP,2,i_P+0)</f>
        <v>0</v>
      </c>
      <c r="R694" s="396" t="n">
        <f aca="false">Poussee/(g*ISP)</f>
        <v>0</v>
      </c>
      <c r="S694" s="398" t="n">
        <f aca="false">S693-Débit*pas</f>
        <v>8.45</v>
      </c>
      <c r="T694" s="397" t="n">
        <f aca="false">m*g</f>
        <v>82.8945</v>
      </c>
      <c r="U694" s="400" t="n">
        <f aca="false">IF(pos_xz&lt;L_rampe,Poids*COS(Beta),0)</f>
        <v>0</v>
      </c>
      <c r="V694" s="396" t="n">
        <f aca="false">Rho_moyen*(20000-Alt_rampe-pos_z)/(20000+Alt_rampe+pos_z)</f>
        <v>1.22632191025826</v>
      </c>
      <c r="W694" s="397" t="n">
        <f aca="false">1/2*Rho*Sref*Cx*vit_xz^2</f>
        <v>62.0654023346357</v>
      </c>
      <c r="Y694" s="401" t="str">
        <f aca="false">IF(AND(pos_z&lt;=0,K693&gt;0),"Impact balistique","") &amp; IF(AND(H695&lt;0,vit_z&gt;=0),"Apogée","") &amp; IF(AND(Poussee=0,Q693&gt;0),"Fin de propulsion","") &amp; IF(AND(L695&gt;L_rampe,pos_xz&lt;=L_rampe),"Sortie de rampe","")</f>
        <v/>
      </c>
      <c r="Z694" s="402" t="str">
        <f aca="false">IF(ABS(t-T_para)&lt;pas/2,"Para","")</f>
        <v/>
      </c>
      <c r="AA694" s="403" t="str">
        <f aca="false">IF(ABS(t-T_satellite)&lt;pas/2,"Satellite","")</f>
        <v/>
      </c>
      <c r="AC694" s="399" t="e">
        <f aca="false">IF(ABS(t-ROUND(t,0))&lt;0.001,t,NA())</f>
        <v>#N/A</v>
      </c>
      <c r="AD694" s="404" t="e">
        <f aca="false">IF(ABS(t-ROUND(t,0))&lt;0.001,pos_x,NA())</f>
        <v>#N/A</v>
      </c>
      <c r="AE694" s="405" t="e">
        <f aca="false">IF(t&lt;T_para, pos_z, NA())</f>
        <v>#N/A</v>
      </c>
      <c r="AG694" s="396" t="n">
        <f aca="false">IF(AND(L693&lt;L_rampe,Poussee&lt;Poids*SIN(M693)),0,(-W693+Poussee)/m-Poids*SIN(M693)/m)</f>
        <v>2.4168096139257</v>
      </c>
      <c r="AH694" s="397" t="n">
        <f aca="false">IF(AND(L693&lt;L_rampe,Poussee&lt;Poids*SIN(M693)), g*SIN(M693), (-W693+Poussee)/m)</f>
        <v>-7.34497893838405</v>
      </c>
    </row>
    <row r="695" customFormat="false" ht="12.75" hidden="false" customHeight="false" outlineLevel="0" collapsed="false">
      <c r="A695" s="396" t="n">
        <f aca="false">IF(B694+0.01&lt;=T_ini+ROUNDUP(Temps_fin_propu,0), 0.01, IF(K694&gt;0, 0.1, 0.0001))</f>
        <v>0.0001</v>
      </c>
      <c r="B695" s="397" t="n">
        <f aca="false">B694+pas</f>
        <v>32.1190000000008</v>
      </c>
      <c r="D695" s="396" t="n">
        <f aca="false">IF(AND(L694&lt;L_rampe,Poussee&lt;Poids*SIN(M694)),0,(-W694+Poussee)/m*COS(M694)-U694/m*SIN(M694))</f>
        <v>-0.727294908049063</v>
      </c>
      <c r="E695" s="398" t="n">
        <f aca="false">IF(AND(L694&lt;L_rampe,Poussee&lt;Poids*SIN(M694)),0,(-W694+Poussee)/m*SIN(M694)+U694/m*COS(M694)-Poids/m)</f>
        <v>-2.50107860591209</v>
      </c>
      <c r="F695" s="397" t="n">
        <f aca="false">SQRT(acc_x^2+acc_z^2)</f>
        <v>2.60467888159467</v>
      </c>
      <c r="G695" s="396" t="n">
        <f aca="false">G694+acc_x*pas</f>
        <v>11.4834848190612</v>
      </c>
      <c r="H695" s="398" t="n">
        <f aca="false">H694+acc_z*pas</f>
        <v>-115.40380720411</v>
      </c>
      <c r="I695" s="397" t="n">
        <f aca="false">SQRT(vit_x^2+vit_z^2)</f>
        <v>115.973743324914</v>
      </c>
      <c r="J695" s="396" t="n">
        <f aca="false">J694+0.5*(vit_x+G694)*pas*(K694&gt;=0)</f>
        <v>690.928492655337</v>
      </c>
      <c r="K695" s="398" t="n">
        <f aca="false">K694+0.5*(vit_z+H694)*pas</f>
        <v>-10.7968252606155</v>
      </c>
      <c r="L695" s="397" t="n">
        <f aca="false">SQRT(pos_x^2+pos_z^2)</f>
        <v>691.012846044619</v>
      </c>
      <c r="M695" s="396" t="n">
        <f aca="false">IF(AND(L694&gt;L_rampe,G695&gt;0),ATAN2(G695,H695),$M$4)</f>
        <v>-1.47161583255783</v>
      </c>
      <c r="N695" s="397" t="n">
        <f aca="false">DEGREES(Beta)</f>
        <v>-84.3173762701943</v>
      </c>
      <c r="P695" s="399" t="n">
        <f aca="false">MATCH(t-pas/2-T_ini,CdP_t)</f>
        <v>23</v>
      </c>
      <c r="Q695" s="397" t="n">
        <f aca="false">(INDEX(CdP,2,i_P+1)-INDEX(CdP,2,i_P+0))/(INDEX(CdP,1,i_P+1)-INDEX(CdP,1,i_P+0))*(t-pas/2-T_ini-INDEX(CdP,1,i_P+0))+INDEX(CdP,2,i_P+0)</f>
        <v>0</v>
      </c>
      <c r="R695" s="396" t="n">
        <f aca="false">Poussee/(g*ISP)</f>
        <v>0</v>
      </c>
      <c r="S695" s="398" t="n">
        <f aca="false">S694-Débit*pas</f>
        <v>8.45</v>
      </c>
      <c r="T695" s="397" t="n">
        <f aca="false">m*g</f>
        <v>82.8945</v>
      </c>
      <c r="U695" s="400" t="n">
        <f aca="false">IF(pos_xz&lt;L_rampe,Poids*COS(Beta),0)</f>
        <v>0</v>
      </c>
      <c r="V695" s="396" t="n">
        <f aca="false">Rho_moyen*(20000-Alt_rampe-pos_z)/(20000+Alt_rampe+pos_z)</f>
        <v>1.22632332548012</v>
      </c>
      <c r="W695" s="397" t="n">
        <f aca="false">1/2*Rho*Sref*Cx*vit_xz^2</f>
        <v>62.0657326372034</v>
      </c>
      <c r="Y695" s="401" t="str">
        <f aca="false">IF(AND(pos_z&lt;=0,K694&gt;0),"Impact balistique","") &amp; IF(AND(H696&lt;0,vit_z&gt;=0),"Apogée","") &amp; IF(AND(Poussee=0,Q694&gt;0),"Fin de propulsion","") &amp; IF(AND(L696&gt;L_rampe,pos_xz&lt;=L_rampe),"Sortie de rampe","")</f>
        <v/>
      </c>
      <c r="Z695" s="402" t="str">
        <f aca="false">IF(ABS(t-T_para)&lt;pas/2,"Para","")</f>
        <v/>
      </c>
      <c r="AA695" s="403" t="str">
        <f aca="false">IF(ABS(t-T_satellite)&lt;pas/2,"Satellite","")</f>
        <v/>
      </c>
      <c r="AC695" s="399" t="e">
        <f aca="false">IF(ABS(t-ROUND(t,0))&lt;0.001,t,NA())</f>
        <v>#N/A</v>
      </c>
      <c r="AD695" s="404" t="e">
        <f aca="false">IF(ABS(t-ROUND(t,0))&lt;0.001,pos_x,NA())</f>
        <v>#N/A</v>
      </c>
      <c r="AE695" s="405" t="e">
        <f aca="false">IF(t&lt;T_para, pos_z, NA())</f>
        <v>#N/A</v>
      </c>
      <c r="AG695" s="396" t="n">
        <f aca="false">IF(AND(L694&lt;L_rampe,Poussee&lt;Poids*SIN(M694)),0,(-W694+Poussee)/m-Poids*SIN(M694)/m)</f>
        <v>2.41677133815935</v>
      </c>
      <c r="AH695" s="397" t="n">
        <f aca="false">IF(AND(L694&lt;L_rampe,Poussee&lt;Poids*SIN(M694)), g*SIN(M694), (-W694+Poussee)/m)</f>
        <v>-7.34501802776754</v>
      </c>
    </row>
    <row r="696" customFormat="false" ht="12.75" hidden="false" customHeight="false" outlineLevel="0" collapsed="false">
      <c r="A696" s="396" t="n">
        <f aca="false">IF(B695+0.01&lt;=T_ini+ROUNDUP(Temps_fin_propu,0), 0.01, IF(K695&gt;0, 0.1, 0.0001))</f>
        <v>0.0001</v>
      </c>
      <c r="B696" s="397" t="n">
        <f aca="false">B695+pas</f>
        <v>32.1191000000008</v>
      </c>
      <c r="D696" s="396" t="n">
        <f aca="false">IF(AND(L695&lt;L_rampe,Poussee&lt;Poids*SIN(M695)),0,(-W695+Poussee)/m*COS(M695)-U695/m*SIN(M695))</f>
        <v>-0.727292656751913</v>
      </c>
      <c r="E696" s="398" t="n">
        <f aca="false">IF(AND(L695&lt;L_rampe,Poussee&lt;Poids*SIN(M695)),0,(-W695+Poussee)/m*SIN(M695)+U695/m*COS(M695)-Poids/m)</f>
        <v>-2.50103909978222</v>
      </c>
      <c r="F696" s="397" t="n">
        <f aca="false">SQRT(acc_x^2+acc_z^2)</f>
        <v>2.60464031820225</v>
      </c>
      <c r="G696" s="396" t="n">
        <f aca="false">G695+acc_x*pas</f>
        <v>11.4834120897955</v>
      </c>
      <c r="H696" s="398" t="n">
        <f aca="false">H695+acc_z*pas</f>
        <v>-115.40405730802</v>
      </c>
      <c r="I696" s="397" t="n">
        <f aca="false">SQRT(vit_x^2+vit_z^2)</f>
        <v>115.973984998261</v>
      </c>
      <c r="J696" s="396" t="n">
        <f aca="false">J695+0.5*(vit_x+G695)*pas*(K695&gt;=0)</f>
        <v>690.928492655337</v>
      </c>
      <c r="K696" s="398" t="n">
        <f aca="false">K695+0.5*(vit_z+H695)*pas</f>
        <v>-10.8083656538411</v>
      </c>
      <c r="L696" s="397" t="n">
        <f aca="false">SQRT(pos_x^2+pos_z^2)</f>
        <v>691.013026455423</v>
      </c>
      <c r="M696" s="396" t="n">
        <f aca="false">IF(AND(L695&gt;L_rampe,G696&gt;0),ATAN2(G696,H696),$M$4)</f>
        <v>-1.47161667013041</v>
      </c>
      <c r="N696" s="397" t="n">
        <f aca="false">DEGREES(Beta)</f>
        <v>-84.3174242595683</v>
      </c>
      <c r="P696" s="399" t="n">
        <f aca="false">MATCH(t-pas/2-T_ini,CdP_t)</f>
        <v>23</v>
      </c>
      <c r="Q696" s="397" t="n">
        <f aca="false">(INDEX(CdP,2,i_P+1)-INDEX(CdP,2,i_P+0))/(INDEX(CdP,1,i_P+1)-INDEX(CdP,1,i_P+0))*(t-pas/2-T_ini-INDEX(CdP,1,i_P+0))+INDEX(CdP,2,i_P+0)</f>
        <v>0</v>
      </c>
      <c r="R696" s="396" t="n">
        <f aca="false">Poussee/(g*ISP)</f>
        <v>0</v>
      </c>
      <c r="S696" s="398" t="n">
        <f aca="false">S695-Débit*pas</f>
        <v>8.45</v>
      </c>
      <c r="T696" s="397" t="n">
        <f aca="false">m*g</f>
        <v>82.8945</v>
      </c>
      <c r="U696" s="400" t="n">
        <f aca="false">IF(pos_xz&lt;L_rampe,Poids*COS(Beta),0)</f>
        <v>0</v>
      </c>
      <c r="V696" s="396" t="n">
        <f aca="false">Rho_moyen*(20000-Alt_rampe-pos_z)/(20000+Alt_rampe+pos_z)</f>
        <v>1.22632474070669</v>
      </c>
      <c r="W696" s="397" t="n">
        <f aca="false">1/2*Rho*Sref*Cx*vit_xz^2</f>
        <v>62.0660629370484</v>
      </c>
      <c r="Y696" s="401" t="str">
        <f aca="false">IF(AND(pos_z&lt;=0,K695&gt;0),"Impact balistique","") &amp; IF(AND(H697&lt;0,vit_z&gt;=0),"Apogée","") &amp; IF(AND(Poussee=0,Q695&gt;0),"Fin de propulsion","") &amp; IF(AND(L697&gt;L_rampe,pos_xz&lt;=L_rampe),"Sortie de rampe","")</f>
        <v/>
      </c>
      <c r="Z696" s="402" t="str">
        <f aca="false">IF(ABS(t-T_para)&lt;pas/2,"Para","")</f>
        <v/>
      </c>
      <c r="AA696" s="403" t="str">
        <f aca="false">IF(ABS(t-T_satellite)&lt;pas/2,"Satellite","")</f>
        <v/>
      </c>
      <c r="AC696" s="399" t="e">
        <f aca="false">IF(ABS(t-ROUND(t,0))&lt;0.001,t,NA())</f>
        <v>#N/A</v>
      </c>
      <c r="AD696" s="404" t="e">
        <f aca="false">IF(ABS(t-ROUND(t,0))&lt;0.001,pos_x,NA())</f>
        <v>#N/A</v>
      </c>
      <c r="AE696" s="405" t="e">
        <f aca="false">IF(t&lt;T_para, pos_z, NA())</f>
        <v>#N/A</v>
      </c>
      <c r="AG696" s="396" t="n">
        <f aca="false">IF(AND(L695&lt;L_rampe,Poussee&lt;Poids*SIN(M695)),0,(-W695+Poussee)/m-Poids*SIN(M695)/m)</f>
        <v>2.41673306269983</v>
      </c>
      <c r="AH696" s="397" t="n">
        <f aca="false">IF(AND(L695&lt;L_rampe,Poussee&lt;Poids*SIN(M695)), g*SIN(M695), (-W695+Poussee)/m)</f>
        <v>-7.34505711682881</v>
      </c>
    </row>
    <row r="697" customFormat="false" ht="12.75" hidden="false" customHeight="false" outlineLevel="0" collapsed="false">
      <c r="A697" s="396" t="n">
        <f aca="false">IF(B696+0.01&lt;=T_ini+ROUNDUP(Temps_fin_propu,0), 0.01, IF(K696&gt;0, 0.1, 0.0001))</f>
        <v>0.0001</v>
      </c>
      <c r="B697" s="397" t="n">
        <f aca="false">B696+pas</f>
        <v>32.1192000000008</v>
      </c>
      <c r="D697" s="396" t="n">
        <f aca="false">IF(AND(L696&lt;L_rampe,Poussee&lt;Poids*SIN(M696)),0,(-W696+Poussee)/m*COS(M696)-U696/m*SIN(M696))</f>
        <v>-0.727290405421475</v>
      </c>
      <c r="E697" s="398" t="n">
        <f aca="false">IF(AND(L696&lt;L_rampe,Poussee&lt;Poids*SIN(M696)),0,(-W696+Poussee)/m*SIN(M696)+U696/m*COS(M696)-Poids/m)</f>
        <v>-2.50099959397804</v>
      </c>
      <c r="F697" s="397" t="n">
        <f aca="false">SQRT(acc_x^2+acc_z^2)</f>
        <v>2.60460175514347</v>
      </c>
      <c r="G697" s="396" t="n">
        <f aca="false">G696+acc_x*pas</f>
        <v>11.483339360755</v>
      </c>
      <c r="H697" s="398" t="n">
        <f aca="false">H696+acc_z*pas</f>
        <v>-115.40430740798</v>
      </c>
      <c r="I697" s="397" t="n">
        <f aca="false">SQRT(vit_x^2+vit_z^2)</f>
        <v>115.97422666778</v>
      </c>
      <c r="J697" s="396" t="n">
        <f aca="false">J696+0.5*(vit_x+G696)*pas*(K696&gt;=0)</f>
        <v>690.928492655337</v>
      </c>
      <c r="K697" s="398" t="n">
        <f aca="false">K696+0.5*(vit_z+H696)*pas</f>
        <v>-10.8199060720769</v>
      </c>
      <c r="L697" s="397" t="n">
        <f aca="false">SQRT(pos_x^2+pos_z^2)</f>
        <v>691.013207059304</v>
      </c>
      <c r="M697" s="396" t="n">
        <f aca="false">IF(AND(L696&gt;L_rampe,G697&gt;0),ATAN2(G697,H697),$M$4)</f>
        <v>-1.4716175076942</v>
      </c>
      <c r="N697" s="397" t="n">
        <f aca="false">DEGREES(Beta)</f>
        <v>-84.3174722484384</v>
      </c>
      <c r="P697" s="399" t="n">
        <f aca="false">MATCH(t-pas/2-T_ini,CdP_t)</f>
        <v>23</v>
      </c>
      <c r="Q697" s="397" t="n">
        <f aca="false">(INDEX(CdP,2,i_P+1)-INDEX(CdP,2,i_P+0))/(INDEX(CdP,1,i_P+1)-INDEX(CdP,1,i_P+0))*(t-pas/2-T_ini-INDEX(CdP,1,i_P+0))+INDEX(CdP,2,i_P+0)</f>
        <v>0</v>
      </c>
      <c r="R697" s="396" t="n">
        <f aca="false">Poussee/(g*ISP)</f>
        <v>0</v>
      </c>
      <c r="S697" s="398" t="n">
        <f aca="false">S696-Débit*pas</f>
        <v>8.45</v>
      </c>
      <c r="T697" s="397" t="n">
        <f aca="false">m*g</f>
        <v>82.8945</v>
      </c>
      <c r="U697" s="400" t="n">
        <f aca="false">IF(pos_xz&lt;L_rampe,Poids*COS(Beta),0)</f>
        <v>0</v>
      </c>
      <c r="V697" s="396" t="n">
        <f aca="false">Rho_moyen*(20000-Alt_rampe-pos_z)/(20000+Alt_rampe+pos_z)</f>
        <v>1.22632615593796</v>
      </c>
      <c r="W697" s="397" t="n">
        <f aca="false">1/2*Rho*Sref*Cx*vit_xz^2</f>
        <v>62.0663932341706</v>
      </c>
      <c r="Y697" s="401" t="str">
        <f aca="false">IF(AND(pos_z&lt;=0,K696&gt;0),"Impact balistique","") &amp; IF(AND(H698&lt;0,vit_z&gt;=0),"Apogée","") &amp; IF(AND(Poussee=0,Q696&gt;0),"Fin de propulsion","") &amp; IF(AND(L698&gt;L_rampe,pos_xz&lt;=L_rampe),"Sortie de rampe","")</f>
        <v/>
      </c>
      <c r="Z697" s="402" t="str">
        <f aca="false">IF(ABS(t-T_para)&lt;pas/2,"Para","")</f>
        <v/>
      </c>
      <c r="AA697" s="403" t="str">
        <f aca="false">IF(ABS(t-T_satellite)&lt;pas/2,"Satellite","")</f>
        <v/>
      </c>
      <c r="AC697" s="399" t="e">
        <f aca="false">IF(ABS(t-ROUND(t,0))&lt;0.001,t,NA())</f>
        <v>#N/A</v>
      </c>
      <c r="AD697" s="404" t="e">
        <f aca="false">IF(ABS(t-ROUND(t,0))&lt;0.001,pos_x,NA())</f>
        <v>#N/A</v>
      </c>
      <c r="AE697" s="405" t="e">
        <f aca="false">IF(t&lt;T_para, pos_z, NA())</f>
        <v>#N/A</v>
      </c>
      <c r="AG697" s="396" t="n">
        <f aca="false">IF(AND(L696&lt;L_rampe,Poussee&lt;Poids*SIN(M696)),0,(-W696+Poussee)/m-Poids*SIN(M696)/m)</f>
        <v>2.41669478754714</v>
      </c>
      <c r="AH697" s="397" t="n">
        <f aca="false">IF(AND(L696&lt;L_rampe,Poussee&lt;Poids*SIN(M696)), g*SIN(M696), (-W696+Poussee)/m)</f>
        <v>-7.34509620556786</v>
      </c>
    </row>
    <row r="698" customFormat="false" ht="12.75" hidden="false" customHeight="false" outlineLevel="0" collapsed="false">
      <c r="A698" s="396" t="n">
        <f aca="false">IF(B697+0.01&lt;=T_ini+ROUNDUP(Temps_fin_propu,0), 0.01, IF(K697&gt;0, 0.1, 0.0001))</f>
        <v>0.0001</v>
      </c>
      <c r="B698" s="397" t="n">
        <f aca="false">B697+pas</f>
        <v>32.1193000000008</v>
      </c>
      <c r="D698" s="396" t="n">
        <f aca="false">IF(AND(L697&lt;L_rampe,Poussee&lt;Poids*SIN(M697)),0,(-W697+Poussee)/m*COS(M697)-U697/m*SIN(M697))</f>
        <v>-0.727288154057751</v>
      </c>
      <c r="E698" s="398" t="n">
        <f aca="false">IF(AND(L697&lt;L_rampe,Poussee&lt;Poids*SIN(M697)),0,(-W697+Poussee)/m*SIN(M697)+U697/m*COS(M697)-Poids/m)</f>
        <v>-2.50096008849953</v>
      </c>
      <c r="F698" s="397" t="n">
        <f aca="false">SQRT(acc_x^2+acc_z^2)</f>
        <v>2.60456319241832</v>
      </c>
      <c r="G698" s="396" t="n">
        <f aca="false">G697+acc_x*pas</f>
        <v>11.4832666319396</v>
      </c>
      <c r="H698" s="398" t="n">
        <f aca="false">H697+acc_z*pas</f>
        <v>-115.404557503988</v>
      </c>
      <c r="I698" s="397" t="n">
        <f aca="false">SQRT(vit_x^2+vit_z^2)</f>
        <v>115.974468333472</v>
      </c>
      <c r="J698" s="396" t="n">
        <f aca="false">J697+0.5*(vit_x+G697)*pas*(K697&gt;=0)</f>
        <v>690.928492655337</v>
      </c>
      <c r="K698" s="398" t="n">
        <f aca="false">K697+0.5*(vit_z+H697)*pas</f>
        <v>-10.8314465153225</v>
      </c>
      <c r="L698" s="397" t="n">
        <f aca="false">SQRT(pos_x^2+pos_z^2)</f>
        <v>691.013387856263</v>
      </c>
      <c r="M698" s="396" t="n">
        <f aca="false">IF(AND(L697&gt;L_rampe,G698&gt;0),ATAN2(G698,H698),$M$4)</f>
        <v>-1.47161834524919</v>
      </c>
      <c r="N698" s="397" t="n">
        <f aca="false">DEGREES(Beta)</f>
        <v>-84.3175202368045</v>
      </c>
      <c r="P698" s="399" t="n">
        <f aca="false">MATCH(t-pas/2-T_ini,CdP_t)</f>
        <v>23</v>
      </c>
      <c r="Q698" s="397" t="n">
        <f aca="false">(INDEX(CdP,2,i_P+1)-INDEX(CdP,2,i_P+0))/(INDEX(CdP,1,i_P+1)-INDEX(CdP,1,i_P+0))*(t-pas/2-T_ini-INDEX(CdP,1,i_P+0))+INDEX(CdP,2,i_P+0)</f>
        <v>0</v>
      </c>
      <c r="R698" s="396" t="n">
        <f aca="false">Poussee/(g*ISP)</f>
        <v>0</v>
      </c>
      <c r="S698" s="398" t="n">
        <f aca="false">S697-Débit*pas</f>
        <v>8.45</v>
      </c>
      <c r="T698" s="397" t="n">
        <f aca="false">m*g</f>
        <v>82.8945</v>
      </c>
      <c r="U698" s="400" t="n">
        <f aca="false">IF(pos_xz&lt;L_rampe,Poids*COS(Beta),0)</f>
        <v>0</v>
      </c>
      <c r="V698" s="396" t="n">
        <f aca="false">Rho_moyen*(20000-Alt_rampe-pos_z)/(20000+Alt_rampe+pos_z)</f>
        <v>1.22632757117394</v>
      </c>
      <c r="W698" s="397" t="n">
        <f aca="false">1/2*Rho*Sref*Cx*vit_xz^2</f>
        <v>62.0667235285701</v>
      </c>
      <c r="Y698" s="401" t="str">
        <f aca="false">IF(AND(pos_z&lt;=0,K697&gt;0),"Impact balistique","") &amp; IF(AND(H699&lt;0,vit_z&gt;=0),"Apogée","") &amp; IF(AND(Poussee=0,Q697&gt;0),"Fin de propulsion","") &amp; IF(AND(L699&gt;L_rampe,pos_xz&lt;=L_rampe),"Sortie de rampe","")</f>
        <v/>
      </c>
      <c r="Z698" s="402" t="str">
        <f aca="false">IF(ABS(t-T_para)&lt;pas/2,"Para","")</f>
        <v/>
      </c>
      <c r="AA698" s="403" t="str">
        <f aca="false">IF(ABS(t-T_satellite)&lt;pas/2,"Satellite","")</f>
        <v/>
      </c>
      <c r="AC698" s="399" t="e">
        <f aca="false">IF(ABS(t-ROUND(t,0))&lt;0.001,t,NA())</f>
        <v>#N/A</v>
      </c>
      <c r="AD698" s="404" t="e">
        <f aca="false">IF(ABS(t-ROUND(t,0))&lt;0.001,pos_x,NA())</f>
        <v>#N/A</v>
      </c>
      <c r="AE698" s="405" t="e">
        <f aca="false">IF(t&lt;T_para, pos_z, NA())</f>
        <v>#N/A</v>
      </c>
      <c r="AG698" s="396" t="n">
        <f aca="false">IF(AND(L697&lt;L_rampe,Poussee&lt;Poids*SIN(M697)),0,(-W697+Poussee)/m-Poids*SIN(M697)/m)</f>
        <v>2.41665651270127</v>
      </c>
      <c r="AH698" s="397" t="n">
        <f aca="false">IF(AND(L697&lt;L_rampe,Poussee&lt;Poids*SIN(M697)), g*SIN(M697), (-W697+Poussee)/m)</f>
        <v>-7.34513529398469</v>
      </c>
    </row>
    <row r="699" customFormat="false" ht="12.75" hidden="false" customHeight="false" outlineLevel="0" collapsed="false">
      <c r="A699" s="396" t="n">
        <f aca="false">IF(B698+0.01&lt;=T_ini+ROUNDUP(Temps_fin_propu,0), 0.01, IF(K698&gt;0, 0.1, 0.0001))</f>
        <v>0.0001</v>
      </c>
      <c r="B699" s="397" t="n">
        <f aca="false">B698+pas</f>
        <v>32.1194000000008</v>
      </c>
      <c r="D699" s="396" t="n">
        <f aca="false">IF(AND(L698&lt;L_rampe,Poussee&lt;Poids*SIN(M698)),0,(-W698+Poussee)/m*COS(M698)-U698/m*SIN(M698))</f>
        <v>-0.72728590266074</v>
      </c>
      <c r="E699" s="398" t="n">
        <f aca="false">IF(AND(L698&lt;L_rampe,Poussee&lt;Poids*SIN(M698)),0,(-W698+Poussee)/m*SIN(M698)+U698/m*COS(M698)-Poids/m)</f>
        <v>-2.5009205833467</v>
      </c>
      <c r="F699" s="397" t="n">
        <f aca="false">SQRT(acc_x^2+acc_z^2)</f>
        <v>2.6045246300268</v>
      </c>
      <c r="G699" s="396" t="n">
        <f aca="false">G698+acc_x*pas</f>
        <v>11.4831939033493</v>
      </c>
      <c r="H699" s="398" t="n">
        <f aca="false">H698+acc_z*pas</f>
        <v>-115.404807596047</v>
      </c>
      <c r="I699" s="397" t="n">
        <f aca="false">SQRT(vit_x^2+vit_z^2)</f>
        <v>115.974709995337</v>
      </c>
      <c r="J699" s="396" t="n">
        <f aca="false">J698+0.5*(vit_x+G698)*pas*(K698&gt;=0)</f>
        <v>690.928492655337</v>
      </c>
      <c r="K699" s="398" t="n">
        <f aca="false">K698+0.5*(vit_z+H698)*pas</f>
        <v>-10.8429869835775</v>
      </c>
      <c r="L699" s="397" t="n">
        <f aca="false">SQRT(pos_x^2+pos_z^2)</f>
        <v>691.013568846301</v>
      </c>
      <c r="M699" s="396" t="n">
        <f aca="false">IF(AND(L698&gt;L_rampe,G699&gt;0),ATAN2(G699,H699),$M$4)</f>
        <v>-1.47161918279539</v>
      </c>
      <c r="N699" s="397" t="n">
        <f aca="false">DEGREES(Beta)</f>
        <v>-84.3175682246668</v>
      </c>
      <c r="P699" s="399" t="n">
        <f aca="false">MATCH(t-pas/2-T_ini,CdP_t)</f>
        <v>23</v>
      </c>
      <c r="Q699" s="397" t="n">
        <f aca="false">(INDEX(CdP,2,i_P+1)-INDEX(CdP,2,i_P+0))/(INDEX(CdP,1,i_P+1)-INDEX(CdP,1,i_P+0))*(t-pas/2-T_ini-INDEX(CdP,1,i_P+0))+INDEX(CdP,2,i_P+0)</f>
        <v>0</v>
      </c>
      <c r="R699" s="396" t="n">
        <f aca="false">Poussee/(g*ISP)</f>
        <v>0</v>
      </c>
      <c r="S699" s="398" t="n">
        <f aca="false">S698-Débit*pas</f>
        <v>8.45</v>
      </c>
      <c r="T699" s="397" t="n">
        <f aca="false">m*g</f>
        <v>82.8945</v>
      </c>
      <c r="U699" s="400" t="n">
        <f aca="false">IF(pos_xz&lt;L_rampe,Poids*COS(Beta),0)</f>
        <v>0</v>
      </c>
      <c r="V699" s="396" t="n">
        <f aca="false">Rho_moyen*(20000-Alt_rampe-pos_z)/(20000+Alt_rampe+pos_z)</f>
        <v>1.22632898641461</v>
      </c>
      <c r="W699" s="397" t="n">
        <f aca="false">1/2*Rho*Sref*Cx*vit_xz^2</f>
        <v>62.0670538202468</v>
      </c>
      <c r="Y699" s="401" t="str">
        <f aca="false">IF(AND(pos_z&lt;=0,K698&gt;0),"Impact balistique","") &amp; IF(AND(H700&lt;0,vit_z&gt;=0),"Apogée","") &amp; IF(AND(Poussee=0,Q698&gt;0),"Fin de propulsion","") &amp; IF(AND(L700&gt;L_rampe,pos_xz&lt;=L_rampe),"Sortie de rampe","")</f>
        <v/>
      </c>
      <c r="Z699" s="402" t="str">
        <f aca="false">IF(ABS(t-T_para)&lt;pas/2,"Para","")</f>
        <v/>
      </c>
      <c r="AA699" s="403" t="str">
        <f aca="false">IF(ABS(t-T_satellite)&lt;pas/2,"Satellite","")</f>
        <v/>
      </c>
      <c r="AC699" s="399" t="e">
        <f aca="false">IF(ABS(t-ROUND(t,0))&lt;0.001,t,NA())</f>
        <v>#N/A</v>
      </c>
      <c r="AD699" s="404" t="e">
        <f aca="false">IF(ABS(t-ROUND(t,0))&lt;0.001,pos_x,NA())</f>
        <v>#N/A</v>
      </c>
      <c r="AE699" s="405" t="e">
        <f aca="false">IF(t&lt;T_para, pos_z, NA())</f>
        <v>#N/A</v>
      </c>
      <c r="AG699" s="396" t="n">
        <f aca="false">IF(AND(L698&lt;L_rampe,Poussee&lt;Poids*SIN(M698)),0,(-W698+Poussee)/m-Poids*SIN(M698)/m)</f>
        <v>2.41661823816223</v>
      </c>
      <c r="AH699" s="397" t="n">
        <f aca="false">IF(AND(L698&lt;L_rampe,Poussee&lt;Poids*SIN(M698)), g*SIN(M698), (-W698+Poussee)/m)</f>
        <v>-7.3451743820793</v>
      </c>
    </row>
    <row r="700" customFormat="false" ht="12.75" hidden="false" customHeight="false" outlineLevel="0" collapsed="false">
      <c r="A700" s="396" t="n">
        <f aca="false">IF(B699+0.01&lt;=T_ini+ROUNDUP(Temps_fin_propu,0), 0.01, IF(K699&gt;0, 0.1, 0.0001))</f>
        <v>0.0001</v>
      </c>
      <c r="B700" s="397" t="n">
        <f aca="false">B699+pas</f>
        <v>32.1195000000008</v>
      </c>
      <c r="D700" s="396" t="n">
        <f aca="false">IF(AND(L699&lt;L_rampe,Poussee&lt;Poids*SIN(M699)),0,(-W699+Poussee)/m*COS(M699)-U699/m*SIN(M699))</f>
        <v>-0.727283651230442</v>
      </c>
      <c r="E700" s="398" t="n">
        <f aca="false">IF(AND(L699&lt;L_rampe,Poussee&lt;Poids*SIN(M699)),0,(-W699+Poussee)/m*SIN(M699)+U699/m*COS(M699)-Poids/m)</f>
        <v>-2.50088107851954</v>
      </c>
      <c r="F700" s="397" t="n">
        <f aca="false">SQRT(acc_x^2+acc_z^2)</f>
        <v>2.60448606796891</v>
      </c>
      <c r="G700" s="396" t="n">
        <f aca="false">G699+acc_x*pas</f>
        <v>11.4831211749842</v>
      </c>
      <c r="H700" s="398" t="n">
        <f aca="false">H699+acc_z*pas</f>
        <v>-115.405057684155</v>
      </c>
      <c r="I700" s="397" t="n">
        <f aca="false">SQRT(vit_x^2+vit_z^2)</f>
        <v>115.974951653374</v>
      </c>
      <c r="J700" s="396" t="n">
        <f aca="false">J699+0.5*(vit_x+G699)*pas*(K699&gt;=0)</f>
        <v>690.928492655337</v>
      </c>
      <c r="K700" s="398" t="n">
        <f aca="false">K699+0.5*(vit_z+H699)*pas</f>
        <v>-10.8545274768415</v>
      </c>
      <c r="L700" s="397" t="n">
        <f aca="false">SQRT(pos_x^2+pos_z^2)</f>
        <v>691.01375002942</v>
      </c>
      <c r="M700" s="396" t="n">
        <f aca="false">IF(AND(L699&gt;L_rampe,G700&gt;0),ATAN2(G700,H700),$M$4)</f>
        <v>-1.47162002033279</v>
      </c>
      <c r="N700" s="397" t="n">
        <f aca="false">DEGREES(Beta)</f>
        <v>-84.3176162120251</v>
      </c>
      <c r="P700" s="399" t="n">
        <f aca="false">MATCH(t-pas/2-T_ini,CdP_t)</f>
        <v>23</v>
      </c>
      <c r="Q700" s="397" t="n">
        <f aca="false">(INDEX(CdP,2,i_P+1)-INDEX(CdP,2,i_P+0))/(INDEX(CdP,1,i_P+1)-INDEX(CdP,1,i_P+0))*(t-pas/2-T_ini-INDEX(CdP,1,i_P+0))+INDEX(CdP,2,i_P+0)</f>
        <v>0</v>
      </c>
      <c r="R700" s="396" t="n">
        <f aca="false">Poussee/(g*ISP)</f>
        <v>0</v>
      </c>
      <c r="S700" s="398" t="n">
        <f aca="false">S699-Débit*pas</f>
        <v>8.45</v>
      </c>
      <c r="T700" s="397" t="n">
        <f aca="false">m*g</f>
        <v>82.8945</v>
      </c>
      <c r="U700" s="400" t="n">
        <f aca="false">IF(pos_xz&lt;L_rampe,Poids*COS(Beta),0)</f>
        <v>0</v>
      </c>
      <c r="V700" s="396" t="n">
        <f aca="false">Rho_moyen*(20000-Alt_rampe-pos_z)/(20000+Alt_rampe+pos_z)</f>
        <v>1.22633040165998</v>
      </c>
      <c r="W700" s="397" t="n">
        <f aca="false">1/2*Rho*Sref*Cx*vit_xz^2</f>
        <v>62.0673841092007</v>
      </c>
      <c r="Y700" s="401" t="str">
        <f aca="false">IF(AND(pos_z&lt;=0,K699&gt;0),"Impact balistique","") &amp; IF(AND(H701&lt;0,vit_z&gt;=0),"Apogée","") &amp; IF(AND(Poussee=0,Q699&gt;0),"Fin de propulsion","") &amp; IF(AND(L701&gt;L_rampe,pos_xz&lt;=L_rampe),"Sortie de rampe","")</f>
        <v/>
      </c>
      <c r="Z700" s="402" t="str">
        <f aca="false">IF(ABS(t-T_para)&lt;pas/2,"Para","")</f>
        <v/>
      </c>
      <c r="AA700" s="403" t="str">
        <f aca="false">IF(ABS(t-T_satellite)&lt;pas/2,"Satellite","")</f>
        <v/>
      </c>
      <c r="AC700" s="399" t="e">
        <f aca="false">IF(ABS(t-ROUND(t,0))&lt;0.001,t,NA())</f>
        <v>#N/A</v>
      </c>
      <c r="AD700" s="404" t="e">
        <f aca="false">IF(ABS(t-ROUND(t,0))&lt;0.001,pos_x,NA())</f>
        <v>#N/A</v>
      </c>
      <c r="AE700" s="405" t="e">
        <f aca="false">IF(t&lt;T_para, pos_z, NA())</f>
        <v>#N/A</v>
      </c>
      <c r="AG700" s="396" t="n">
        <f aca="false">IF(AND(L699&lt;L_rampe,Poussee&lt;Poids*SIN(M699)),0,(-W699+Poussee)/m-Poids*SIN(M699)/m)</f>
        <v>2.41657996393003</v>
      </c>
      <c r="AH700" s="397" t="n">
        <f aca="false">IF(AND(L699&lt;L_rampe,Poussee&lt;Poids*SIN(M699)), g*SIN(M699), (-W699+Poussee)/m)</f>
        <v>-7.34521346985169</v>
      </c>
    </row>
    <row r="701" customFormat="false" ht="12.75" hidden="false" customHeight="false" outlineLevel="0" collapsed="false">
      <c r="A701" s="396" t="n">
        <f aca="false">IF(B700+0.01&lt;=T_ini+ROUNDUP(Temps_fin_propu,0), 0.01, IF(K700&gt;0, 0.1, 0.0001))</f>
        <v>0.0001</v>
      </c>
      <c r="B701" s="397" t="n">
        <f aca="false">B700+pas</f>
        <v>32.1196000000008</v>
      </c>
      <c r="D701" s="396" t="n">
        <f aca="false">IF(AND(L700&lt;L_rampe,Poussee&lt;Poids*SIN(M700)),0,(-W700+Poussee)/m*COS(M700)-U700/m*SIN(M700))</f>
        <v>-0.727281399766861</v>
      </c>
      <c r="E701" s="398" t="n">
        <f aca="false">IF(AND(L700&lt;L_rampe,Poussee&lt;Poids*SIN(M700)),0,(-W700+Poussee)/m*SIN(M700)+U700/m*COS(M700)-Poids/m)</f>
        <v>-2.50084157401807</v>
      </c>
      <c r="F701" s="397" t="n">
        <f aca="false">SQRT(acc_x^2+acc_z^2)</f>
        <v>2.60444750624466</v>
      </c>
      <c r="G701" s="396" t="n">
        <f aca="false">G700+acc_x*pas</f>
        <v>11.4830484468442</v>
      </c>
      <c r="H701" s="398" t="n">
        <f aca="false">H700+acc_z*pas</f>
        <v>-115.405307768312</v>
      </c>
      <c r="I701" s="397" t="n">
        <f aca="false">SQRT(vit_x^2+vit_z^2)</f>
        <v>115.975193307584</v>
      </c>
      <c r="J701" s="396" t="n">
        <f aca="false">J700+0.5*(vit_x+G700)*pas*(K700&gt;=0)</f>
        <v>690.928492655337</v>
      </c>
      <c r="K701" s="398" t="n">
        <f aca="false">K700+0.5*(vit_z+H700)*pas</f>
        <v>-10.8660679951142</v>
      </c>
      <c r="L701" s="397" t="n">
        <f aca="false">SQRT(pos_x^2+pos_z^2)</f>
        <v>691.01393140562</v>
      </c>
      <c r="M701" s="396" t="n">
        <f aca="false">IF(AND(L700&gt;L_rampe,G701&gt;0),ATAN2(G701,H701),$M$4)</f>
        <v>-1.47162085786139</v>
      </c>
      <c r="N701" s="397" t="n">
        <f aca="false">DEGREES(Beta)</f>
        <v>-84.3176641988795</v>
      </c>
      <c r="P701" s="399" t="n">
        <f aca="false">MATCH(t-pas/2-T_ini,CdP_t)</f>
        <v>23</v>
      </c>
      <c r="Q701" s="397" t="n">
        <f aca="false">(INDEX(CdP,2,i_P+1)-INDEX(CdP,2,i_P+0))/(INDEX(CdP,1,i_P+1)-INDEX(CdP,1,i_P+0))*(t-pas/2-T_ini-INDEX(CdP,1,i_P+0))+INDEX(CdP,2,i_P+0)</f>
        <v>0</v>
      </c>
      <c r="R701" s="396" t="n">
        <f aca="false">Poussee/(g*ISP)</f>
        <v>0</v>
      </c>
      <c r="S701" s="398" t="n">
        <f aca="false">S700-Débit*pas</f>
        <v>8.45</v>
      </c>
      <c r="T701" s="397" t="n">
        <f aca="false">m*g</f>
        <v>82.8945</v>
      </c>
      <c r="U701" s="400" t="n">
        <f aca="false">IF(pos_xz&lt;L_rampe,Poids*COS(Beta),0)</f>
        <v>0</v>
      </c>
      <c r="V701" s="396" t="n">
        <f aca="false">Rho_moyen*(20000-Alt_rampe-pos_z)/(20000+Alt_rampe+pos_z)</f>
        <v>1.22633181691006</v>
      </c>
      <c r="W701" s="397" t="n">
        <f aca="false">1/2*Rho*Sref*Cx*vit_xz^2</f>
        <v>62.0677143954318</v>
      </c>
      <c r="Y701" s="401" t="str">
        <f aca="false">IF(AND(pos_z&lt;=0,K700&gt;0),"Impact balistique","") &amp; IF(AND(H702&lt;0,vit_z&gt;=0),"Apogée","") &amp; IF(AND(Poussee=0,Q700&gt;0),"Fin de propulsion","") &amp; IF(AND(L702&gt;L_rampe,pos_xz&lt;=L_rampe),"Sortie de rampe","")</f>
        <v/>
      </c>
      <c r="Z701" s="402" t="str">
        <f aca="false">IF(ABS(t-T_para)&lt;pas/2,"Para","")</f>
        <v/>
      </c>
      <c r="AA701" s="403" t="str">
        <f aca="false">IF(ABS(t-T_satellite)&lt;pas/2,"Satellite","")</f>
        <v/>
      </c>
      <c r="AC701" s="399" t="e">
        <f aca="false">IF(ABS(t-ROUND(t,0))&lt;0.001,t,NA())</f>
        <v>#N/A</v>
      </c>
      <c r="AD701" s="404" t="e">
        <f aca="false">IF(ABS(t-ROUND(t,0))&lt;0.001,pos_x,NA())</f>
        <v>#N/A</v>
      </c>
      <c r="AE701" s="405" t="e">
        <f aca="false">IF(t&lt;T_para, pos_z, NA())</f>
        <v>#N/A</v>
      </c>
      <c r="AG701" s="396" t="n">
        <f aca="false">IF(AND(L700&lt;L_rampe,Poussee&lt;Poids*SIN(M700)),0,(-W700+Poussee)/m-Poids*SIN(M700)/m)</f>
        <v>2.41654169000466</v>
      </c>
      <c r="AH701" s="397" t="n">
        <f aca="false">IF(AND(L700&lt;L_rampe,Poussee&lt;Poids*SIN(M700)), g*SIN(M700), (-W700+Poussee)/m)</f>
        <v>-7.34525255730186</v>
      </c>
    </row>
    <row r="702" customFormat="false" ht="12.75" hidden="false" customHeight="false" outlineLevel="0" collapsed="false">
      <c r="A702" s="396" t="n">
        <f aca="false">IF(B701+0.01&lt;=T_ini+ROUNDUP(Temps_fin_propu,0), 0.01, IF(K701&gt;0, 0.1, 0.0001))</f>
        <v>0.0001</v>
      </c>
      <c r="B702" s="397" t="n">
        <f aca="false">B701+pas</f>
        <v>32.1197000000008</v>
      </c>
      <c r="D702" s="396" t="n">
        <f aca="false">IF(AND(L701&lt;L_rampe,Poussee&lt;Poids*SIN(M701)),0,(-W701+Poussee)/m*COS(M701)-U701/m*SIN(M701))</f>
        <v>-0.727279148269996</v>
      </c>
      <c r="E702" s="398" t="n">
        <f aca="false">IF(AND(L701&lt;L_rampe,Poussee&lt;Poids*SIN(M701)),0,(-W701+Poussee)/m*SIN(M701)+U701/m*COS(M701)-Poids/m)</f>
        <v>-2.50080206984228</v>
      </c>
      <c r="F702" s="397" t="n">
        <f aca="false">SQRT(acc_x^2+acc_z^2)</f>
        <v>2.60440894485405</v>
      </c>
      <c r="G702" s="396" t="n">
        <f aca="false">G701+acc_x*pas</f>
        <v>11.4829757189294</v>
      </c>
      <c r="H702" s="398" t="n">
        <f aca="false">H701+acc_z*pas</f>
        <v>-115.405557848519</v>
      </c>
      <c r="I702" s="397" t="n">
        <f aca="false">SQRT(vit_x^2+vit_z^2)</f>
        <v>115.975434957966</v>
      </c>
      <c r="J702" s="396" t="n">
        <f aca="false">J701+0.5*(vit_x+G701)*pas*(K701&gt;=0)</f>
        <v>690.928492655337</v>
      </c>
      <c r="K702" s="398" t="n">
        <f aca="false">K701+0.5*(vit_z+H701)*pas</f>
        <v>-10.877608538395</v>
      </c>
      <c r="L702" s="397" t="n">
        <f aca="false">SQRT(pos_x^2+pos_z^2)</f>
        <v>691.014112974902</v>
      </c>
      <c r="M702" s="396" t="n">
        <f aca="false">IF(AND(L701&gt;L_rampe,G702&gt;0),ATAN2(G702,H702),$M$4)</f>
        <v>-1.47162169538121</v>
      </c>
      <c r="N702" s="397" t="n">
        <f aca="false">DEGREES(Beta)</f>
        <v>-84.31771218523</v>
      </c>
      <c r="P702" s="399" t="n">
        <f aca="false">MATCH(t-pas/2-T_ini,CdP_t)</f>
        <v>23</v>
      </c>
      <c r="Q702" s="397" t="n">
        <f aca="false">(INDEX(CdP,2,i_P+1)-INDEX(CdP,2,i_P+0))/(INDEX(CdP,1,i_P+1)-INDEX(CdP,1,i_P+0))*(t-pas/2-T_ini-INDEX(CdP,1,i_P+0))+INDEX(CdP,2,i_P+0)</f>
        <v>0</v>
      </c>
      <c r="R702" s="396" t="n">
        <f aca="false">Poussee/(g*ISP)</f>
        <v>0</v>
      </c>
      <c r="S702" s="398" t="n">
        <f aca="false">S701-Débit*pas</f>
        <v>8.45</v>
      </c>
      <c r="T702" s="397" t="n">
        <f aca="false">m*g</f>
        <v>82.8945</v>
      </c>
      <c r="U702" s="400" t="n">
        <f aca="false">IF(pos_xz&lt;L_rampe,Poids*COS(Beta),0)</f>
        <v>0</v>
      </c>
      <c r="V702" s="396" t="n">
        <f aca="false">Rho_moyen*(20000-Alt_rampe-pos_z)/(20000+Alt_rampe+pos_z)</f>
        <v>1.22633323216483</v>
      </c>
      <c r="W702" s="397" t="n">
        <f aca="false">1/2*Rho*Sref*Cx*vit_xz^2</f>
        <v>62.0680446789401</v>
      </c>
      <c r="Y702" s="401" t="str">
        <f aca="false">IF(AND(pos_z&lt;=0,K701&gt;0),"Impact balistique","") &amp; IF(AND(H703&lt;0,vit_z&gt;=0),"Apogée","") &amp; IF(AND(Poussee=0,Q701&gt;0),"Fin de propulsion","") &amp; IF(AND(L703&gt;L_rampe,pos_xz&lt;=L_rampe),"Sortie de rampe","")</f>
        <v/>
      </c>
      <c r="Z702" s="402" t="str">
        <f aca="false">IF(ABS(t-T_para)&lt;pas/2,"Para","")</f>
        <v/>
      </c>
      <c r="AA702" s="403" t="str">
        <f aca="false">IF(ABS(t-T_satellite)&lt;pas/2,"Satellite","")</f>
        <v/>
      </c>
      <c r="AC702" s="399" t="e">
        <f aca="false">IF(ABS(t-ROUND(t,0))&lt;0.001,t,NA())</f>
        <v>#N/A</v>
      </c>
      <c r="AD702" s="404" t="e">
        <f aca="false">IF(ABS(t-ROUND(t,0))&lt;0.001,pos_x,NA())</f>
        <v>#N/A</v>
      </c>
      <c r="AE702" s="405" t="e">
        <f aca="false">IF(t&lt;T_para, pos_z, NA())</f>
        <v>#N/A</v>
      </c>
      <c r="AG702" s="396" t="n">
        <f aca="false">IF(AND(L701&lt;L_rampe,Poussee&lt;Poids*SIN(M701)),0,(-W701+Poussee)/m-Poids*SIN(M701)/m)</f>
        <v>2.41650341638611</v>
      </c>
      <c r="AH702" s="397" t="n">
        <f aca="false">IF(AND(L701&lt;L_rampe,Poussee&lt;Poids*SIN(M701)), g*SIN(M701), (-W701+Poussee)/m)</f>
        <v>-7.3452916444298</v>
      </c>
    </row>
    <row r="703" customFormat="false" ht="12.75" hidden="false" customHeight="false" outlineLevel="0" collapsed="false">
      <c r="A703" s="396" t="n">
        <f aca="false">IF(B702+0.01&lt;=T_ini+ROUNDUP(Temps_fin_propu,0), 0.01, IF(K702&gt;0, 0.1, 0.0001))</f>
        <v>0.0001</v>
      </c>
      <c r="B703" s="397" t="n">
        <f aca="false">B702+pas</f>
        <v>32.1198000000008</v>
      </c>
      <c r="D703" s="396" t="n">
        <f aca="false">IF(AND(L702&lt;L_rampe,Poussee&lt;Poids*SIN(M702)),0,(-W702+Poussee)/m*COS(M702)-U702/m*SIN(M702))</f>
        <v>-0.727276896739848</v>
      </c>
      <c r="E703" s="398" t="n">
        <f aca="false">IF(AND(L702&lt;L_rampe,Poussee&lt;Poids*SIN(M702)),0,(-W702+Poussee)/m*SIN(M702)+U702/m*COS(M702)-Poids/m)</f>
        <v>-2.50076256599217</v>
      </c>
      <c r="F703" s="397" t="n">
        <f aca="false">SQRT(acc_x^2+acc_z^2)</f>
        <v>2.60437038379707</v>
      </c>
      <c r="G703" s="396" t="n">
        <f aca="false">G702+acc_x*pas</f>
        <v>11.4829029912397</v>
      </c>
      <c r="H703" s="398" t="n">
        <f aca="false">H702+acc_z*pas</f>
        <v>-115.405807924776</v>
      </c>
      <c r="I703" s="397" t="n">
        <f aca="false">SQRT(vit_x^2+vit_z^2)</f>
        <v>115.975676604521</v>
      </c>
      <c r="J703" s="396" t="n">
        <f aca="false">J702+0.5*(vit_x+G702)*pas*(K702&gt;=0)</f>
        <v>690.928492655337</v>
      </c>
      <c r="K703" s="398" t="n">
        <f aca="false">K702+0.5*(vit_z+H702)*pas</f>
        <v>-10.8891491066837</v>
      </c>
      <c r="L703" s="397" t="n">
        <f aca="false">SQRT(pos_x^2+pos_z^2)</f>
        <v>691.014294737268</v>
      </c>
      <c r="M703" s="396" t="n">
        <f aca="false">IF(AND(L702&gt;L_rampe,G703&gt;0),ATAN2(G703,H703),$M$4)</f>
        <v>-1.47162253289222</v>
      </c>
      <c r="N703" s="397" t="n">
        <f aca="false">DEGREES(Beta)</f>
        <v>-84.3177601710766</v>
      </c>
      <c r="P703" s="399" t="n">
        <f aca="false">MATCH(t-pas/2-T_ini,CdP_t)</f>
        <v>23</v>
      </c>
      <c r="Q703" s="397" t="n">
        <f aca="false">(INDEX(CdP,2,i_P+1)-INDEX(CdP,2,i_P+0))/(INDEX(CdP,1,i_P+1)-INDEX(CdP,1,i_P+0))*(t-pas/2-T_ini-INDEX(CdP,1,i_P+0))+INDEX(CdP,2,i_P+0)</f>
        <v>0</v>
      </c>
      <c r="R703" s="396" t="n">
        <f aca="false">Poussee/(g*ISP)</f>
        <v>0</v>
      </c>
      <c r="S703" s="398" t="n">
        <f aca="false">S702-Débit*pas</f>
        <v>8.45</v>
      </c>
      <c r="T703" s="397" t="n">
        <f aca="false">m*g</f>
        <v>82.8945</v>
      </c>
      <c r="U703" s="400" t="n">
        <f aca="false">IF(pos_xz&lt;L_rampe,Poids*COS(Beta),0)</f>
        <v>0</v>
      </c>
      <c r="V703" s="396" t="n">
        <f aca="false">Rho_moyen*(20000-Alt_rampe-pos_z)/(20000+Alt_rampe+pos_z)</f>
        <v>1.22633464742431</v>
      </c>
      <c r="W703" s="397" t="n">
        <f aca="false">1/2*Rho*Sref*Cx*vit_xz^2</f>
        <v>62.0683749597257</v>
      </c>
      <c r="Y703" s="401" t="str">
        <f aca="false">IF(AND(pos_z&lt;=0,K702&gt;0),"Impact balistique","") &amp; IF(AND(H704&lt;0,vit_z&gt;=0),"Apogée","") &amp; IF(AND(Poussee=0,Q702&gt;0),"Fin de propulsion","") &amp; IF(AND(L704&gt;L_rampe,pos_xz&lt;=L_rampe),"Sortie de rampe","")</f>
        <v/>
      </c>
      <c r="Z703" s="402" t="str">
        <f aca="false">IF(ABS(t-T_para)&lt;pas/2,"Para","")</f>
        <v/>
      </c>
      <c r="AA703" s="403" t="str">
        <f aca="false">IF(ABS(t-T_satellite)&lt;pas/2,"Satellite","")</f>
        <v/>
      </c>
      <c r="AC703" s="399" t="e">
        <f aca="false">IF(ABS(t-ROUND(t,0))&lt;0.001,t,NA())</f>
        <v>#N/A</v>
      </c>
      <c r="AD703" s="404" t="e">
        <f aca="false">IF(ABS(t-ROUND(t,0))&lt;0.001,pos_x,NA())</f>
        <v>#N/A</v>
      </c>
      <c r="AE703" s="405" t="e">
        <f aca="false">IF(t&lt;T_para, pos_z, NA())</f>
        <v>#N/A</v>
      </c>
      <c r="AG703" s="396" t="n">
        <f aca="false">IF(AND(L702&lt;L_rampe,Poussee&lt;Poids*SIN(M702)),0,(-W702+Poussee)/m-Poids*SIN(M702)/m)</f>
        <v>2.41646514307441</v>
      </c>
      <c r="AH703" s="397" t="n">
        <f aca="false">IF(AND(L702&lt;L_rampe,Poussee&lt;Poids*SIN(M702)), g*SIN(M702), (-W702+Poussee)/m)</f>
        <v>-7.34533073123552</v>
      </c>
    </row>
    <row r="704" customFormat="false" ht="12.75" hidden="false" customHeight="false" outlineLevel="0" collapsed="false">
      <c r="A704" s="396" t="n">
        <f aca="false">IF(B703+0.01&lt;=T_ini+ROUNDUP(Temps_fin_propu,0), 0.01, IF(K703&gt;0, 0.1, 0.0001))</f>
        <v>0.0001</v>
      </c>
      <c r="B704" s="397" t="n">
        <f aca="false">B703+pas</f>
        <v>32.1199000000009</v>
      </c>
      <c r="D704" s="396" t="n">
        <f aca="false">IF(AND(L703&lt;L_rampe,Poussee&lt;Poids*SIN(M703)),0,(-W703+Poussee)/m*COS(M703)-U703/m*SIN(M703))</f>
        <v>-0.727274645176416</v>
      </c>
      <c r="E704" s="398" t="n">
        <f aca="false">IF(AND(L703&lt;L_rampe,Poussee&lt;Poids*SIN(M703)),0,(-W703+Poussee)/m*SIN(M703)+U703/m*COS(M703)-Poids/m)</f>
        <v>-2.50072306246773</v>
      </c>
      <c r="F704" s="397" t="n">
        <f aca="false">SQRT(acc_x^2+acc_z^2)</f>
        <v>2.60433182307372</v>
      </c>
      <c r="G704" s="396" t="n">
        <f aca="false">G703+acc_x*pas</f>
        <v>11.4828302637752</v>
      </c>
      <c r="H704" s="398" t="n">
        <f aca="false">H703+acc_z*pas</f>
        <v>-115.406057997082</v>
      </c>
      <c r="I704" s="397" t="n">
        <f aca="false">SQRT(vit_x^2+vit_z^2)</f>
        <v>115.975918247249</v>
      </c>
      <c r="J704" s="396" t="n">
        <f aca="false">J703+0.5*(vit_x+G703)*pas*(K703&gt;=0)</f>
        <v>690.928492655337</v>
      </c>
      <c r="K704" s="398" t="n">
        <f aca="false">K703+0.5*(vit_z+H703)*pas</f>
        <v>-10.9006896999798</v>
      </c>
      <c r="L704" s="397" t="n">
        <f aca="false">SQRT(pos_x^2+pos_z^2)</f>
        <v>691.014476692718</v>
      </c>
      <c r="M704" s="396" t="n">
        <f aca="false">IF(AND(L703&gt;L_rampe,G704&gt;0),ATAN2(G704,H704),$M$4)</f>
        <v>-1.47162337039445</v>
      </c>
      <c r="N704" s="397" t="n">
        <f aca="false">DEGREES(Beta)</f>
        <v>-84.3178081564193</v>
      </c>
      <c r="P704" s="399" t="n">
        <f aca="false">MATCH(t-pas/2-T_ini,CdP_t)</f>
        <v>23</v>
      </c>
      <c r="Q704" s="397" t="n">
        <f aca="false">(INDEX(CdP,2,i_P+1)-INDEX(CdP,2,i_P+0))/(INDEX(CdP,1,i_P+1)-INDEX(CdP,1,i_P+0))*(t-pas/2-T_ini-INDEX(CdP,1,i_P+0))+INDEX(CdP,2,i_P+0)</f>
        <v>0</v>
      </c>
      <c r="R704" s="396" t="n">
        <f aca="false">Poussee/(g*ISP)</f>
        <v>0</v>
      </c>
      <c r="S704" s="398" t="n">
        <f aca="false">S703-Débit*pas</f>
        <v>8.45</v>
      </c>
      <c r="T704" s="397" t="n">
        <f aca="false">m*g</f>
        <v>82.8945</v>
      </c>
      <c r="U704" s="400" t="n">
        <f aca="false">IF(pos_xz&lt;L_rampe,Poids*COS(Beta),0)</f>
        <v>0</v>
      </c>
      <c r="V704" s="396" t="n">
        <f aca="false">Rho_moyen*(20000-Alt_rampe-pos_z)/(20000+Alt_rampe+pos_z)</f>
        <v>1.22633606268849</v>
      </c>
      <c r="W704" s="397" t="n">
        <f aca="false">1/2*Rho*Sref*Cx*vit_xz^2</f>
        <v>62.0687052377885</v>
      </c>
      <c r="Y704" s="401" t="str">
        <f aca="false">IF(AND(pos_z&lt;=0,K703&gt;0),"Impact balistique","") &amp; IF(AND(H705&lt;0,vit_z&gt;=0),"Apogée","") &amp; IF(AND(Poussee=0,Q703&gt;0),"Fin de propulsion","") &amp; IF(AND(L705&gt;L_rampe,pos_xz&lt;=L_rampe),"Sortie de rampe","")</f>
        <v/>
      </c>
      <c r="Z704" s="402" t="str">
        <f aca="false">IF(ABS(t-T_para)&lt;pas/2,"Para","")</f>
        <v/>
      </c>
      <c r="AA704" s="403" t="str">
        <f aca="false">IF(ABS(t-T_satellite)&lt;pas/2,"Satellite","")</f>
        <v/>
      </c>
      <c r="AC704" s="399" t="e">
        <f aca="false">IF(ABS(t-ROUND(t,0))&lt;0.001,t,NA())</f>
        <v>#N/A</v>
      </c>
      <c r="AD704" s="404" t="e">
        <f aca="false">IF(ABS(t-ROUND(t,0))&lt;0.001,pos_x,NA())</f>
        <v>#N/A</v>
      </c>
      <c r="AE704" s="405" t="e">
        <f aca="false">IF(t&lt;T_para, pos_z, NA())</f>
        <v>#N/A</v>
      </c>
      <c r="AG704" s="396" t="n">
        <f aca="false">IF(AND(L703&lt;L_rampe,Poussee&lt;Poids*SIN(M703)),0,(-W703+Poussee)/m-Poids*SIN(M703)/m)</f>
        <v>2.41642687006953</v>
      </c>
      <c r="AH704" s="397" t="n">
        <f aca="false">IF(AND(L703&lt;L_rampe,Poussee&lt;Poids*SIN(M703)), g*SIN(M703), (-W703+Poussee)/m)</f>
        <v>-7.34536981771902</v>
      </c>
    </row>
    <row r="705" customFormat="false" ht="12.75" hidden="false" customHeight="false" outlineLevel="0" collapsed="false">
      <c r="A705" s="396" t="n">
        <f aca="false">IF(B704+0.01&lt;=T_ini+ROUNDUP(Temps_fin_propu,0), 0.01, IF(K704&gt;0, 0.1, 0.0001))</f>
        <v>0.0001</v>
      </c>
      <c r="B705" s="397" t="n">
        <f aca="false">B704+pas</f>
        <v>32.1200000000009</v>
      </c>
      <c r="D705" s="396" t="n">
        <f aca="false">IF(AND(L704&lt;L_rampe,Poussee&lt;Poids*SIN(M704)),0,(-W704+Poussee)/m*COS(M704)-U704/m*SIN(M704))</f>
        <v>-0.727272393579705</v>
      </c>
      <c r="E705" s="398" t="n">
        <f aca="false">IF(AND(L704&lt;L_rampe,Poussee&lt;Poids*SIN(M704)),0,(-W704+Poussee)/m*SIN(M704)+U704/m*COS(M704)-Poids/m)</f>
        <v>-2.50068355926898</v>
      </c>
      <c r="F705" s="397" t="n">
        <f aca="false">SQRT(acc_x^2+acc_z^2)</f>
        <v>2.60429326268401</v>
      </c>
      <c r="G705" s="396" t="n">
        <f aca="false">G704+acc_x*pas</f>
        <v>11.4827575365359</v>
      </c>
      <c r="H705" s="398" t="n">
        <f aca="false">H704+acc_z*pas</f>
        <v>-115.406308065438</v>
      </c>
      <c r="I705" s="397" t="n">
        <f aca="false">SQRT(vit_x^2+vit_z^2)</f>
        <v>115.976159886149</v>
      </c>
      <c r="J705" s="396" t="n">
        <f aca="false">J704+0.5*(vit_x+G704)*pas*(K704&gt;=0)</f>
        <v>690.928492655337</v>
      </c>
      <c r="K705" s="398" t="n">
        <f aca="false">K704+0.5*(vit_z+H704)*pas</f>
        <v>-10.9122303182829</v>
      </c>
      <c r="L705" s="397" t="n">
        <f aca="false">SQRT(pos_x^2+pos_z^2)</f>
        <v>691.014658841254</v>
      </c>
      <c r="M705" s="396" t="n">
        <f aca="false">IF(AND(L704&gt;L_rampe,G705&gt;0),ATAN2(G705,H705),$M$4)</f>
        <v>-1.47162420788788</v>
      </c>
      <c r="N705" s="397" t="n">
        <f aca="false">DEGREES(Beta)</f>
        <v>-84.3178561412582</v>
      </c>
      <c r="P705" s="399" t="n">
        <f aca="false">MATCH(t-pas/2-T_ini,CdP_t)</f>
        <v>23</v>
      </c>
      <c r="Q705" s="397" t="n">
        <f aca="false">(INDEX(CdP,2,i_P+1)-INDEX(CdP,2,i_P+0))/(INDEX(CdP,1,i_P+1)-INDEX(CdP,1,i_P+0))*(t-pas/2-T_ini-INDEX(CdP,1,i_P+0))+INDEX(CdP,2,i_P+0)</f>
        <v>0</v>
      </c>
      <c r="R705" s="396" t="n">
        <f aca="false">Poussee/(g*ISP)</f>
        <v>0</v>
      </c>
      <c r="S705" s="398" t="n">
        <f aca="false">S704-Débit*pas</f>
        <v>8.45</v>
      </c>
      <c r="T705" s="397" t="n">
        <f aca="false">m*g</f>
        <v>82.8945</v>
      </c>
      <c r="U705" s="400" t="n">
        <f aca="false">IF(pos_xz&lt;L_rampe,Poids*COS(Beta),0)</f>
        <v>0</v>
      </c>
      <c r="V705" s="396" t="n">
        <f aca="false">Rho_moyen*(20000-Alt_rampe-pos_z)/(20000+Alt_rampe+pos_z)</f>
        <v>1.22633747795737</v>
      </c>
      <c r="W705" s="397" t="n">
        <f aca="false">1/2*Rho*Sref*Cx*vit_xz^2</f>
        <v>62.0690355131285</v>
      </c>
      <c r="Y705" s="401" t="str">
        <f aca="false">IF(AND(pos_z&lt;=0,K704&gt;0),"Impact balistique","") &amp; IF(AND(H706&lt;0,vit_z&gt;=0),"Apogée","") &amp; IF(AND(Poussee=0,Q704&gt;0),"Fin de propulsion","") &amp; IF(AND(L706&gt;L_rampe,pos_xz&lt;=L_rampe),"Sortie de rampe","")</f>
        <v/>
      </c>
      <c r="Z705" s="402" t="str">
        <f aca="false">IF(ABS(t-T_para)&lt;pas/2,"Para","")</f>
        <v/>
      </c>
      <c r="AA705" s="403" t="str">
        <f aca="false">IF(ABS(t-T_satellite)&lt;pas/2,"Satellite","")</f>
        <v/>
      </c>
      <c r="AC705" s="399" t="e">
        <f aca="false">IF(ABS(t-ROUND(t,0))&lt;0.001,t,NA())</f>
        <v>#N/A</v>
      </c>
      <c r="AD705" s="404" t="e">
        <f aca="false">IF(ABS(t-ROUND(t,0))&lt;0.001,pos_x,NA())</f>
        <v>#N/A</v>
      </c>
      <c r="AE705" s="405" t="e">
        <f aca="false">IF(t&lt;T_para, pos_z, NA())</f>
        <v>#N/A</v>
      </c>
      <c r="AG705" s="396" t="n">
        <f aca="false">IF(AND(L704&lt;L_rampe,Poussee&lt;Poids*SIN(M704)),0,(-W704+Poussee)/m-Poids*SIN(M704)/m)</f>
        <v>2.41638859737149</v>
      </c>
      <c r="AH705" s="397" t="n">
        <f aca="false">IF(AND(L704&lt;L_rampe,Poussee&lt;Poids*SIN(M704)), g*SIN(M704), (-W704+Poussee)/m)</f>
        <v>-7.3454089038803</v>
      </c>
    </row>
    <row r="706" customFormat="false" ht="12.75" hidden="false" customHeight="false" outlineLevel="0" collapsed="false">
      <c r="A706" s="396" t="n">
        <f aca="false">IF(B705+0.01&lt;=T_ini+ROUNDUP(Temps_fin_propu,0), 0.01, IF(K705&gt;0, 0.1, 0.0001))</f>
        <v>0.0001</v>
      </c>
      <c r="B706" s="397" t="n">
        <f aca="false">B705+pas</f>
        <v>32.1201000000009</v>
      </c>
      <c r="D706" s="396" t="n">
        <f aca="false">IF(AND(L705&lt;L_rampe,Poussee&lt;Poids*SIN(M705)),0,(-W705+Poussee)/m*COS(M705)-U705/m*SIN(M705))</f>
        <v>-0.727270141949711</v>
      </c>
      <c r="E706" s="398" t="n">
        <f aca="false">IF(AND(L705&lt;L_rampe,Poussee&lt;Poids*SIN(M705)),0,(-W705+Poussee)/m*SIN(M705)+U705/m*COS(M705)-Poids/m)</f>
        <v>-2.50064405639591</v>
      </c>
      <c r="F706" s="397" t="n">
        <f aca="false">SQRT(acc_x^2+acc_z^2)</f>
        <v>2.60425470262794</v>
      </c>
      <c r="G706" s="396" t="n">
        <f aca="false">G705+acc_x*pas</f>
        <v>11.4826848095217</v>
      </c>
      <c r="H706" s="398" t="n">
        <f aca="false">H705+acc_z*pas</f>
        <v>-115.406558129843</v>
      </c>
      <c r="I706" s="397" t="n">
        <f aca="false">SQRT(vit_x^2+vit_z^2)</f>
        <v>115.976401521222</v>
      </c>
      <c r="J706" s="396" t="n">
        <f aca="false">J705+0.5*(vit_x+G705)*pas*(K705&gt;=0)</f>
        <v>690.928492655337</v>
      </c>
      <c r="K706" s="398" t="n">
        <f aca="false">K705+0.5*(vit_z+H705)*pas</f>
        <v>-10.9237709615927</v>
      </c>
      <c r="L706" s="397" t="n">
        <f aca="false">SQRT(pos_x^2+pos_z^2)</f>
        <v>691.014841182877</v>
      </c>
      <c r="M706" s="396" t="n">
        <f aca="false">IF(AND(L705&gt;L_rampe,G706&gt;0),ATAN2(G706,H706),$M$4)</f>
        <v>-1.47162504537251</v>
      </c>
      <c r="N706" s="397" t="n">
        <f aca="false">DEGREES(Beta)</f>
        <v>-84.3179041255932</v>
      </c>
      <c r="P706" s="399" t="n">
        <f aca="false">MATCH(t-pas/2-T_ini,CdP_t)</f>
        <v>23</v>
      </c>
      <c r="Q706" s="397" t="n">
        <f aca="false">(INDEX(CdP,2,i_P+1)-INDEX(CdP,2,i_P+0))/(INDEX(CdP,1,i_P+1)-INDEX(CdP,1,i_P+0))*(t-pas/2-T_ini-INDEX(CdP,1,i_P+0))+INDEX(CdP,2,i_P+0)</f>
        <v>0</v>
      </c>
      <c r="R706" s="396" t="n">
        <f aca="false">Poussee/(g*ISP)</f>
        <v>0</v>
      </c>
      <c r="S706" s="398" t="n">
        <f aca="false">S705-Débit*pas</f>
        <v>8.45</v>
      </c>
      <c r="T706" s="397" t="n">
        <f aca="false">m*g</f>
        <v>82.8945</v>
      </c>
      <c r="U706" s="400" t="n">
        <f aca="false">IF(pos_xz&lt;L_rampe,Poids*COS(Beta),0)</f>
        <v>0</v>
      </c>
      <c r="V706" s="396" t="n">
        <f aca="false">Rho_moyen*(20000-Alt_rampe-pos_z)/(20000+Alt_rampe+pos_z)</f>
        <v>1.22633889323095</v>
      </c>
      <c r="W706" s="397" t="n">
        <f aca="false">1/2*Rho*Sref*Cx*vit_xz^2</f>
        <v>62.0693657857457</v>
      </c>
      <c r="Y706" s="401" t="str">
        <f aca="false">IF(AND(pos_z&lt;=0,K705&gt;0),"Impact balistique","") &amp; IF(AND(H707&lt;0,vit_z&gt;=0),"Apogée","") &amp; IF(AND(Poussee=0,Q705&gt;0),"Fin de propulsion","") &amp; IF(AND(L707&gt;L_rampe,pos_xz&lt;=L_rampe),"Sortie de rampe","")</f>
        <v/>
      </c>
      <c r="Z706" s="402" t="str">
        <f aca="false">IF(ABS(t-T_para)&lt;pas/2,"Para","")</f>
        <v/>
      </c>
      <c r="AA706" s="403" t="str">
        <f aca="false">IF(ABS(t-T_satellite)&lt;pas/2,"Satellite","")</f>
        <v/>
      </c>
      <c r="AC706" s="399" t="e">
        <f aca="false">IF(ABS(t-ROUND(t,0))&lt;0.001,t,NA())</f>
        <v>#N/A</v>
      </c>
      <c r="AD706" s="404" t="e">
        <f aca="false">IF(ABS(t-ROUND(t,0))&lt;0.001,pos_x,NA())</f>
        <v>#N/A</v>
      </c>
      <c r="AE706" s="405" t="e">
        <f aca="false">IF(t&lt;T_para, pos_z, NA())</f>
        <v>#N/A</v>
      </c>
      <c r="AG706" s="396" t="n">
        <f aca="false">IF(AND(L705&lt;L_rampe,Poussee&lt;Poids*SIN(M705)),0,(-W705+Poussee)/m-Poids*SIN(M705)/m)</f>
        <v>2.41635032498028</v>
      </c>
      <c r="AH706" s="397" t="n">
        <f aca="false">IF(AND(L705&lt;L_rampe,Poussee&lt;Poids*SIN(M705)), g*SIN(M705), (-W705+Poussee)/m)</f>
        <v>-7.34544798971935</v>
      </c>
    </row>
    <row r="707" customFormat="false" ht="12.75" hidden="false" customHeight="false" outlineLevel="0" collapsed="false">
      <c r="A707" s="396" t="n">
        <f aca="false">IF(B706+0.01&lt;=T_ini+ROUNDUP(Temps_fin_propu,0), 0.01, IF(K706&gt;0, 0.1, 0.0001))</f>
        <v>0.0001</v>
      </c>
      <c r="B707" s="397" t="n">
        <f aca="false">B706+pas</f>
        <v>32.1202000000009</v>
      </c>
      <c r="D707" s="396" t="n">
        <f aca="false">IF(AND(L706&lt;L_rampe,Poussee&lt;Poids*SIN(M706)),0,(-W706+Poussee)/m*COS(M706)-U706/m*SIN(M706))</f>
        <v>-0.727267890286438</v>
      </c>
      <c r="E707" s="398" t="n">
        <f aca="false">IF(AND(L706&lt;L_rampe,Poussee&lt;Poids*SIN(M706)),0,(-W706+Poussee)/m*SIN(M706)+U706/m*COS(M706)-Poids/m)</f>
        <v>-2.50060455384852</v>
      </c>
      <c r="F707" s="397" t="n">
        <f aca="false">SQRT(acc_x^2+acc_z^2)</f>
        <v>2.60421614290551</v>
      </c>
      <c r="G707" s="396" t="n">
        <f aca="false">G706+acc_x*pas</f>
        <v>11.4826120827326</v>
      </c>
      <c r="H707" s="398" t="n">
        <f aca="false">H706+acc_z*pas</f>
        <v>-115.406808190299</v>
      </c>
      <c r="I707" s="397" t="n">
        <f aca="false">SQRT(vit_x^2+vit_z^2)</f>
        <v>115.976643152468</v>
      </c>
      <c r="J707" s="396" t="n">
        <f aca="false">J706+0.5*(vit_x+G706)*pas*(K706&gt;=0)</f>
        <v>690.928492655337</v>
      </c>
      <c r="K707" s="398" t="n">
        <f aca="false">K706+0.5*(vit_z+H706)*pas</f>
        <v>-10.9353116299087</v>
      </c>
      <c r="L707" s="397" t="n">
        <f aca="false">SQRT(pos_x^2+pos_z^2)</f>
        <v>691.015023717588</v>
      </c>
      <c r="M707" s="396" t="n">
        <f aca="false">IF(AND(L706&gt;L_rampe,G707&gt;0),ATAN2(G707,H707),$M$4)</f>
        <v>-1.47162588284835</v>
      </c>
      <c r="N707" s="397" t="n">
        <f aca="false">DEGREES(Beta)</f>
        <v>-84.3179521094243</v>
      </c>
      <c r="P707" s="399" t="n">
        <f aca="false">MATCH(t-pas/2-T_ini,CdP_t)</f>
        <v>23</v>
      </c>
      <c r="Q707" s="397" t="n">
        <f aca="false">(INDEX(CdP,2,i_P+1)-INDEX(CdP,2,i_P+0))/(INDEX(CdP,1,i_P+1)-INDEX(CdP,1,i_P+0))*(t-pas/2-T_ini-INDEX(CdP,1,i_P+0))+INDEX(CdP,2,i_P+0)</f>
        <v>0</v>
      </c>
      <c r="R707" s="396" t="n">
        <f aca="false">Poussee/(g*ISP)</f>
        <v>0</v>
      </c>
      <c r="S707" s="398" t="n">
        <f aca="false">S706-Débit*pas</f>
        <v>8.45</v>
      </c>
      <c r="T707" s="397" t="n">
        <f aca="false">m*g</f>
        <v>82.8945</v>
      </c>
      <c r="U707" s="400" t="n">
        <f aca="false">IF(pos_xz&lt;L_rampe,Poids*COS(Beta),0)</f>
        <v>0</v>
      </c>
      <c r="V707" s="396" t="n">
        <f aca="false">Rho_moyen*(20000-Alt_rampe-pos_z)/(20000+Alt_rampe+pos_z)</f>
        <v>1.22634030850923</v>
      </c>
      <c r="W707" s="397" t="n">
        <f aca="false">1/2*Rho*Sref*Cx*vit_xz^2</f>
        <v>62.0696960556401</v>
      </c>
      <c r="Y707" s="401" t="str">
        <f aca="false">IF(AND(pos_z&lt;=0,K706&gt;0),"Impact balistique","") &amp; IF(AND(H708&lt;0,vit_z&gt;=0),"Apogée","") &amp; IF(AND(Poussee=0,Q706&gt;0),"Fin de propulsion","") &amp; IF(AND(L708&gt;L_rampe,pos_xz&lt;=L_rampe),"Sortie de rampe","")</f>
        <v/>
      </c>
      <c r="Z707" s="402" t="str">
        <f aca="false">IF(ABS(t-T_para)&lt;pas/2,"Para","")</f>
        <v/>
      </c>
      <c r="AA707" s="403" t="str">
        <f aca="false">IF(ABS(t-T_satellite)&lt;pas/2,"Satellite","")</f>
        <v/>
      </c>
      <c r="AC707" s="399" t="e">
        <f aca="false">IF(ABS(t-ROUND(t,0))&lt;0.001,t,NA())</f>
        <v>#N/A</v>
      </c>
      <c r="AD707" s="404" t="e">
        <f aca="false">IF(ABS(t-ROUND(t,0))&lt;0.001,pos_x,NA())</f>
        <v>#N/A</v>
      </c>
      <c r="AE707" s="405" t="e">
        <f aca="false">IF(t&lt;T_para, pos_z, NA())</f>
        <v>#N/A</v>
      </c>
      <c r="AG707" s="396" t="n">
        <f aca="false">IF(AND(L706&lt;L_rampe,Poussee&lt;Poids*SIN(M706)),0,(-W706+Poussee)/m-Poids*SIN(M706)/m)</f>
        <v>2.41631205289591</v>
      </c>
      <c r="AH707" s="397" t="n">
        <f aca="false">IF(AND(L706&lt;L_rampe,Poussee&lt;Poids*SIN(M706)), g*SIN(M706), (-W706+Poussee)/m)</f>
        <v>-7.34548707523618</v>
      </c>
    </row>
    <row r="708" customFormat="false" ht="12.75" hidden="false" customHeight="false" outlineLevel="0" collapsed="false">
      <c r="A708" s="396" t="n">
        <f aca="false">IF(B707+0.01&lt;=T_ini+ROUNDUP(Temps_fin_propu,0), 0.01, IF(K707&gt;0, 0.1, 0.0001))</f>
        <v>0.0001</v>
      </c>
      <c r="B708" s="397" t="n">
        <f aca="false">B707+pas</f>
        <v>32.1203000000009</v>
      </c>
      <c r="D708" s="396" t="n">
        <f aca="false">IF(AND(L707&lt;L_rampe,Poussee&lt;Poids*SIN(M707)),0,(-W707+Poussee)/m*COS(M707)-U707/m*SIN(M707))</f>
        <v>-0.727265638589886</v>
      </c>
      <c r="E708" s="398" t="n">
        <f aca="false">IF(AND(L707&lt;L_rampe,Poussee&lt;Poids*SIN(M707)),0,(-W707+Poussee)/m*SIN(M707)+U707/m*COS(M707)-Poids/m)</f>
        <v>-2.50056505162681</v>
      </c>
      <c r="F708" s="397" t="n">
        <f aca="false">SQRT(acc_x^2+acc_z^2)</f>
        <v>2.60417758351671</v>
      </c>
      <c r="G708" s="396" t="n">
        <f aca="false">G707+acc_x*pas</f>
        <v>11.4825393561688</v>
      </c>
      <c r="H708" s="398" t="n">
        <f aca="false">H707+acc_z*pas</f>
        <v>-115.407058246804</v>
      </c>
      <c r="I708" s="397" t="n">
        <f aca="false">SQRT(vit_x^2+vit_z^2)</f>
        <v>115.976884779887</v>
      </c>
      <c r="J708" s="396" t="n">
        <f aca="false">J707+0.5*(vit_x+G707)*pas*(K707&gt;=0)</f>
        <v>690.928492655337</v>
      </c>
      <c r="K708" s="398" t="n">
        <f aca="false">K707+0.5*(vit_z+H707)*pas</f>
        <v>-10.9468523232305</v>
      </c>
      <c r="L708" s="397" t="n">
        <f aca="false">SQRT(pos_x^2+pos_z^2)</f>
        <v>691.015206445388</v>
      </c>
      <c r="M708" s="396" t="n">
        <f aca="false">IF(AND(L707&gt;L_rampe,G708&gt;0),ATAN2(G708,H708),$M$4)</f>
        <v>-1.4716267203154</v>
      </c>
      <c r="N708" s="397" t="n">
        <f aca="false">DEGREES(Beta)</f>
        <v>-84.3180000927516</v>
      </c>
      <c r="P708" s="399" t="n">
        <f aca="false">MATCH(t-pas/2-T_ini,CdP_t)</f>
        <v>23</v>
      </c>
      <c r="Q708" s="397" t="n">
        <f aca="false">(INDEX(CdP,2,i_P+1)-INDEX(CdP,2,i_P+0))/(INDEX(CdP,1,i_P+1)-INDEX(CdP,1,i_P+0))*(t-pas/2-T_ini-INDEX(CdP,1,i_P+0))+INDEX(CdP,2,i_P+0)</f>
        <v>0</v>
      </c>
      <c r="R708" s="396" t="n">
        <f aca="false">Poussee/(g*ISP)</f>
        <v>0</v>
      </c>
      <c r="S708" s="398" t="n">
        <f aca="false">S707-Débit*pas</f>
        <v>8.45</v>
      </c>
      <c r="T708" s="397" t="n">
        <f aca="false">m*g</f>
        <v>82.8945</v>
      </c>
      <c r="U708" s="400" t="n">
        <f aca="false">IF(pos_xz&lt;L_rampe,Poids*COS(Beta),0)</f>
        <v>0</v>
      </c>
      <c r="V708" s="396" t="n">
        <f aca="false">Rho_moyen*(20000-Alt_rampe-pos_z)/(20000+Alt_rampe+pos_z)</f>
        <v>1.22634172379221</v>
      </c>
      <c r="W708" s="397" t="n">
        <f aca="false">1/2*Rho*Sref*Cx*vit_xz^2</f>
        <v>62.0700263228117</v>
      </c>
      <c r="Y708" s="401" t="str">
        <f aca="false">IF(AND(pos_z&lt;=0,K707&gt;0),"Impact balistique","") &amp; IF(AND(H709&lt;0,vit_z&gt;=0),"Apogée","") &amp; IF(AND(Poussee=0,Q707&gt;0),"Fin de propulsion","") &amp; IF(AND(L709&gt;L_rampe,pos_xz&lt;=L_rampe),"Sortie de rampe","")</f>
        <v/>
      </c>
      <c r="Z708" s="402" t="str">
        <f aca="false">IF(ABS(t-T_para)&lt;pas/2,"Para","")</f>
        <v/>
      </c>
      <c r="AA708" s="403" t="str">
        <f aca="false">IF(ABS(t-T_satellite)&lt;pas/2,"Satellite","")</f>
        <v/>
      </c>
      <c r="AC708" s="399" t="e">
        <f aca="false">IF(ABS(t-ROUND(t,0))&lt;0.001,t,NA())</f>
        <v>#N/A</v>
      </c>
      <c r="AD708" s="404" t="e">
        <f aca="false">IF(ABS(t-ROUND(t,0))&lt;0.001,pos_x,NA())</f>
        <v>#N/A</v>
      </c>
      <c r="AE708" s="405" t="e">
        <f aca="false">IF(t&lt;T_para, pos_z, NA())</f>
        <v>#N/A</v>
      </c>
      <c r="AG708" s="396" t="n">
        <f aca="false">IF(AND(L707&lt;L_rampe,Poussee&lt;Poids*SIN(M707)),0,(-W707+Poussee)/m-Poids*SIN(M707)/m)</f>
        <v>2.41627378111838</v>
      </c>
      <c r="AH708" s="397" t="n">
        <f aca="false">IF(AND(L707&lt;L_rampe,Poussee&lt;Poids*SIN(M707)), g*SIN(M707), (-W707+Poussee)/m)</f>
        <v>-7.34552616043078</v>
      </c>
    </row>
    <row r="709" customFormat="false" ht="12.75" hidden="false" customHeight="false" outlineLevel="0" collapsed="false">
      <c r="A709" s="396" t="n">
        <f aca="false">IF(B708+0.01&lt;=T_ini+ROUNDUP(Temps_fin_propu,0), 0.01, IF(K708&gt;0, 0.1, 0.0001))</f>
        <v>0.0001</v>
      </c>
      <c r="B709" s="397" t="n">
        <f aca="false">B708+pas</f>
        <v>32.1204000000009</v>
      </c>
      <c r="D709" s="396" t="n">
        <f aca="false">IF(AND(L708&lt;L_rampe,Poussee&lt;Poids*SIN(M708)),0,(-W708+Poussee)/m*COS(M708)-U708/m*SIN(M708))</f>
        <v>-0.727263386860057</v>
      </c>
      <c r="E709" s="398" t="n">
        <f aca="false">IF(AND(L708&lt;L_rampe,Poussee&lt;Poids*SIN(M708)),0,(-W708+Poussee)/m*SIN(M708)+U708/m*COS(M708)-Poids/m)</f>
        <v>-2.50052554973078</v>
      </c>
      <c r="F709" s="397" t="n">
        <f aca="false">SQRT(acc_x^2+acc_z^2)</f>
        <v>2.60413902446156</v>
      </c>
      <c r="G709" s="396" t="n">
        <f aca="false">G708+acc_x*pas</f>
        <v>11.4824666298301</v>
      </c>
      <c r="H709" s="398" t="n">
        <f aca="false">H708+acc_z*pas</f>
        <v>-115.407308299359</v>
      </c>
      <c r="I709" s="397" t="n">
        <f aca="false">SQRT(vit_x^2+vit_z^2)</f>
        <v>115.977126403479</v>
      </c>
      <c r="J709" s="396" t="n">
        <f aca="false">J708+0.5*(vit_x+G708)*pas*(K708&gt;=0)</f>
        <v>690.928492655337</v>
      </c>
      <c r="K709" s="398" t="n">
        <f aca="false">K708+0.5*(vit_z+H708)*pas</f>
        <v>-10.9583930415578</v>
      </c>
      <c r="L709" s="397" t="n">
        <f aca="false">SQRT(pos_x^2+pos_z^2)</f>
        <v>691.015389366278</v>
      </c>
      <c r="M709" s="396" t="n">
        <f aca="false">IF(AND(L708&gt;L_rampe,G709&gt;0),ATAN2(G709,H709),$M$4)</f>
        <v>-1.47162755777365</v>
      </c>
      <c r="N709" s="397" t="n">
        <f aca="false">DEGREES(Beta)</f>
        <v>-84.318048075575</v>
      </c>
      <c r="P709" s="399" t="n">
        <f aca="false">MATCH(t-pas/2-T_ini,CdP_t)</f>
        <v>23</v>
      </c>
      <c r="Q709" s="397" t="n">
        <f aca="false">(INDEX(CdP,2,i_P+1)-INDEX(CdP,2,i_P+0))/(INDEX(CdP,1,i_P+1)-INDEX(CdP,1,i_P+0))*(t-pas/2-T_ini-INDEX(CdP,1,i_P+0))+INDEX(CdP,2,i_P+0)</f>
        <v>0</v>
      </c>
      <c r="R709" s="396" t="n">
        <f aca="false">Poussee/(g*ISP)</f>
        <v>0</v>
      </c>
      <c r="S709" s="398" t="n">
        <f aca="false">S708-Débit*pas</f>
        <v>8.45</v>
      </c>
      <c r="T709" s="397" t="n">
        <f aca="false">m*g</f>
        <v>82.8945</v>
      </c>
      <c r="U709" s="400" t="n">
        <f aca="false">IF(pos_xz&lt;L_rampe,Poids*COS(Beta),0)</f>
        <v>0</v>
      </c>
      <c r="V709" s="396" t="n">
        <f aca="false">Rho_moyen*(20000-Alt_rampe-pos_z)/(20000+Alt_rampe+pos_z)</f>
        <v>1.22634313907989</v>
      </c>
      <c r="W709" s="397" t="n">
        <f aca="false">1/2*Rho*Sref*Cx*vit_xz^2</f>
        <v>62.0703565872605</v>
      </c>
      <c r="Y709" s="401" t="str">
        <f aca="false">IF(AND(pos_z&lt;=0,K708&gt;0),"Impact balistique","") &amp; IF(AND(H710&lt;0,vit_z&gt;=0),"Apogée","") &amp; IF(AND(Poussee=0,Q708&gt;0),"Fin de propulsion","") &amp; IF(AND(L710&gt;L_rampe,pos_xz&lt;=L_rampe),"Sortie de rampe","")</f>
        <v/>
      </c>
      <c r="Z709" s="402" t="str">
        <f aca="false">IF(ABS(t-T_para)&lt;pas/2,"Para","")</f>
        <v/>
      </c>
      <c r="AA709" s="403" t="str">
        <f aca="false">IF(ABS(t-T_satellite)&lt;pas/2,"Satellite","")</f>
        <v/>
      </c>
      <c r="AC709" s="399" t="e">
        <f aca="false">IF(ABS(t-ROUND(t,0))&lt;0.001,t,NA())</f>
        <v>#N/A</v>
      </c>
      <c r="AD709" s="404" t="e">
        <f aca="false">IF(ABS(t-ROUND(t,0))&lt;0.001,pos_x,NA())</f>
        <v>#N/A</v>
      </c>
      <c r="AE709" s="405" t="e">
        <f aca="false">IF(t&lt;T_para, pos_z, NA())</f>
        <v>#N/A</v>
      </c>
      <c r="AG709" s="396" t="n">
        <f aca="false">IF(AND(L708&lt;L_rampe,Poussee&lt;Poids*SIN(M708)),0,(-W708+Poussee)/m-Poids*SIN(M708)/m)</f>
        <v>2.41623550964768</v>
      </c>
      <c r="AH709" s="397" t="n">
        <f aca="false">IF(AND(L708&lt;L_rampe,Poussee&lt;Poids*SIN(M708)), g*SIN(M708), (-W708+Poussee)/m)</f>
        <v>-7.34556524530316</v>
      </c>
    </row>
    <row r="710" customFormat="false" ht="12.75" hidden="false" customHeight="false" outlineLevel="0" collapsed="false">
      <c r="A710" s="396" t="n">
        <f aca="false">IF(B709+0.01&lt;=T_ini+ROUNDUP(Temps_fin_propu,0), 0.01, IF(K709&gt;0, 0.1, 0.0001))</f>
        <v>0.0001</v>
      </c>
      <c r="B710" s="397" t="n">
        <f aca="false">B709+pas</f>
        <v>32.1205000000009</v>
      </c>
      <c r="D710" s="396" t="n">
        <f aca="false">IF(AND(L709&lt;L_rampe,Poussee&lt;Poids*SIN(M709)),0,(-W709+Poussee)/m*COS(M709)-U709/m*SIN(M709))</f>
        <v>-0.727261135096948</v>
      </c>
      <c r="E710" s="398" t="n">
        <f aca="false">IF(AND(L709&lt;L_rampe,Poussee&lt;Poids*SIN(M709)),0,(-W709+Poussee)/m*SIN(M709)+U709/m*COS(M709)-Poids/m)</f>
        <v>-2.50048604816044</v>
      </c>
      <c r="F710" s="397" t="n">
        <f aca="false">SQRT(acc_x^2+acc_z^2)</f>
        <v>2.60410046574005</v>
      </c>
      <c r="G710" s="396" t="n">
        <f aca="false">G709+acc_x*pas</f>
        <v>11.4823939037166</v>
      </c>
      <c r="H710" s="398" t="n">
        <f aca="false">H709+acc_z*pas</f>
        <v>-115.407558347964</v>
      </c>
      <c r="I710" s="397" t="n">
        <f aca="false">SQRT(vit_x^2+vit_z^2)</f>
        <v>115.977368023243</v>
      </c>
      <c r="J710" s="396" t="n">
        <f aca="false">J709+0.5*(vit_x+G709)*pas*(K709&gt;=0)</f>
        <v>690.928492655337</v>
      </c>
      <c r="K710" s="398" t="n">
        <f aca="false">K709+0.5*(vit_z+H709)*pas</f>
        <v>-10.9699337848902</v>
      </c>
      <c r="L710" s="397" t="n">
        <f aca="false">SQRT(pos_x^2+pos_z^2)</f>
        <v>691.015572480259</v>
      </c>
      <c r="M710" s="396" t="n">
        <f aca="false">IF(AND(L709&gt;L_rampe,G710&gt;0),ATAN2(G710,H710),$M$4)</f>
        <v>-1.47162839522311</v>
      </c>
      <c r="N710" s="397" t="n">
        <f aca="false">DEGREES(Beta)</f>
        <v>-84.3180960578946</v>
      </c>
      <c r="P710" s="399" t="n">
        <f aca="false">MATCH(t-pas/2-T_ini,CdP_t)</f>
        <v>23</v>
      </c>
      <c r="Q710" s="397" t="n">
        <f aca="false">(INDEX(CdP,2,i_P+1)-INDEX(CdP,2,i_P+0))/(INDEX(CdP,1,i_P+1)-INDEX(CdP,1,i_P+0))*(t-pas/2-T_ini-INDEX(CdP,1,i_P+0))+INDEX(CdP,2,i_P+0)</f>
        <v>0</v>
      </c>
      <c r="R710" s="396" t="n">
        <f aca="false">Poussee/(g*ISP)</f>
        <v>0</v>
      </c>
      <c r="S710" s="398" t="n">
        <f aca="false">S709-Débit*pas</f>
        <v>8.45</v>
      </c>
      <c r="T710" s="397" t="n">
        <f aca="false">m*g</f>
        <v>82.8945</v>
      </c>
      <c r="U710" s="400" t="n">
        <f aca="false">IF(pos_xz&lt;L_rampe,Poids*COS(Beta),0)</f>
        <v>0</v>
      </c>
      <c r="V710" s="396" t="n">
        <f aca="false">Rho_moyen*(20000-Alt_rampe-pos_z)/(20000+Alt_rampe+pos_z)</f>
        <v>1.22634455437227</v>
      </c>
      <c r="W710" s="397" t="n">
        <f aca="false">1/2*Rho*Sref*Cx*vit_xz^2</f>
        <v>62.0706868489864</v>
      </c>
      <c r="Y710" s="401" t="str">
        <f aca="false">IF(AND(pos_z&lt;=0,K709&gt;0),"Impact balistique","") &amp; IF(AND(H711&lt;0,vit_z&gt;=0),"Apogée","") &amp; IF(AND(Poussee=0,Q709&gt;0),"Fin de propulsion","") &amp; IF(AND(L711&gt;L_rampe,pos_xz&lt;=L_rampe),"Sortie de rampe","")</f>
        <v/>
      </c>
      <c r="Z710" s="402" t="str">
        <f aca="false">IF(ABS(t-T_para)&lt;pas/2,"Para","")</f>
        <v/>
      </c>
      <c r="AA710" s="403" t="str">
        <f aca="false">IF(ABS(t-T_satellite)&lt;pas/2,"Satellite","")</f>
        <v/>
      </c>
      <c r="AC710" s="399" t="e">
        <f aca="false">IF(ABS(t-ROUND(t,0))&lt;0.001,t,NA())</f>
        <v>#N/A</v>
      </c>
      <c r="AD710" s="404" t="e">
        <f aca="false">IF(ABS(t-ROUND(t,0))&lt;0.001,pos_x,NA())</f>
        <v>#N/A</v>
      </c>
      <c r="AE710" s="405" t="e">
        <f aca="false">IF(t&lt;T_para, pos_z, NA())</f>
        <v>#N/A</v>
      </c>
      <c r="AG710" s="396" t="n">
        <f aca="false">IF(AND(L709&lt;L_rampe,Poussee&lt;Poids*SIN(M709)),0,(-W709+Poussee)/m-Poids*SIN(M709)/m)</f>
        <v>2.41619723848383</v>
      </c>
      <c r="AH710" s="397" t="n">
        <f aca="false">IF(AND(L709&lt;L_rampe,Poussee&lt;Poids*SIN(M709)), g*SIN(M709), (-W709+Poussee)/m)</f>
        <v>-7.34560432985331</v>
      </c>
    </row>
    <row r="711" customFormat="false" ht="12.75" hidden="false" customHeight="false" outlineLevel="0" collapsed="false">
      <c r="A711" s="396" t="n">
        <f aca="false">IF(B710+0.01&lt;=T_ini+ROUNDUP(Temps_fin_propu,0), 0.01, IF(K710&gt;0, 0.1, 0.0001))</f>
        <v>0.0001</v>
      </c>
      <c r="B711" s="397" t="n">
        <f aca="false">B710+pas</f>
        <v>32.1206000000009</v>
      </c>
      <c r="D711" s="396" t="n">
        <f aca="false">IF(AND(L710&lt;L_rampe,Poussee&lt;Poids*SIN(M710)),0,(-W710+Poussee)/m*COS(M710)-U710/m*SIN(M710))</f>
        <v>-0.727258883300562</v>
      </c>
      <c r="E711" s="398" t="n">
        <f aca="false">IF(AND(L710&lt;L_rampe,Poussee&lt;Poids*SIN(M710)),0,(-W710+Poussee)/m*SIN(M710)+U710/m*COS(M710)-Poids/m)</f>
        <v>-2.50044654691578</v>
      </c>
      <c r="F711" s="397" t="n">
        <f aca="false">SQRT(acc_x^2+acc_z^2)</f>
        <v>2.60406190735218</v>
      </c>
      <c r="G711" s="396" t="n">
        <f aca="false">G710+acc_x*pas</f>
        <v>11.4823211778282</v>
      </c>
      <c r="H711" s="398" t="n">
        <f aca="false">H710+acc_z*pas</f>
        <v>-115.407808392618</v>
      </c>
      <c r="I711" s="397" t="n">
        <f aca="false">SQRT(vit_x^2+vit_z^2)</f>
        <v>115.97760963918</v>
      </c>
      <c r="J711" s="396" t="n">
        <f aca="false">J710+0.5*(vit_x+G710)*pas*(K710&gt;=0)</f>
        <v>690.928492655337</v>
      </c>
      <c r="K711" s="398" t="n">
        <f aca="false">K710+0.5*(vit_z+H710)*pas</f>
        <v>-10.9814745532272</v>
      </c>
      <c r="L711" s="397" t="n">
        <f aca="false">SQRT(pos_x^2+pos_z^2)</f>
        <v>691.015755787333</v>
      </c>
      <c r="M711" s="396" t="n">
        <f aca="false">IF(AND(L710&gt;L_rampe,G711&gt;0),ATAN2(G711,H711),$M$4)</f>
        <v>-1.47162923266378</v>
      </c>
      <c r="N711" s="397" t="n">
        <f aca="false">DEGREES(Beta)</f>
        <v>-84.3181440397104</v>
      </c>
      <c r="P711" s="399" t="n">
        <f aca="false">MATCH(t-pas/2-T_ini,CdP_t)</f>
        <v>23</v>
      </c>
      <c r="Q711" s="397" t="n">
        <f aca="false">(INDEX(CdP,2,i_P+1)-INDEX(CdP,2,i_P+0))/(INDEX(CdP,1,i_P+1)-INDEX(CdP,1,i_P+0))*(t-pas/2-T_ini-INDEX(CdP,1,i_P+0))+INDEX(CdP,2,i_P+0)</f>
        <v>0</v>
      </c>
      <c r="R711" s="396" t="n">
        <f aca="false">Poussee/(g*ISP)</f>
        <v>0</v>
      </c>
      <c r="S711" s="398" t="n">
        <f aca="false">S710-Débit*pas</f>
        <v>8.45</v>
      </c>
      <c r="T711" s="397" t="n">
        <f aca="false">m*g</f>
        <v>82.8945</v>
      </c>
      <c r="U711" s="400" t="n">
        <f aca="false">IF(pos_xz&lt;L_rampe,Poids*COS(Beta),0)</f>
        <v>0</v>
      </c>
      <c r="V711" s="396" t="n">
        <f aca="false">Rho_moyen*(20000-Alt_rampe-pos_z)/(20000+Alt_rampe+pos_z)</f>
        <v>1.22634596966935</v>
      </c>
      <c r="W711" s="397" t="n">
        <f aca="false">1/2*Rho*Sref*Cx*vit_xz^2</f>
        <v>62.0710171079896</v>
      </c>
      <c r="Y711" s="401" t="str">
        <f aca="false">IF(AND(pos_z&lt;=0,K710&gt;0),"Impact balistique","") &amp; IF(AND(H712&lt;0,vit_z&gt;=0),"Apogée","") &amp; IF(AND(Poussee=0,Q710&gt;0),"Fin de propulsion","") &amp; IF(AND(L712&gt;L_rampe,pos_xz&lt;=L_rampe),"Sortie de rampe","")</f>
        <v/>
      </c>
      <c r="Z711" s="402" t="str">
        <f aca="false">IF(ABS(t-T_para)&lt;pas/2,"Para","")</f>
        <v/>
      </c>
      <c r="AA711" s="403" t="str">
        <f aca="false">IF(ABS(t-T_satellite)&lt;pas/2,"Satellite","")</f>
        <v/>
      </c>
      <c r="AC711" s="399" t="e">
        <f aca="false">IF(ABS(t-ROUND(t,0))&lt;0.001,t,NA())</f>
        <v>#N/A</v>
      </c>
      <c r="AD711" s="404" t="e">
        <f aca="false">IF(ABS(t-ROUND(t,0))&lt;0.001,pos_x,NA())</f>
        <v>#N/A</v>
      </c>
      <c r="AE711" s="405" t="e">
        <f aca="false">IF(t&lt;T_para, pos_z, NA())</f>
        <v>#N/A</v>
      </c>
      <c r="AG711" s="396" t="n">
        <f aca="false">IF(AND(L710&lt;L_rampe,Poussee&lt;Poids*SIN(M710)),0,(-W710+Poussee)/m-Poids*SIN(M710)/m)</f>
        <v>2.41615896762681</v>
      </c>
      <c r="AH711" s="397" t="n">
        <f aca="false">IF(AND(L710&lt;L_rampe,Poussee&lt;Poids*SIN(M710)), g*SIN(M710), (-W710+Poussee)/m)</f>
        <v>-7.34564341408123</v>
      </c>
    </row>
    <row r="712" customFormat="false" ht="12.75" hidden="false" customHeight="false" outlineLevel="0" collapsed="false">
      <c r="A712" s="396" t="n">
        <f aca="false">IF(B711+0.01&lt;=T_ini+ROUNDUP(Temps_fin_propu,0), 0.01, IF(K711&gt;0, 0.1, 0.0001))</f>
        <v>0.0001</v>
      </c>
      <c r="B712" s="397" t="n">
        <f aca="false">B711+pas</f>
        <v>32.1207000000009</v>
      </c>
      <c r="D712" s="396" t="n">
        <f aca="false">IF(AND(L711&lt;L_rampe,Poussee&lt;Poids*SIN(M711)),0,(-W711+Poussee)/m*COS(M711)-U711/m*SIN(M711))</f>
        <v>-0.727256631470903</v>
      </c>
      <c r="E712" s="398" t="n">
        <f aca="false">IF(AND(L711&lt;L_rampe,Poussee&lt;Poids*SIN(M711)),0,(-W711+Poussee)/m*SIN(M711)+U711/m*COS(M711)-Poids/m)</f>
        <v>-2.50040704599681</v>
      </c>
      <c r="F712" s="397" t="n">
        <f aca="false">SQRT(acc_x^2+acc_z^2)</f>
        <v>2.60402334929794</v>
      </c>
      <c r="G712" s="396" t="n">
        <f aca="false">G711+acc_x*pas</f>
        <v>11.4822484521651</v>
      </c>
      <c r="H712" s="398" t="n">
        <f aca="false">H711+acc_z*pas</f>
        <v>-115.408058433323</v>
      </c>
      <c r="I712" s="397" t="n">
        <f aca="false">SQRT(vit_x^2+vit_z^2)</f>
        <v>115.977851251291</v>
      </c>
      <c r="J712" s="396" t="n">
        <f aca="false">J711+0.5*(vit_x+G711)*pas*(K711&gt;=0)</f>
        <v>690.928492655337</v>
      </c>
      <c r="K712" s="398" t="n">
        <f aca="false">K711+0.5*(vit_z+H711)*pas</f>
        <v>-10.9930153465685</v>
      </c>
      <c r="L712" s="397" t="n">
        <f aca="false">SQRT(pos_x^2+pos_z^2)</f>
        <v>691.0159392875</v>
      </c>
      <c r="M712" s="396" t="n">
        <f aca="false">IF(AND(L711&gt;L_rampe,G712&gt;0),ATAN2(G712,H712),$M$4)</f>
        <v>-1.47163007009565</v>
      </c>
      <c r="N712" s="397" t="n">
        <f aca="false">DEGREES(Beta)</f>
        <v>-84.3181920210223</v>
      </c>
      <c r="P712" s="399" t="n">
        <f aca="false">MATCH(t-pas/2-T_ini,CdP_t)</f>
        <v>23</v>
      </c>
      <c r="Q712" s="397" t="n">
        <f aca="false">(INDEX(CdP,2,i_P+1)-INDEX(CdP,2,i_P+0))/(INDEX(CdP,1,i_P+1)-INDEX(CdP,1,i_P+0))*(t-pas/2-T_ini-INDEX(CdP,1,i_P+0))+INDEX(CdP,2,i_P+0)</f>
        <v>0</v>
      </c>
      <c r="R712" s="396" t="n">
        <f aca="false">Poussee/(g*ISP)</f>
        <v>0</v>
      </c>
      <c r="S712" s="398" t="n">
        <f aca="false">S711-Débit*pas</f>
        <v>8.45</v>
      </c>
      <c r="T712" s="397" t="n">
        <f aca="false">m*g</f>
        <v>82.8945</v>
      </c>
      <c r="U712" s="400" t="n">
        <f aca="false">IF(pos_xz&lt;L_rampe,Poids*COS(Beta),0)</f>
        <v>0</v>
      </c>
      <c r="V712" s="396" t="n">
        <f aca="false">Rho_moyen*(20000-Alt_rampe-pos_z)/(20000+Alt_rampe+pos_z)</f>
        <v>1.22634738497114</v>
      </c>
      <c r="W712" s="397" t="n">
        <f aca="false">1/2*Rho*Sref*Cx*vit_xz^2</f>
        <v>62.0713473642699</v>
      </c>
      <c r="Y712" s="401" t="str">
        <f aca="false">IF(AND(pos_z&lt;=0,K711&gt;0),"Impact balistique","") &amp; IF(AND(H713&lt;0,vit_z&gt;=0),"Apogée","") &amp; IF(AND(Poussee=0,Q711&gt;0),"Fin de propulsion","") &amp; IF(AND(L713&gt;L_rampe,pos_xz&lt;=L_rampe),"Sortie de rampe","")</f>
        <v/>
      </c>
      <c r="Z712" s="402" t="str">
        <f aca="false">IF(ABS(t-T_para)&lt;pas/2,"Para","")</f>
        <v/>
      </c>
      <c r="AA712" s="403" t="str">
        <f aca="false">IF(ABS(t-T_satellite)&lt;pas/2,"Satellite","")</f>
        <v/>
      </c>
      <c r="AC712" s="399" t="e">
        <f aca="false">IF(ABS(t-ROUND(t,0))&lt;0.001,t,NA())</f>
        <v>#N/A</v>
      </c>
      <c r="AD712" s="404" t="e">
        <f aca="false">IF(ABS(t-ROUND(t,0))&lt;0.001,pos_x,NA())</f>
        <v>#N/A</v>
      </c>
      <c r="AE712" s="405" t="e">
        <f aca="false">IF(t&lt;T_para, pos_z, NA())</f>
        <v>#N/A</v>
      </c>
      <c r="AG712" s="396" t="n">
        <f aca="false">IF(AND(L711&lt;L_rampe,Poussee&lt;Poids*SIN(M711)),0,(-W711+Poussee)/m-Poids*SIN(M711)/m)</f>
        <v>2.41612069707663</v>
      </c>
      <c r="AH712" s="397" t="n">
        <f aca="false">IF(AND(L711&lt;L_rampe,Poussee&lt;Poids*SIN(M711)), g*SIN(M711), (-W711+Poussee)/m)</f>
        <v>-7.34568249798693</v>
      </c>
    </row>
    <row r="713" customFormat="false" ht="12.75" hidden="false" customHeight="false" outlineLevel="0" collapsed="false">
      <c r="A713" s="396" t="n">
        <f aca="false">IF(B712+0.01&lt;=T_ini+ROUNDUP(Temps_fin_propu,0), 0.01, IF(K712&gt;0, 0.1, 0.0001))</f>
        <v>0.0001</v>
      </c>
      <c r="B713" s="397" t="n">
        <f aca="false">B712+pas</f>
        <v>32.1208000000009</v>
      </c>
      <c r="D713" s="396" t="n">
        <f aca="false">IF(AND(L712&lt;L_rampe,Poussee&lt;Poids*SIN(M712)),0,(-W712+Poussee)/m*COS(M712)-U712/m*SIN(M712))</f>
        <v>-0.727254379607967</v>
      </c>
      <c r="E713" s="398" t="n">
        <f aca="false">IF(AND(L712&lt;L_rampe,Poussee&lt;Poids*SIN(M712)),0,(-W712+Poussee)/m*SIN(M712)+U712/m*COS(M712)-Poids/m)</f>
        <v>-2.50036754540352</v>
      </c>
      <c r="F713" s="397" t="n">
        <f aca="false">SQRT(acc_x^2+acc_z^2)</f>
        <v>2.60398479157736</v>
      </c>
      <c r="G713" s="396" t="n">
        <f aca="false">G712+acc_x*pas</f>
        <v>11.4821757267271</v>
      </c>
      <c r="H713" s="398" t="n">
        <f aca="false">H712+acc_z*pas</f>
        <v>-115.408308470078</v>
      </c>
      <c r="I713" s="397" t="n">
        <f aca="false">SQRT(vit_x^2+vit_z^2)</f>
        <v>115.978092859574</v>
      </c>
      <c r="J713" s="396" t="n">
        <f aca="false">J712+0.5*(vit_x+G712)*pas*(K712&gt;=0)</f>
        <v>690.928492655337</v>
      </c>
      <c r="K713" s="398" t="n">
        <f aca="false">K712+0.5*(vit_z+H712)*pas</f>
        <v>-11.0045561649137</v>
      </c>
      <c r="L713" s="397" t="n">
        <f aca="false">SQRT(pos_x^2+pos_z^2)</f>
        <v>691.016122980761</v>
      </c>
      <c r="M713" s="396" t="n">
        <f aca="false">IF(AND(L712&gt;L_rampe,G713&gt;0),ATAN2(G713,H713),$M$4)</f>
        <v>-1.47163090751873</v>
      </c>
      <c r="N713" s="397" t="n">
        <f aca="false">DEGREES(Beta)</f>
        <v>-84.3182400018305</v>
      </c>
      <c r="P713" s="399" t="n">
        <f aca="false">MATCH(t-pas/2-T_ini,CdP_t)</f>
        <v>23</v>
      </c>
      <c r="Q713" s="397" t="n">
        <f aca="false">(INDEX(CdP,2,i_P+1)-INDEX(CdP,2,i_P+0))/(INDEX(CdP,1,i_P+1)-INDEX(CdP,1,i_P+0))*(t-pas/2-T_ini-INDEX(CdP,1,i_P+0))+INDEX(CdP,2,i_P+0)</f>
        <v>0</v>
      </c>
      <c r="R713" s="396" t="n">
        <f aca="false">Poussee/(g*ISP)</f>
        <v>0</v>
      </c>
      <c r="S713" s="398" t="n">
        <f aca="false">S712-Débit*pas</f>
        <v>8.45</v>
      </c>
      <c r="T713" s="397" t="n">
        <f aca="false">m*g</f>
        <v>82.8945</v>
      </c>
      <c r="U713" s="400" t="n">
        <f aca="false">IF(pos_xz&lt;L_rampe,Poids*COS(Beta),0)</f>
        <v>0</v>
      </c>
      <c r="V713" s="396" t="n">
        <f aca="false">Rho_moyen*(20000-Alt_rampe-pos_z)/(20000+Alt_rampe+pos_z)</f>
        <v>1.22634880027762</v>
      </c>
      <c r="W713" s="397" t="n">
        <f aca="false">1/2*Rho*Sref*Cx*vit_xz^2</f>
        <v>62.0716776178274</v>
      </c>
      <c r="Y713" s="401" t="str">
        <f aca="false">IF(AND(pos_z&lt;=0,K712&gt;0),"Impact balistique","") &amp; IF(AND(H714&lt;0,vit_z&gt;=0),"Apogée","") &amp; IF(AND(Poussee=0,Q712&gt;0),"Fin de propulsion","") &amp; IF(AND(L714&gt;L_rampe,pos_xz&lt;=L_rampe),"Sortie de rampe","")</f>
        <v/>
      </c>
      <c r="Z713" s="402" t="str">
        <f aca="false">IF(ABS(t-T_para)&lt;pas/2,"Para","")</f>
        <v/>
      </c>
      <c r="AA713" s="403" t="str">
        <f aca="false">IF(ABS(t-T_satellite)&lt;pas/2,"Satellite","")</f>
        <v/>
      </c>
      <c r="AC713" s="399" t="e">
        <f aca="false">IF(ABS(t-ROUND(t,0))&lt;0.001,t,NA())</f>
        <v>#N/A</v>
      </c>
      <c r="AD713" s="404" t="e">
        <f aca="false">IF(ABS(t-ROUND(t,0))&lt;0.001,pos_x,NA())</f>
        <v>#N/A</v>
      </c>
      <c r="AE713" s="405" t="e">
        <f aca="false">IF(t&lt;T_para, pos_z, NA())</f>
        <v>#N/A</v>
      </c>
      <c r="AG713" s="396" t="n">
        <f aca="false">IF(AND(L712&lt;L_rampe,Poussee&lt;Poids*SIN(M712)),0,(-W712+Poussee)/m-Poids*SIN(M712)/m)</f>
        <v>2.41608242683329</v>
      </c>
      <c r="AH713" s="397" t="n">
        <f aca="false">IF(AND(L712&lt;L_rampe,Poussee&lt;Poids*SIN(M712)), g*SIN(M712), (-W712+Poussee)/m)</f>
        <v>-7.3457215815704</v>
      </c>
    </row>
    <row r="714" customFormat="false" ht="12.75" hidden="false" customHeight="false" outlineLevel="0" collapsed="false">
      <c r="A714" s="396" t="n">
        <f aca="false">IF(B713+0.01&lt;=T_ini+ROUNDUP(Temps_fin_propu,0), 0.01, IF(K713&gt;0, 0.1, 0.0001))</f>
        <v>0.0001</v>
      </c>
      <c r="B714" s="397" t="n">
        <f aca="false">B713+pas</f>
        <v>32.1209000000009</v>
      </c>
      <c r="D714" s="396" t="n">
        <f aca="false">IF(AND(L713&lt;L_rampe,Poussee&lt;Poids*SIN(M713)),0,(-W713+Poussee)/m*COS(M713)-U713/m*SIN(M713))</f>
        <v>-0.727252127711755</v>
      </c>
      <c r="E714" s="398" t="n">
        <f aca="false">IF(AND(L713&lt;L_rampe,Poussee&lt;Poids*SIN(M713)),0,(-W713+Poussee)/m*SIN(M713)+U713/m*COS(M713)-Poids/m)</f>
        <v>-2.50032804513591</v>
      </c>
      <c r="F714" s="397" t="n">
        <f aca="false">SQRT(acc_x^2+acc_z^2)</f>
        <v>2.60394623419041</v>
      </c>
      <c r="G714" s="396" t="n">
        <f aca="false">G713+acc_x*pas</f>
        <v>11.4821030015144</v>
      </c>
      <c r="H714" s="398" t="n">
        <f aca="false">H713+acc_z*pas</f>
        <v>-115.408558502882</v>
      </c>
      <c r="I714" s="397" t="n">
        <f aca="false">SQRT(vit_x^2+vit_z^2)</f>
        <v>115.978334464031</v>
      </c>
      <c r="J714" s="396" t="n">
        <f aca="false">J713+0.5*(vit_x+G713)*pas*(K713&gt;=0)</f>
        <v>690.928492655337</v>
      </c>
      <c r="K714" s="398" t="n">
        <f aca="false">K713+0.5*(vit_z+H713)*pas</f>
        <v>-11.0160970082623</v>
      </c>
      <c r="L714" s="397" t="n">
        <f aca="false">SQRT(pos_x^2+pos_z^2)</f>
        <v>691.016306867118</v>
      </c>
      <c r="M714" s="396" t="n">
        <f aca="false">IF(AND(L713&gt;L_rampe,G714&gt;0),ATAN2(G714,H714),$M$4)</f>
        <v>-1.47163174493302</v>
      </c>
      <c r="N714" s="397" t="n">
        <f aca="false">DEGREES(Beta)</f>
        <v>-84.3182879821348</v>
      </c>
      <c r="P714" s="399" t="n">
        <f aca="false">MATCH(t-pas/2-T_ini,CdP_t)</f>
        <v>23</v>
      </c>
      <c r="Q714" s="397" t="n">
        <f aca="false">(INDEX(CdP,2,i_P+1)-INDEX(CdP,2,i_P+0))/(INDEX(CdP,1,i_P+1)-INDEX(CdP,1,i_P+0))*(t-pas/2-T_ini-INDEX(CdP,1,i_P+0))+INDEX(CdP,2,i_P+0)</f>
        <v>0</v>
      </c>
      <c r="R714" s="396" t="n">
        <f aca="false">Poussee/(g*ISP)</f>
        <v>0</v>
      </c>
      <c r="S714" s="398" t="n">
        <f aca="false">S713-Débit*pas</f>
        <v>8.45</v>
      </c>
      <c r="T714" s="397" t="n">
        <f aca="false">m*g</f>
        <v>82.8945</v>
      </c>
      <c r="U714" s="400" t="n">
        <f aca="false">IF(pos_xz&lt;L_rampe,Poids*COS(Beta),0)</f>
        <v>0</v>
      </c>
      <c r="V714" s="396" t="n">
        <f aca="false">Rho_moyen*(20000-Alt_rampe-pos_z)/(20000+Alt_rampe+pos_z)</f>
        <v>1.22635021558881</v>
      </c>
      <c r="W714" s="397" t="n">
        <f aca="false">1/2*Rho*Sref*Cx*vit_xz^2</f>
        <v>62.0720078686621</v>
      </c>
      <c r="Y714" s="401" t="str">
        <f aca="false">IF(AND(pos_z&lt;=0,K713&gt;0),"Impact balistique","") &amp; IF(AND(H715&lt;0,vit_z&gt;=0),"Apogée","") &amp; IF(AND(Poussee=0,Q713&gt;0),"Fin de propulsion","") &amp; IF(AND(L715&gt;L_rampe,pos_xz&lt;=L_rampe),"Sortie de rampe","")</f>
        <v/>
      </c>
      <c r="Z714" s="402" t="str">
        <f aca="false">IF(ABS(t-T_para)&lt;pas/2,"Para","")</f>
        <v/>
      </c>
      <c r="AA714" s="403" t="str">
        <f aca="false">IF(ABS(t-T_satellite)&lt;pas/2,"Satellite","")</f>
        <v/>
      </c>
      <c r="AC714" s="399" t="e">
        <f aca="false">IF(ABS(t-ROUND(t,0))&lt;0.001,t,NA())</f>
        <v>#N/A</v>
      </c>
      <c r="AD714" s="404" t="e">
        <f aca="false">IF(ABS(t-ROUND(t,0))&lt;0.001,pos_x,NA())</f>
        <v>#N/A</v>
      </c>
      <c r="AE714" s="405" t="e">
        <f aca="false">IF(t&lt;T_para, pos_z, NA())</f>
        <v>#N/A</v>
      </c>
      <c r="AG714" s="396" t="n">
        <f aca="false">IF(AND(L713&lt;L_rampe,Poussee&lt;Poids*SIN(M713)),0,(-W713+Poussee)/m-Poids*SIN(M713)/m)</f>
        <v>2.4160441568968</v>
      </c>
      <c r="AH714" s="397" t="n">
        <f aca="false">IF(AND(L713&lt;L_rampe,Poussee&lt;Poids*SIN(M713)), g*SIN(M713), (-W713+Poussee)/m)</f>
        <v>-7.34576066483165</v>
      </c>
    </row>
    <row r="715" customFormat="false" ht="12.75" hidden="false" customHeight="false" outlineLevel="0" collapsed="false">
      <c r="A715" s="396" t="n">
        <f aca="false">IF(B714+0.01&lt;=T_ini+ROUNDUP(Temps_fin_propu,0), 0.01, IF(K714&gt;0, 0.1, 0.0001))</f>
        <v>0.0001</v>
      </c>
      <c r="B715" s="397" t="n">
        <f aca="false">B714+pas</f>
        <v>32.1210000000009</v>
      </c>
      <c r="D715" s="396" t="n">
        <f aca="false">IF(AND(L714&lt;L_rampe,Poussee&lt;Poids*SIN(M714)),0,(-W714+Poussee)/m*COS(M714)-U714/m*SIN(M714))</f>
        <v>-0.727249875782272</v>
      </c>
      <c r="E715" s="398" t="n">
        <f aca="false">IF(AND(L714&lt;L_rampe,Poussee&lt;Poids*SIN(M714)),0,(-W714+Poussee)/m*SIN(M714)+U714/m*COS(M714)-Poids/m)</f>
        <v>-2.50028854519399</v>
      </c>
      <c r="F715" s="397" t="n">
        <f aca="false">SQRT(acc_x^2+acc_z^2)</f>
        <v>2.60390767713712</v>
      </c>
      <c r="G715" s="396" t="n">
        <f aca="false">G714+acc_x*pas</f>
        <v>11.4820302765268</v>
      </c>
      <c r="H715" s="398" t="n">
        <f aca="false">H714+acc_z*pas</f>
        <v>-115.408808531737</v>
      </c>
      <c r="I715" s="397" t="n">
        <f aca="false">SQRT(vit_x^2+vit_z^2)</f>
        <v>115.97857606466</v>
      </c>
      <c r="J715" s="396" t="n">
        <f aca="false">J714+0.5*(vit_x+G714)*pas*(K714&gt;=0)</f>
        <v>690.928492655337</v>
      </c>
      <c r="K715" s="398" t="n">
        <f aca="false">K714+0.5*(vit_z+H714)*pas</f>
        <v>-11.0276378766141</v>
      </c>
      <c r="L715" s="397" t="n">
        <f aca="false">SQRT(pos_x^2+pos_z^2)</f>
        <v>691.016490946572</v>
      </c>
      <c r="M715" s="396" t="n">
        <f aca="false">IF(AND(L714&gt;L_rampe,G715&gt;0),ATAN2(G715,H715),$M$4)</f>
        <v>-1.47163258233851</v>
      </c>
      <c r="N715" s="397" t="n">
        <f aca="false">DEGREES(Beta)</f>
        <v>-84.3183359619353</v>
      </c>
      <c r="P715" s="399" t="n">
        <f aca="false">MATCH(t-pas/2-T_ini,CdP_t)</f>
        <v>23</v>
      </c>
      <c r="Q715" s="397" t="n">
        <f aca="false">(INDEX(CdP,2,i_P+1)-INDEX(CdP,2,i_P+0))/(INDEX(CdP,1,i_P+1)-INDEX(CdP,1,i_P+0))*(t-pas/2-T_ini-INDEX(CdP,1,i_P+0))+INDEX(CdP,2,i_P+0)</f>
        <v>0</v>
      </c>
      <c r="R715" s="396" t="n">
        <f aca="false">Poussee/(g*ISP)</f>
        <v>0</v>
      </c>
      <c r="S715" s="398" t="n">
        <f aca="false">S714-Débit*pas</f>
        <v>8.45</v>
      </c>
      <c r="T715" s="397" t="n">
        <f aca="false">m*g</f>
        <v>82.8945</v>
      </c>
      <c r="U715" s="400" t="n">
        <f aca="false">IF(pos_xz&lt;L_rampe,Poids*COS(Beta),0)</f>
        <v>0</v>
      </c>
      <c r="V715" s="396" t="n">
        <f aca="false">Rho_moyen*(20000-Alt_rampe-pos_z)/(20000+Alt_rampe+pos_z)</f>
        <v>1.22635163090469</v>
      </c>
      <c r="W715" s="397" t="n">
        <f aca="false">1/2*Rho*Sref*Cx*vit_xz^2</f>
        <v>62.072338116774</v>
      </c>
      <c r="Y715" s="401" t="str">
        <f aca="false">IF(AND(pos_z&lt;=0,K714&gt;0),"Impact balistique","") &amp; IF(AND(H716&lt;0,vit_z&gt;=0),"Apogée","") &amp; IF(AND(Poussee=0,Q714&gt;0),"Fin de propulsion","") &amp; IF(AND(L716&gt;L_rampe,pos_xz&lt;=L_rampe),"Sortie de rampe","")</f>
        <v/>
      </c>
      <c r="Z715" s="402" t="str">
        <f aca="false">IF(ABS(t-T_para)&lt;pas/2,"Para","")</f>
        <v/>
      </c>
      <c r="AA715" s="403" t="str">
        <f aca="false">IF(ABS(t-T_satellite)&lt;pas/2,"Satellite","")</f>
        <v/>
      </c>
      <c r="AC715" s="399" t="e">
        <f aca="false">IF(ABS(t-ROUND(t,0))&lt;0.001,t,NA())</f>
        <v>#N/A</v>
      </c>
      <c r="AD715" s="404" t="e">
        <f aca="false">IF(ABS(t-ROUND(t,0))&lt;0.001,pos_x,NA())</f>
        <v>#N/A</v>
      </c>
      <c r="AE715" s="405" t="e">
        <f aca="false">IF(t&lt;T_para, pos_z, NA())</f>
        <v>#N/A</v>
      </c>
      <c r="AG715" s="396" t="n">
        <f aca="false">IF(AND(L714&lt;L_rampe,Poussee&lt;Poids*SIN(M714)),0,(-W714+Poussee)/m-Poids*SIN(M714)/m)</f>
        <v>2.41600588726715</v>
      </c>
      <c r="AH715" s="397" t="n">
        <f aca="false">IF(AND(L714&lt;L_rampe,Poussee&lt;Poids*SIN(M714)), g*SIN(M714), (-W714+Poussee)/m)</f>
        <v>-7.34579974777066</v>
      </c>
    </row>
    <row r="716" customFormat="false" ht="12.75" hidden="false" customHeight="false" outlineLevel="0" collapsed="false">
      <c r="A716" s="396" t="n">
        <f aca="false">IF(B715+0.01&lt;=T_ini+ROUNDUP(Temps_fin_propu,0), 0.01, IF(K715&gt;0, 0.1, 0.0001))</f>
        <v>0.0001</v>
      </c>
      <c r="B716" s="397" t="n">
        <f aca="false">B715+pas</f>
        <v>32.1211000000009</v>
      </c>
      <c r="D716" s="396" t="n">
        <f aca="false">IF(AND(L715&lt;L_rampe,Poussee&lt;Poids*SIN(M715)),0,(-W715+Poussee)/m*COS(M715)-U715/m*SIN(M715))</f>
        <v>-0.727247623819514</v>
      </c>
      <c r="E716" s="398" t="n">
        <f aca="false">IF(AND(L715&lt;L_rampe,Poussee&lt;Poids*SIN(M715)),0,(-W715+Poussee)/m*SIN(M715)+U715/m*COS(M715)-Poids/m)</f>
        <v>-2.50024904557776</v>
      </c>
      <c r="F716" s="397" t="n">
        <f aca="false">SQRT(acc_x^2+acc_z^2)</f>
        <v>2.60386912041746</v>
      </c>
      <c r="G716" s="396" t="n">
        <f aca="false">G715+acc_x*pas</f>
        <v>11.4819575517644</v>
      </c>
      <c r="H716" s="398" t="n">
        <f aca="false">H715+acc_z*pas</f>
        <v>-115.409058556641</v>
      </c>
      <c r="I716" s="397" t="n">
        <f aca="false">SQRT(vit_x^2+vit_z^2)</f>
        <v>115.978817661462</v>
      </c>
      <c r="J716" s="396" t="n">
        <f aca="false">J715+0.5*(vit_x+G715)*pas*(K715&gt;=0)</f>
        <v>690.928492655337</v>
      </c>
      <c r="K716" s="398" t="n">
        <f aca="false">K715+0.5*(vit_z+H715)*pas</f>
        <v>-11.0391787699685</v>
      </c>
      <c r="L716" s="397" t="n">
        <f aca="false">SQRT(pos_x^2+pos_z^2)</f>
        <v>691.016675219123</v>
      </c>
      <c r="M716" s="396" t="n">
        <f aca="false">IF(AND(L715&gt;L_rampe,G716&gt;0),ATAN2(G716,H716),$M$4)</f>
        <v>-1.47163341973521</v>
      </c>
      <c r="N716" s="397" t="n">
        <f aca="false">DEGREES(Beta)</f>
        <v>-84.3183839412321</v>
      </c>
      <c r="P716" s="399" t="n">
        <f aca="false">MATCH(t-pas/2-T_ini,CdP_t)</f>
        <v>23</v>
      </c>
      <c r="Q716" s="397" t="n">
        <f aca="false">(INDEX(CdP,2,i_P+1)-INDEX(CdP,2,i_P+0))/(INDEX(CdP,1,i_P+1)-INDEX(CdP,1,i_P+0))*(t-pas/2-T_ini-INDEX(CdP,1,i_P+0))+INDEX(CdP,2,i_P+0)</f>
        <v>0</v>
      </c>
      <c r="R716" s="396" t="n">
        <f aca="false">Poussee/(g*ISP)</f>
        <v>0</v>
      </c>
      <c r="S716" s="398" t="n">
        <f aca="false">S715-Débit*pas</f>
        <v>8.45</v>
      </c>
      <c r="T716" s="397" t="n">
        <f aca="false">m*g</f>
        <v>82.8945</v>
      </c>
      <c r="U716" s="400" t="n">
        <f aca="false">IF(pos_xz&lt;L_rampe,Poids*COS(Beta),0)</f>
        <v>0</v>
      </c>
      <c r="V716" s="396" t="n">
        <f aca="false">Rho_moyen*(20000-Alt_rampe-pos_z)/(20000+Alt_rampe+pos_z)</f>
        <v>1.22635304622528</v>
      </c>
      <c r="W716" s="397" t="n">
        <f aca="false">1/2*Rho*Sref*Cx*vit_xz^2</f>
        <v>62.072668362163</v>
      </c>
      <c r="Y716" s="401" t="str">
        <f aca="false">IF(AND(pos_z&lt;=0,K715&gt;0),"Impact balistique","") &amp; IF(AND(H717&lt;0,vit_z&gt;=0),"Apogée","") &amp; IF(AND(Poussee=0,Q715&gt;0),"Fin de propulsion","") &amp; IF(AND(L717&gt;L_rampe,pos_xz&lt;=L_rampe),"Sortie de rampe","")</f>
        <v/>
      </c>
      <c r="Z716" s="402" t="str">
        <f aca="false">IF(ABS(t-T_para)&lt;pas/2,"Para","")</f>
        <v/>
      </c>
      <c r="AA716" s="403" t="str">
        <f aca="false">IF(ABS(t-T_satellite)&lt;pas/2,"Satellite","")</f>
        <v/>
      </c>
      <c r="AC716" s="399" t="e">
        <f aca="false">IF(ABS(t-ROUND(t,0))&lt;0.001,t,NA())</f>
        <v>#N/A</v>
      </c>
      <c r="AD716" s="404" t="e">
        <f aca="false">IF(ABS(t-ROUND(t,0))&lt;0.001,pos_x,NA())</f>
        <v>#N/A</v>
      </c>
      <c r="AE716" s="405" t="e">
        <f aca="false">IF(t&lt;T_para, pos_z, NA())</f>
        <v>#N/A</v>
      </c>
      <c r="AG716" s="396" t="n">
        <f aca="false">IF(AND(L715&lt;L_rampe,Poussee&lt;Poids*SIN(M715)),0,(-W715+Poussee)/m-Poids*SIN(M715)/m)</f>
        <v>2.41596761794434</v>
      </c>
      <c r="AH716" s="397" t="n">
        <f aca="false">IF(AND(L715&lt;L_rampe,Poussee&lt;Poids*SIN(M715)), g*SIN(M715), (-W715+Poussee)/m)</f>
        <v>-7.34583883038745</v>
      </c>
    </row>
    <row r="717" customFormat="false" ht="12.75" hidden="false" customHeight="false" outlineLevel="0" collapsed="false">
      <c r="A717" s="396" t="n">
        <f aca="false">IF(B716+0.01&lt;=T_ini+ROUNDUP(Temps_fin_propu,0), 0.01, IF(K716&gt;0, 0.1, 0.0001))</f>
        <v>0.0001</v>
      </c>
      <c r="B717" s="397" t="n">
        <f aca="false">B716+pas</f>
        <v>32.1212000000009</v>
      </c>
      <c r="D717" s="396" t="n">
        <f aca="false">IF(AND(L716&lt;L_rampe,Poussee&lt;Poids*SIN(M716)),0,(-W716+Poussee)/m*COS(M716)-U716/m*SIN(M716))</f>
        <v>-0.727245371823486</v>
      </c>
      <c r="E717" s="398" t="n">
        <f aca="false">IF(AND(L716&lt;L_rampe,Poussee&lt;Poids*SIN(M716)),0,(-W716+Poussee)/m*SIN(M716)+U716/m*COS(M716)-Poids/m)</f>
        <v>-2.50020954628721</v>
      </c>
      <c r="F717" s="397" t="n">
        <f aca="false">SQRT(acc_x^2+acc_z^2)</f>
        <v>2.60383056403145</v>
      </c>
      <c r="G717" s="396" t="n">
        <f aca="false">G716+acc_x*pas</f>
        <v>11.4818848272272</v>
      </c>
      <c r="H717" s="398" t="n">
        <f aca="false">H716+acc_z*pas</f>
        <v>-115.409308577596</v>
      </c>
      <c r="I717" s="397" t="n">
        <f aca="false">SQRT(vit_x^2+vit_z^2)</f>
        <v>115.979059254438</v>
      </c>
      <c r="J717" s="396" t="n">
        <f aca="false">J716+0.5*(vit_x+G716)*pas*(K716&gt;=0)</f>
        <v>690.928492655337</v>
      </c>
      <c r="K717" s="398" t="n">
        <f aca="false">K716+0.5*(vit_z+H716)*pas</f>
        <v>-11.0507196883252</v>
      </c>
      <c r="L717" s="397" t="n">
        <f aca="false">SQRT(pos_x^2+pos_z^2)</f>
        <v>691.016859684773</v>
      </c>
      <c r="M717" s="396" t="n">
        <f aca="false">IF(AND(L716&gt;L_rampe,G717&gt;0),ATAN2(G717,H717),$M$4)</f>
        <v>-1.47163425712312</v>
      </c>
      <c r="N717" s="397" t="n">
        <f aca="false">DEGREES(Beta)</f>
        <v>-84.318431920025</v>
      </c>
      <c r="P717" s="399" t="n">
        <f aca="false">MATCH(t-pas/2-T_ini,CdP_t)</f>
        <v>23</v>
      </c>
      <c r="Q717" s="397" t="n">
        <f aca="false">(INDEX(CdP,2,i_P+1)-INDEX(CdP,2,i_P+0))/(INDEX(CdP,1,i_P+1)-INDEX(CdP,1,i_P+0))*(t-pas/2-T_ini-INDEX(CdP,1,i_P+0))+INDEX(CdP,2,i_P+0)</f>
        <v>0</v>
      </c>
      <c r="R717" s="396" t="n">
        <f aca="false">Poussee/(g*ISP)</f>
        <v>0</v>
      </c>
      <c r="S717" s="398" t="n">
        <f aca="false">S716-Débit*pas</f>
        <v>8.45</v>
      </c>
      <c r="T717" s="397" t="n">
        <f aca="false">m*g</f>
        <v>82.8945</v>
      </c>
      <c r="U717" s="400" t="n">
        <f aca="false">IF(pos_xz&lt;L_rampe,Poids*COS(Beta),0)</f>
        <v>0</v>
      </c>
      <c r="V717" s="396" t="n">
        <f aca="false">Rho_moyen*(20000-Alt_rampe-pos_z)/(20000+Alt_rampe+pos_z)</f>
        <v>1.22635446155057</v>
      </c>
      <c r="W717" s="397" t="n">
        <f aca="false">1/2*Rho*Sref*Cx*vit_xz^2</f>
        <v>62.0729986048291</v>
      </c>
      <c r="Y717" s="401" t="str">
        <f aca="false">IF(AND(pos_z&lt;=0,K716&gt;0),"Impact balistique","") &amp; IF(AND(H718&lt;0,vit_z&gt;=0),"Apogée","") &amp; IF(AND(Poussee=0,Q716&gt;0),"Fin de propulsion","") &amp; IF(AND(L718&gt;L_rampe,pos_xz&lt;=L_rampe),"Sortie de rampe","")</f>
        <v/>
      </c>
      <c r="Z717" s="402" t="str">
        <f aca="false">IF(ABS(t-T_para)&lt;pas/2,"Para","")</f>
        <v/>
      </c>
      <c r="AA717" s="403" t="str">
        <f aca="false">IF(ABS(t-T_satellite)&lt;pas/2,"Satellite","")</f>
        <v/>
      </c>
      <c r="AC717" s="399" t="e">
        <f aca="false">IF(ABS(t-ROUND(t,0))&lt;0.001,t,NA())</f>
        <v>#N/A</v>
      </c>
      <c r="AD717" s="404" t="e">
        <f aca="false">IF(ABS(t-ROUND(t,0))&lt;0.001,pos_x,NA())</f>
        <v>#N/A</v>
      </c>
      <c r="AE717" s="405" t="e">
        <f aca="false">IF(t&lt;T_para, pos_z, NA())</f>
        <v>#N/A</v>
      </c>
      <c r="AG717" s="396" t="n">
        <f aca="false">IF(AND(L716&lt;L_rampe,Poussee&lt;Poids*SIN(M716)),0,(-W716+Poussee)/m-Poids*SIN(M716)/m)</f>
        <v>2.41592934892837</v>
      </c>
      <c r="AH717" s="397" t="n">
        <f aca="false">IF(AND(L716&lt;L_rampe,Poussee&lt;Poids*SIN(M716)), g*SIN(M716), (-W716+Poussee)/m)</f>
        <v>-7.34587791268201</v>
      </c>
    </row>
    <row r="718" customFormat="false" ht="12.75" hidden="false" customHeight="false" outlineLevel="0" collapsed="false">
      <c r="A718" s="396" t="n">
        <f aca="false">IF(B717+0.01&lt;=T_ini+ROUNDUP(Temps_fin_propu,0), 0.01, IF(K717&gt;0, 0.1, 0.0001))</f>
        <v>0.0001</v>
      </c>
      <c r="B718" s="397" t="n">
        <f aca="false">B717+pas</f>
        <v>32.1213000000009</v>
      </c>
      <c r="D718" s="396" t="n">
        <f aca="false">IF(AND(L717&lt;L_rampe,Poussee&lt;Poids*SIN(M717)),0,(-W717+Poussee)/m*COS(M717)-U717/m*SIN(M717))</f>
        <v>-0.727243119794187</v>
      </c>
      <c r="E718" s="398" t="n">
        <f aca="false">IF(AND(L717&lt;L_rampe,Poussee&lt;Poids*SIN(M717)),0,(-W717+Poussee)/m*SIN(M717)+U717/m*COS(M717)-Poids/m)</f>
        <v>-2.50017004732235</v>
      </c>
      <c r="F718" s="397" t="n">
        <f aca="false">SQRT(acc_x^2+acc_z^2)</f>
        <v>2.60379200797909</v>
      </c>
      <c r="G718" s="396" t="n">
        <f aca="false">G717+acc_x*pas</f>
        <v>11.4818121029152</v>
      </c>
      <c r="H718" s="398" t="n">
        <f aca="false">H717+acc_z*pas</f>
        <v>-115.4095585946</v>
      </c>
      <c r="I718" s="397" t="n">
        <f aca="false">SQRT(vit_x^2+vit_z^2)</f>
        <v>115.979300843587</v>
      </c>
      <c r="J718" s="396" t="n">
        <f aca="false">J717+0.5*(vit_x+G717)*pas*(K717&gt;=0)</f>
        <v>690.928492655337</v>
      </c>
      <c r="K718" s="398" t="n">
        <f aca="false">K717+0.5*(vit_z+H717)*pas</f>
        <v>-11.0622606316838</v>
      </c>
      <c r="L718" s="397" t="n">
        <f aca="false">SQRT(pos_x^2+pos_z^2)</f>
        <v>691.017044343523</v>
      </c>
      <c r="M718" s="396" t="n">
        <f aca="false">IF(AND(L717&gt;L_rampe,G718&gt;0),ATAN2(G718,H718),$M$4)</f>
        <v>-1.47163509450224</v>
      </c>
      <c r="N718" s="397" t="n">
        <f aca="false">DEGREES(Beta)</f>
        <v>-84.3184798983142</v>
      </c>
      <c r="P718" s="399" t="n">
        <f aca="false">MATCH(t-pas/2-T_ini,CdP_t)</f>
        <v>23</v>
      </c>
      <c r="Q718" s="397" t="n">
        <f aca="false">(INDEX(CdP,2,i_P+1)-INDEX(CdP,2,i_P+0))/(INDEX(CdP,1,i_P+1)-INDEX(CdP,1,i_P+0))*(t-pas/2-T_ini-INDEX(CdP,1,i_P+0))+INDEX(CdP,2,i_P+0)</f>
        <v>0</v>
      </c>
      <c r="R718" s="396" t="n">
        <f aca="false">Poussee/(g*ISP)</f>
        <v>0</v>
      </c>
      <c r="S718" s="398" t="n">
        <f aca="false">S717-Débit*pas</f>
        <v>8.45</v>
      </c>
      <c r="T718" s="397" t="n">
        <f aca="false">m*g</f>
        <v>82.8945</v>
      </c>
      <c r="U718" s="400" t="n">
        <f aca="false">IF(pos_xz&lt;L_rampe,Poids*COS(Beta),0)</f>
        <v>0</v>
      </c>
      <c r="V718" s="396" t="n">
        <f aca="false">Rho_moyen*(20000-Alt_rampe-pos_z)/(20000+Alt_rampe+pos_z)</f>
        <v>1.22635587688055</v>
      </c>
      <c r="W718" s="397" t="n">
        <f aca="false">1/2*Rho*Sref*Cx*vit_xz^2</f>
        <v>62.0733288447725</v>
      </c>
      <c r="Y718" s="401" t="str">
        <f aca="false">IF(AND(pos_z&lt;=0,K717&gt;0),"Impact balistique","") &amp; IF(AND(H719&lt;0,vit_z&gt;=0),"Apogée","") &amp; IF(AND(Poussee=0,Q717&gt;0),"Fin de propulsion","") &amp; IF(AND(L719&gt;L_rampe,pos_xz&lt;=L_rampe),"Sortie de rampe","")</f>
        <v/>
      </c>
      <c r="Z718" s="402" t="str">
        <f aca="false">IF(ABS(t-T_para)&lt;pas/2,"Para","")</f>
        <v/>
      </c>
      <c r="AA718" s="403" t="str">
        <f aca="false">IF(ABS(t-T_satellite)&lt;pas/2,"Satellite","")</f>
        <v/>
      </c>
      <c r="AC718" s="399" t="e">
        <f aca="false">IF(ABS(t-ROUND(t,0))&lt;0.001,t,NA())</f>
        <v>#N/A</v>
      </c>
      <c r="AD718" s="404" t="e">
        <f aca="false">IF(ABS(t-ROUND(t,0))&lt;0.001,pos_x,NA())</f>
        <v>#N/A</v>
      </c>
      <c r="AE718" s="405" t="e">
        <f aca="false">IF(t&lt;T_para, pos_z, NA())</f>
        <v>#N/A</v>
      </c>
      <c r="AG718" s="396" t="n">
        <f aca="false">IF(AND(L717&lt;L_rampe,Poussee&lt;Poids*SIN(M717)),0,(-W717+Poussee)/m-Poids*SIN(M717)/m)</f>
        <v>2.41589108021925</v>
      </c>
      <c r="AH718" s="397" t="n">
        <f aca="false">IF(AND(L717&lt;L_rampe,Poussee&lt;Poids*SIN(M717)), g*SIN(M717), (-W717+Poussee)/m)</f>
        <v>-7.34591699465434</v>
      </c>
    </row>
    <row r="719" customFormat="false" ht="12.75" hidden="false" customHeight="false" outlineLevel="0" collapsed="false">
      <c r="A719" s="396" t="n">
        <f aca="false">IF(B718+0.01&lt;=T_ini+ROUNDUP(Temps_fin_propu,0), 0.01, IF(K718&gt;0, 0.1, 0.0001))</f>
        <v>0.0001</v>
      </c>
      <c r="B719" s="397" t="n">
        <f aca="false">B718+pas</f>
        <v>32.1214000000009</v>
      </c>
      <c r="D719" s="396" t="n">
        <f aca="false">IF(AND(L718&lt;L_rampe,Poussee&lt;Poids*SIN(M718)),0,(-W718+Poussee)/m*COS(M718)-U718/m*SIN(M718))</f>
        <v>-0.727240867731616</v>
      </c>
      <c r="E719" s="398" t="n">
        <f aca="false">IF(AND(L718&lt;L_rampe,Poussee&lt;Poids*SIN(M718)),0,(-W718+Poussee)/m*SIN(M718)+U718/m*COS(M718)-Poids/m)</f>
        <v>-2.50013054868317</v>
      </c>
      <c r="F719" s="397" t="n">
        <f aca="false">SQRT(acc_x^2+acc_z^2)</f>
        <v>2.60375345226038</v>
      </c>
      <c r="G719" s="396" t="n">
        <f aca="false">G718+acc_x*pas</f>
        <v>11.4817393788285</v>
      </c>
      <c r="H719" s="398" t="n">
        <f aca="false">H718+acc_z*pas</f>
        <v>-115.409808607655</v>
      </c>
      <c r="I719" s="397" t="n">
        <f aca="false">SQRT(vit_x^2+vit_z^2)</f>
        <v>115.979542428908</v>
      </c>
      <c r="J719" s="396" t="n">
        <f aca="false">J718+0.5*(vit_x+G718)*pas*(K718&gt;=0)</f>
        <v>690.928492655337</v>
      </c>
      <c r="K719" s="398" t="n">
        <f aca="false">K718+0.5*(vit_z+H718)*pas</f>
        <v>-11.0738016000439</v>
      </c>
      <c r="L719" s="397" t="n">
        <f aca="false">SQRT(pos_x^2+pos_z^2)</f>
        <v>691.017229195375</v>
      </c>
      <c r="M719" s="396" t="n">
        <f aca="false">IF(AND(L718&gt;L_rampe,G719&gt;0),ATAN2(G719,H719),$M$4)</f>
        <v>-1.47163593187256</v>
      </c>
      <c r="N719" s="397" t="n">
        <f aca="false">DEGREES(Beta)</f>
        <v>-84.3185278760997</v>
      </c>
      <c r="P719" s="399" t="n">
        <f aca="false">MATCH(t-pas/2-T_ini,CdP_t)</f>
        <v>23</v>
      </c>
      <c r="Q719" s="397" t="n">
        <f aca="false">(INDEX(CdP,2,i_P+1)-INDEX(CdP,2,i_P+0))/(INDEX(CdP,1,i_P+1)-INDEX(CdP,1,i_P+0))*(t-pas/2-T_ini-INDEX(CdP,1,i_P+0))+INDEX(CdP,2,i_P+0)</f>
        <v>0</v>
      </c>
      <c r="R719" s="396" t="n">
        <f aca="false">Poussee/(g*ISP)</f>
        <v>0</v>
      </c>
      <c r="S719" s="398" t="n">
        <f aca="false">S718-Débit*pas</f>
        <v>8.45</v>
      </c>
      <c r="T719" s="397" t="n">
        <f aca="false">m*g</f>
        <v>82.8945</v>
      </c>
      <c r="U719" s="400" t="n">
        <f aca="false">IF(pos_xz&lt;L_rampe,Poids*COS(Beta),0)</f>
        <v>0</v>
      </c>
      <c r="V719" s="396" t="n">
        <f aca="false">Rho_moyen*(20000-Alt_rampe-pos_z)/(20000+Alt_rampe+pos_z)</f>
        <v>1.22635729221524</v>
      </c>
      <c r="W719" s="397" t="n">
        <f aca="false">1/2*Rho*Sref*Cx*vit_xz^2</f>
        <v>62.0736590819929</v>
      </c>
      <c r="Y719" s="401" t="str">
        <f aca="false">IF(AND(pos_z&lt;=0,K718&gt;0),"Impact balistique","") &amp; IF(AND(H720&lt;0,vit_z&gt;=0),"Apogée","") &amp; IF(AND(Poussee=0,Q718&gt;0),"Fin de propulsion","") &amp; IF(AND(L720&gt;L_rampe,pos_xz&lt;=L_rampe),"Sortie de rampe","")</f>
        <v/>
      </c>
      <c r="Z719" s="402" t="str">
        <f aca="false">IF(ABS(t-T_para)&lt;pas/2,"Para","")</f>
        <v/>
      </c>
      <c r="AA719" s="403" t="str">
        <f aca="false">IF(ABS(t-T_satellite)&lt;pas/2,"Satellite","")</f>
        <v/>
      </c>
      <c r="AC719" s="399" t="e">
        <f aca="false">IF(ABS(t-ROUND(t,0))&lt;0.001,t,NA())</f>
        <v>#N/A</v>
      </c>
      <c r="AD719" s="404" t="e">
        <f aca="false">IF(ABS(t-ROUND(t,0))&lt;0.001,pos_x,NA())</f>
        <v>#N/A</v>
      </c>
      <c r="AE719" s="405" t="e">
        <f aca="false">IF(t&lt;T_para, pos_z, NA())</f>
        <v>#N/A</v>
      </c>
      <c r="AG719" s="396" t="n">
        <f aca="false">IF(AND(L718&lt;L_rampe,Poussee&lt;Poids*SIN(M718)),0,(-W718+Poussee)/m-Poids*SIN(M718)/m)</f>
        <v>2.41585281181698</v>
      </c>
      <c r="AH719" s="397" t="n">
        <f aca="false">IF(AND(L718&lt;L_rampe,Poussee&lt;Poids*SIN(M718)), g*SIN(M718), (-W718+Poussee)/m)</f>
        <v>-7.34595607630443</v>
      </c>
    </row>
    <row r="720" customFormat="false" ht="12.75" hidden="false" customHeight="false" outlineLevel="0" collapsed="false">
      <c r="A720" s="396" t="n">
        <f aca="false">IF(B719+0.01&lt;=T_ini+ROUNDUP(Temps_fin_propu,0), 0.01, IF(K719&gt;0, 0.1, 0.0001))</f>
        <v>0.0001</v>
      </c>
      <c r="B720" s="397" t="n">
        <f aca="false">B719+pas</f>
        <v>32.1215000000009</v>
      </c>
      <c r="D720" s="396" t="n">
        <f aca="false">IF(AND(L719&lt;L_rampe,Poussee&lt;Poids*SIN(M719)),0,(-W719+Poussee)/m*COS(M719)-U719/m*SIN(M719))</f>
        <v>-0.727238615635775</v>
      </c>
      <c r="E720" s="398" t="n">
        <f aca="false">IF(AND(L719&lt;L_rampe,Poussee&lt;Poids*SIN(M719)),0,(-W719+Poussee)/m*SIN(M719)+U719/m*COS(M719)-Poids/m)</f>
        <v>-2.50009105036969</v>
      </c>
      <c r="F720" s="397" t="n">
        <f aca="false">SQRT(acc_x^2+acc_z^2)</f>
        <v>2.60371489687532</v>
      </c>
      <c r="G720" s="396" t="n">
        <f aca="false">G719+acc_x*pas</f>
        <v>11.4816666549669</v>
      </c>
      <c r="H720" s="398" t="n">
        <f aca="false">H719+acc_z*pas</f>
        <v>-115.41005861676</v>
      </c>
      <c r="I720" s="397" t="n">
        <f aca="false">SQRT(vit_x^2+vit_z^2)</f>
        <v>115.979784010403</v>
      </c>
      <c r="J720" s="396" t="n">
        <f aca="false">J719+0.5*(vit_x+G719)*pas*(K719&gt;=0)</f>
        <v>690.928492655337</v>
      </c>
      <c r="K720" s="398" t="n">
        <f aca="false">K719+0.5*(vit_z+H719)*pas</f>
        <v>-11.0853425934051</v>
      </c>
      <c r="L720" s="397" t="n">
        <f aca="false">SQRT(pos_x^2+pos_z^2)</f>
        <v>691.017414240328</v>
      </c>
      <c r="M720" s="396" t="n">
        <f aca="false">IF(AND(L719&gt;L_rampe,G720&gt;0),ATAN2(G720,H720),$M$4)</f>
        <v>-1.47163676923409</v>
      </c>
      <c r="N720" s="397" t="n">
        <f aca="false">DEGREES(Beta)</f>
        <v>-84.3185758533814</v>
      </c>
      <c r="P720" s="399" t="n">
        <f aca="false">MATCH(t-pas/2-T_ini,CdP_t)</f>
        <v>23</v>
      </c>
      <c r="Q720" s="397" t="n">
        <f aca="false">(INDEX(CdP,2,i_P+1)-INDEX(CdP,2,i_P+0))/(INDEX(CdP,1,i_P+1)-INDEX(CdP,1,i_P+0))*(t-pas/2-T_ini-INDEX(CdP,1,i_P+0))+INDEX(CdP,2,i_P+0)</f>
        <v>0</v>
      </c>
      <c r="R720" s="396" t="n">
        <f aca="false">Poussee/(g*ISP)</f>
        <v>0</v>
      </c>
      <c r="S720" s="398" t="n">
        <f aca="false">S719-Débit*pas</f>
        <v>8.45</v>
      </c>
      <c r="T720" s="397" t="n">
        <f aca="false">m*g</f>
        <v>82.8945</v>
      </c>
      <c r="U720" s="400" t="n">
        <f aca="false">IF(pos_xz&lt;L_rampe,Poids*COS(Beta),0)</f>
        <v>0</v>
      </c>
      <c r="V720" s="396" t="n">
        <f aca="false">Rho_moyen*(20000-Alt_rampe-pos_z)/(20000+Alt_rampe+pos_z)</f>
        <v>1.22635870755463</v>
      </c>
      <c r="W720" s="397" t="n">
        <f aca="false">1/2*Rho*Sref*Cx*vit_xz^2</f>
        <v>62.0739893164906</v>
      </c>
      <c r="Y720" s="401" t="str">
        <f aca="false">IF(AND(pos_z&lt;=0,K719&gt;0),"Impact balistique","") &amp; IF(AND(H721&lt;0,vit_z&gt;=0),"Apogée","") &amp; IF(AND(Poussee=0,Q719&gt;0),"Fin de propulsion","") &amp; IF(AND(L721&gt;L_rampe,pos_xz&lt;=L_rampe),"Sortie de rampe","")</f>
        <v/>
      </c>
      <c r="Z720" s="402" t="str">
        <f aca="false">IF(ABS(t-T_para)&lt;pas/2,"Para","")</f>
        <v/>
      </c>
      <c r="AA720" s="403" t="str">
        <f aca="false">IF(ABS(t-T_satellite)&lt;pas/2,"Satellite","")</f>
        <v/>
      </c>
      <c r="AC720" s="399" t="e">
        <f aca="false">IF(ABS(t-ROUND(t,0))&lt;0.001,t,NA())</f>
        <v>#N/A</v>
      </c>
      <c r="AD720" s="404" t="e">
        <f aca="false">IF(ABS(t-ROUND(t,0))&lt;0.001,pos_x,NA())</f>
        <v>#N/A</v>
      </c>
      <c r="AE720" s="405" t="e">
        <f aca="false">IF(t&lt;T_para, pos_z, NA())</f>
        <v>#N/A</v>
      </c>
      <c r="AG720" s="396" t="n">
        <f aca="false">IF(AND(L719&lt;L_rampe,Poussee&lt;Poids*SIN(M719)),0,(-W719+Poussee)/m-Poids*SIN(M719)/m)</f>
        <v>2.41581454372155</v>
      </c>
      <c r="AH720" s="397" t="n">
        <f aca="false">IF(AND(L719&lt;L_rampe,Poussee&lt;Poids*SIN(M719)), g*SIN(M719), (-W719+Poussee)/m)</f>
        <v>-7.3459951576323</v>
      </c>
    </row>
    <row r="721" customFormat="false" ht="12.75" hidden="false" customHeight="false" outlineLevel="0" collapsed="false">
      <c r="A721" s="396" t="n">
        <f aca="false">IF(B720+0.01&lt;=T_ini+ROUNDUP(Temps_fin_propu,0), 0.01, IF(K720&gt;0, 0.1, 0.0001))</f>
        <v>0.0001</v>
      </c>
      <c r="B721" s="397" t="n">
        <f aca="false">B720+pas</f>
        <v>32.1216000000009</v>
      </c>
      <c r="D721" s="396" t="n">
        <f aca="false">IF(AND(L720&lt;L_rampe,Poussee&lt;Poids*SIN(M720)),0,(-W720+Poussee)/m*COS(M720)-U720/m*SIN(M720))</f>
        <v>-0.727236363506666</v>
      </c>
      <c r="E721" s="398" t="n">
        <f aca="false">IF(AND(L720&lt;L_rampe,Poussee&lt;Poids*SIN(M720)),0,(-W720+Poussee)/m*SIN(M720)+U720/m*COS(M720)-Poids/m)</f>
        <v>-2.50005155238189</v>
      </c>
      <c r="F721" s="397" t="n">
        <f aca="false">SQRT(acc_x^2+acc_z^2)</f>
        <v>2.6036763418239</v>
      </c>
      <c r="G721" s="396" t="n">
        <f aca="false">G720+acc_x*pas</f>
        <v>11.4815939313306</v>
      </c>
      <c r="H721" s="398" t="n">
        <f aca="false">H720+acc_z*pas</f>
        <v>-115.410308621916</v>
      </c>
      <c r="I721" s="397" t="n">
        <f aca="false">SQRT(vit_x^2+vit_z^2)</f>
        <v>115.980025588072</v>
      </c>
      <c r="J721" s="396" t="n">
        <f aca="false">J720+0.5*(vit_x+G720)*pas*(K720&gt;=0)</f>
        <v>690.928492655337</v>
      </c>
      <c r="K721" s="398" t="n">
        <f aca="false">K720+0.5*(vit_z+H720)*pas</f>
        <v>-11.0968836117671</v>
      </c>
      <c r="L721" s="397" t="n">
        <f aca="false">SQRT(pos_x^2+pos_z^2)</f>
        <v>691.017599478384</v>
      </c>
      <c r="M721" s="396" t="n">
        <f aca="false">IF(AND(L720&gt;L_rampe,G721&gt;0),ATAN2(G721,H721),$M$4)</f>
        <v>-1.47163760658683</v>
      </c>
      <c r="N721" s="397" t="n">
        <f aca="false">DEGREES(Beta)</f>
        <v>-84.3186238301593</v>
      </c>
      <c r="P721" s="399" t="n">
        <f aca="false">MATCH(t-pas/2-T_ini,CdP_t)</f>
        <v>23</v>
      </c>
      <c r="Q721" s="397" t="n">
        <f aca="false">(INDEX(CdP,2,i_P+1)-INDEX(CdP,2,i_P+0))/(INDEX(CdP,1,i_P+1)-INDEX(CdP,1,i_P+0))*(t-pas/2-T_ini-INDEX(CdP,1,i_P+0))+INDEX(CdP,2,i_P+0)</f>
        <v>0</v>
      </c>
      <c r="R721" s="396" t="n">
        <f aca="false">Poussee/(g*ISP)</f>
        <v>0</v>
      </c>
      <c r="S721" s="398" t="n">
        <f aca="false">S720-Débit*pas</f>
        <v>8.45</v>
      </c>
      <c r="T721" s="397" t="n">
        <f aca="false">m*g</f>
        <v>82.8945</v>
      </c>
      <c r="U721" s="400" t="n">
        <f aca="false">IF(pos_xz&lt;L_rampe,Poids*COS(Beta),0)</f>
        <v>0</v>
      </c>
      <c r="V721" s="396" t="n">
        <f aca="false">Rho_moyen*(20000-Alt_rampe-pos_z)/(20000+Alt_rampe+pos_z)</f>
        <v>1.22636012289872</v>
      </c>
      <c r="W721" s="397" t="n">
        <f aca="false">1/2*Rho*Sref*Cx*vit_xz^2</f>
        <v>62.0743195482654</v>
      </c>
      <c r="Y721" s="401" t="str">
        <f aca="false">IF(AND(pos_z&lt;=0,K720&gt;0),"Impact balistique","") &amp; IF(AND(H722&lt;0,vit_z&gt;=0),"Apogée","") &amp; IF(AND(Poussee=0,Q720&gt;0),"Fin de propulsion","") &amp; IF(AND(L722&gt;L_rampe,pos_xz&lt;=L_rampe),"Sortie de rampe","")</f>
        <v/>
      </c>
      <c r="Z721" s="402" t="str">
        <f aca="false">IF(ABS(t-T_para)&lt;pas/2,"Para","")</f>
        <v/>
      </c>
      <c r="AA721" s="403" t="str">
        <f aca="false">IF(ABS(t-T_satellite)&lt;pas/2,"Satellite","")</f>
        <v/>
      </c>
      <c r="AC721" s="399" t="e">
        <f aca="false">IF(ABS(t-ROUND(t,0))&lt;0.001,t,NA())</f>
        <v>#N/A</v>
      </c>
      <c r="AD721" s="404" t="e">
        <f aca="false">IF(ABS(t-ROUND(t,0))&lt;0.001,pos_x,NA())</f>
        <v>#N/A</v>
      </c>
      <c r="AE721" s="405" t="e">
        <f aca="false">IF(t&lt;T_para, pos_z, NA())</f>
        <v>#N/A</v>
      </c>
      <c r="AG721" s="396" t="n">
        <f aca="false">IF(AND(L720&lt;L_rampe,Poussee&lt;Poids*SIN(M720)),0,(-W720+Poussee)/m-Poids*SIN(M720)/m)</f>
        <v>2.41577627593297</v>
      </c>
      <c r="AH721" s="397" t="n">
        <f aca="false">IF(AND(L720&lt;L_rampe,Poussee&lt;Poids*SIN(M720)), g*SIN(M720), (-W720+Poussee)/m)</f>
        <v>-7.34603423863794</v>
      </c>
    </row>
    <row r="722" customFormat="false" ht="12.75" hidden="false" customHeight="false" outlineLevel="0" collapsed="false">
      <c r="A722" s="396" t="n">
        <f aca="false">IF(B721+0.01&lt;=T_ini+ROUNDUP(Temps_fin_propu,0), 0.01, IF(K721&gt;0, 0.1, 0.0001))</f>
        <v>0.0001</v>
      </c>
      <c r="B722" s="397" t="n">
        <f aca="false">B721+pas</f>
        <v>32.1217000000009</v>
      </c>
      <c r="D722" s="396" t="n">
        <f aca="false">IF(AND(L721&lt;L_rampe,Poussee&lt;Poids*SIN(M721)),0,(-W721+Poussee)/m*COS(M721)-U721/m*SIN(M721))</f>
        <v>-0.727234111344289</v>
      </c>
      <c r="E722" s="398" t="n">
        <f aca="false">IF(AND(L721&lt;L_rampe,Poussee&lt;Poids*SIN(M721)),0,(-W721+Poussee)/m*SIN(M721)+U721/m*COS(M721)-Poids/m)</f>
        <v>-2.50001205471978</v>
      </c>
      <c r="F722" s="397" t="n">
        <f aca="false">SQRT(acc_x^2+acc_z^2)</f>
        <v>2.60363778710613</v>
      </c>
      <c r="G722" s="396" t="n">
        <f aca="false">G721+acc_x*pas</f>
        <v>11.4815212079194</v>
      </c>
      <c r="H722" s="398" t="n">
        <f aca="false">H721+acc_z*pas</f>
        <v>-115.410558623121</v>
      </c>
      <c r="I722" s="397" t="n">
        <f aca="false">SQRT(vit_x^2+vit_z^2)</f>
        <v>115.980267161913</v>
      </c>
      <c r="J722" s="396" t="n">
        <f aca="false">J721+0.5*(vit_x+G721)*pas*(K721&gt;=0)</f>
        <v>690.928492655337</v>
      </c>
      <c r="K722" s="398" t="n">
        <f aca="false">K721+0.5*(vit_z+H721)*pas</f>
        <v>-11.1084246551293</v>
      </c>
      <c r="L722" s="397" t="n">
        <f aca="false">SQRT(pos_x^2+pos_z^2)</f>
        <v>691.017784909545</v>
      </c>
      <c r="M722" s="396" t="n">
        <f aca="false">IF(AND(L721&gt;L_rampe,G722&gt;0),ATAN2(G722,H722),$M$4)</f>
        <v>-1.47163844393078</v>
      </c>
      <c r="N722" s="397" t="n">
        <f aca="false">DEGREES(Beta)</f>
        <v>-84.3186718064335</v>
      </c>
      <c r="P722" s="399" t="n">
        <f aca="false">MATCH(t-pas/2-T_ini,CdP_t)</f>
        <v>23</v>
      </c>
      <c r="Q722" s="397" t="n">
        <f aca="false">(INDEX(CdP,2,i_P+1)-INDEX(CdP,2,i_P+0))/(INDEX(CdP,1,i_P+1)-INDEX(CdP,1,i_P+0))*(t-pas/2-T_ini-INDEX(CdP,1,i_P+0))+INDEX(CdP,2,i_P+0)</f>
        <v>0</v>
      </c>
      <c r="R722" s="396" t="n">
        <f aca="false">Poussee/(g*ISP)</f>
        <v>0</v>
      </c>
      <c r="S722" s="398" t="n">
        <f aca="false">S721-Débit*pas</f>
        <v>8.45</v>
      </c>
      <c r="T722" s="397" t="n">
        <f aca="false">m*g</f>
        <v>82.8945</v>
      </c>
      <c r="U722" s="400" t="n">
        <f aca="false">IF(pos_xz&lt;L_rampe,Poids*COS(Beta),0)</f>
        <v>0</v>
      </c>
      <c r="V722" s="396" t="n">
        <f aca="false">Rho_moyen*(20000-Alt_rampe-pos_z)/(20000+Alt_rampe+pos_z)</f>
        <v>1.22636153824751</v>
      </c>
      <c r="W722" s="397" t="n">
        <f aca="false">1/2*Rho*Sref*Cx*vit_xz^2</f>
        <v>62.0746497773173</v>
      </c>
      <c r="Y722" s="401" t="str">
        <f aca="false">IF(AND(pos_z&lt;=0,K721&gt;0),"Impact balistique","") &amp; IF(AND(H723&lt;0,vit_z&gt;=0),"Apogée","") &amp; IF(AND(Poussee=0,Q721&gt;0),"Fin de propulsion","") &amp; IF(AND(L723&gt;L_rampe,pos_xz&lt;=L_rampe),"Sortie de rampe","")</f>
        <v/>
      </c>
      <c r="Z722" s="402" t="str">
        <f aca="false">IF(ABS(t-T_para)&lt;pas/2,"Para","")</f>
        <v/>
      </c>
      <c r="AA722" s="403" t="str">
        <f aca="false">IF(ABS(t-T_satellite)&lt;pas/2,"Satellite","")</f>
        <v/>
      </c>
      <c r="AC722" s="399" t="e">
        <f aca="false">IF(ABS(t-ROUND(t,0))&lt;0.001,t,NA())</f>
        <v>#N/A</v>
      </c>
      <c r="AD722" s="404" t="e">
        <f aca="false">IF(ABS(t-ROUND(t,0))&lt;0.001,pos_x,NA())</f>
        <v>#N/A</v>
      </c>
      <c r="AE722" s="405" t="e">
        <f aca="false">IF(t&lt;T_para, pos_z, NA())</f>
        <v>#N/A</v>
      </c>
      <c r="AG722" s="396" t="n">
        <f aca="false">IF(AND(L721&lt;L_rampe,Poussee&lt;Poids*SIN(M721)),0,(-W721+Poussee)/m-Poids*SIN(M721)/m)</f>
        <v>2.41573800845123</v>
      </c>
      <c r="AH722" s="397" t="n">
        <f aca="false">IF(AND(L721&lt;L_rampe,Poussee&lt;Poids*SIN(M721)), g*SIN(M721), (-W721+Poussee)/m)</f>
        <v>-7.34607331932135</v>
      </c>
    </row>
    <row r="723" customFormat="false" ht="12.75" hidden="false" customHeight="false" outlineLevel="0" collapsed="false">
      <c r="A723" s="396" t="n">
        <f aca="false">IF(B722+0.01&lt;=T_ini+ROUNDUP(Temps_fin_propu,0), 0.01, IF(K722&gt;0, 0.1, 0.0001))</f>
        <v>0.0001</v>
      </c>
      <c r="B723" s="397" t="n">
        <f aca="false">B722+pas</f>
        <v>32.1218000000009</v>
      </c>
      <c r="D723" s="396" t="n">
        <f aca="false">IF(AND(L722&lt;L_rampe,Poussee&lt;Poids*SIN(M722)),0,(-W722+Poussee)/m*COS(M722)-U722/m*SIN(M722))</f>
        <v>-0.727231859148644</v>
      </c>
      <c r="E723" s="398" t="n">
        <f aca="false">IF(AND(L722&lt;L_rampe,Poussee&lt;Poids*SIN(M722)),0,(-W722+Poussee)/m*SIN(M722)+U722/m*COS(M722)-Poids/m)</f>
        <v>-2.49997255738335</v>
      </c>
      <c r="F723" s="397" t="n">
        <f aca="false">SQRT(acc_x^2+acc_z^2)</f>
        <v>2.60359923272201</v>
      </c>
      <c r="G723" s="396" t="n">
        <f aca="false">G722+acc_x*pas</f>
        <v>11.4814484847335</v>
      </c>
      <c r="H723" s="398" t="n">
        <f aca="false">H722+acc_z*pas</f>
        <v>-115.410808620377</v>
      </c>
      <c r="I723" s="397" t="n">
        <f aca="false">SQRT(vit_x^2+vit_z^2)</f>
        <v>115.980508731928</v>
      </c>
      <c r="J723" s="396" t="n">
        <f aca="false">J722+0.5*(vit_x+G722)*pas*(K722&gt;=0)</f>
        <v>690.928492655337</v>
      </c>
      <c r="K723" s="398" t="n">
        <f aca="false">K722+0.5*(vit_z+H722)*pas</f>
        <v>-11.1199657234915</v>
      </c>
      <c r="L723" s="397" t="n">
        <f aca="false">SQRT(pos_x^2+pos_z^2)</f>
        <v>691.017970533811</v>
      </c>
      <c r="M723" s="396" t="n">
        <f aca="false">IF(AND(L722&gt;L_rampe,G723&gt;0),ATAN2(G723,H723),$M$4)</f>
        <v>-1.47163928126593</v>
      </c>
      <c r="N723" s="397" t="n">
        <f aca="false">DEGREES(Beta)</f>
        <v>-84.3187197822039</v>
      </c>
      <c r="P723" s="399" t="n">
        <f aca="false">MATCH(t-pas/2-T_ini,CdP_t)</f>
        <v>23</v>
      </c>
      <c r="Q723" s="397" t="n">
        <f aca="false">(INDEX(CdP,2,i_P+1)-INDEX(CdP,2,i_P+0))/(INDEX(CdP,1,i_P+1)-INDEX(CdP,1,i_P+0))*(t-pas/2-T_ini-INDEX(CdP,1,i_P+0))+INDEX(CdP,2,i_P+0)</f>
        <v>0</v>
      </c>
      <c r="R723" s="396" t="n">
        <f aca="false">Poussee/(g*ISP)</f>
        <v>0</v>
      </c>
      <c r="S723" s="398" t="n">
        <f aca="false">S722-Débit*pas</f>
        <v>8.45</v>
      </c>
      <c r="T723" s="397" t="n">
        <f aca="false">m*g</f>
        <v>82.8945</v>
      </c>
      <c r="U723" s="400" t="n">
        <f aca="false">IF(pos_xz&lt;L_rampe,Poids*COS(Beta),0)</f>
        <v>0</v>
      </c>
      <c r="V723" s="396" t="n">
        <f aca="false">Rho_moyen*(20000-Alt_rampe-pos_z)/(20000+Alt_rampe+pos_z)</f>
        <v>1.22636295360099</v>
      </c>
      <c r="W723" s="397" t="n">
        <f aca="false">1/2*Rho*Sref*Cx*vit_xz^2</f>
        <v>62.0749800036463</v>
      </c>
      <c r="Y723" s="401" t="str">
        <f aca="false">IF(AND(pos_z&lt;=0,K722&gt;0),"Impact balistique","") &amp; IF(AND(H724&lt;0,vit_z&gt;=0),"Apogée","") &amp; IF(AND(Poussee=0,Q722&gt;0),"Fin de propulsion","") &amp; IF(AND(L724&gt;L_rampe,pos_xz&lt;=L_rampe),"Sortie de rampe","")</f>
        <v/>
      </c>
      <c r="Z723" s="402" t="str">
        <f aca="false">IF(ABS(t-T_para)&lt;pas/2,"Para","")</f>
        <v/>
      </c>
      <c r="AA723" s="403" t="str">
        <f aca="false">IF(ABS(t-T_satellite)&lt;pas/2,"Satellite","")</f>
        <v/>
      </c>
      <c r="AC723" s="399" t="e">
        <f aca="false">IF(ABS(t-ROUND(t,0))&lt;0.001,t,NA())</f>
        <v>#N/A</v>
      </c>
      <c r="AD723" s="404" t="e">
        <f aca="false">IF(ABS(t-ROUND(t,0))&lt;0.001,pos_x,NA())</f>
        <v>#N/A</v>
      </c>
      <c r="AE723" s="405" t="e">
        <f aca="false">IF(t&lt;T_para, pos_z, NA())</f>
        <v>#N/A</v>
      </c>
      <c r="AG723" s="396" t="n">
        <f aca="false">IF(AND(L722&lt;L_rampe,Poussee&lt;Poids*SIN(M722)),0,(-W722+Poussee)/m-Poids*SIN(M722)/m)</f>
        <v>2.41569974127635</v>
      </c>
      <c r="AH723" s="397" t="n">
        <f aca="false">IF(AND(L722&lt;L_rampe,Poussee&lt;Poids*SIN(M722)), g*SIN(M722), (-W722+Poussee)/m)</f>
        <v>-7.34611239968252</v>
      </c>
    </row>
    <row r="724" customFormat="false" ht="12.75" hidden="false" customHeight="false" outlineLevel="0" collapsed="false">
      <c r="A724" s="396" t="n">
        <f aca="false">IF(B723+0.01&lt;=T_ini+ROUNDUP(Temps_fin_propu,0), 0.01, IF(K723&gt;0, 0.1, 0.0001))</f>
        <v>0.0001</v>
      </c>
      <c r="B724" s="397" t="n">
        <f aca="false">B723+pas</f>
        <v>32.1219000000009</v>
      </c>
      <c r="D724" s="396" t="n">
        <f aca="false">IF(AND(L723&lt;L_rampe,Poussee&lt;Poids*SIN(M723)),0,(-W723+Poussee)/m*COS(M723)-U723/m*SIN(M723))</f>
        <v>-0.727229606919733</v>
      </c>
      <c r="E724" s="398" t="n">
        <f aca="false">IF(AND(L723&lt;L_rampe,Poussee&lt;Poids*SIN(M723)),0,(-W723+Poussee)/m*SIN(M723)+U723/m*COS(M723)-Poids/m)</f>
        <v>-2.49993306037262</v>
      </c>
      <c r="F724" s="397" t="n">
        <f aca="false">SQRT(acc_x^2+acc_z^2)</f>
        <v>2.60356067867155</v>
      </c>
      <c r="G724" s="396" t="n">
        <f aca="false">G723+acc_x*pas</f>
        <v>11.4813757617728</v>
      </c>
      <c r="H724" s="398" t="n">
        <f aca="false">H723+acc_z*pas</f>
        <v>-115.411058613683</v>
      </c>
      <c r="I724" s="397" t="n">
        <f aca="false">SQRT(vit_x^2+vit_z^2)</f>
        <v>115.980750298116</v>
      </c>
      <c r="J724" s="396" t="n">
        <f aca="false">J723+0.5*(vit_x+G723)*pas*(K723&gt;=0)</f>
        <v>690.928492655337</v>
      </c>
      <c r="K724" s="398" t="n">
        <f aca="false">K723+0.5*(vit_z+H723)*pas</f>
        <v>-11.1315068168532</v>
      </c>
      <c r="L724" s="397" t="n">
        <f aca="false">SQRT(pos_x^2+pos_z^2)</f>
        <v>691.018156351184</v>
      </c>
      <c r="M724" s="396" t="n">
        <f aca="false">IF(AND(L723&gt;L_rampe,G724&gt;0),ATAN2(G724,H724),$M$4)</f>
        <v>-1.4716401185923</v>
      </c>
      <c r="N724" s="397" t="n">
        <f aca="false">DEGREES(Beta)</f>
        <v>-84.3187677574707</v>
      </c>
      <c r="P724" s="399" t="n">
        <f aca="false">MATCH(t-pas/2-T_ini,CdP_t)</f>
        <v>23</v>
      </c>
      <c r="Q724" s="397" t="n">
        <f aca="false">(INDEX(CdP,2,i_P+1)-INDEX(CdP,2,i_P+0))/(INDEX(CdP,1,i_P+1)-INDEX(CdP,1,i_P+0))*(t-pas/2-T_ini-INDEX(CdP,1,i_P+0))+INDEX(CdP,2,i_P+0)</f>
        <v>0</v>
      </c>
      <c r="R724" s="396" t="n">
        <f aca="false">Poussee/(g*ISP)</f>
        <v>0</v>
      </c>
      <c r="S724" s="398" t="n">
        <f aca="false">S723-Débit*pas</f>
        <v>8.45</v>
      </c>
      <c r="T724" s="397" t="n">
        <f aca="false">m*g</f>
        <v>82.8945</v>
      </c>
      <c r="U724" s="400" t="n">
        <f aca="false">IF(pos_xz&lt;L_rampe,Poids*COS(Beta),0)</f>
        <v>0</v>
      </c>
      <c r="V724" s="396" t="n">
        <f aca="false">Rho_moyen*(20000-Alt_rampe-pos_z)/(20000+Alt_rampe+pos_z)</f>
        <v>1.22636436895918</v>
      </c>
      <c r="W724" s="397" t="n">
        <f aca="false">1/2*Rho*Sref*Cx*vit_xz^2</f>
        <v>62.0753102272525</v>
      </c>
      <c r="Y724" s="401" t="str">
        <f aca="false">IF(AND(pos_z&lt;=0,K723&gt;0),"Impact balistique","") &amp; IF(AND(H725&lt;0,vit_z&gt;=0),"Apogée","") &amp; IF(AND(Poussee=0,Q723&gt;0),"Fin de propulsion","") &amp; IF(AND(L725&gt;L_rampe,pos_xz&lt;=L_rampe),"Sortie de rampe","")</f>
        <v/>
      </c>
      <c r="Z724" s="402" t="str">
        <f aca="false">IF(ABS(t-T_para)&lt;pas/2,"Para","")</f>
        <v/>
      </c>
      <c r="AA724" s="403" t="str">
        <f aca="false">IF(ABS(t-T_satellite)&lt;pas/2,"Satellite","")</f>
        <v/>
      </c>
      <c r="AC724" s="399" t="e">
        <f aca="false">IF(ABS(t-ROUND(t,0))&lt;0.001,t,NA())</f>
        <v>#N/A</v>
      </c>
      <c r="AD724" s="404" t="e">
        <f aca="false">IF(ABS(t-ROUND(t,0))&lt;0.001,pos_x,NA())</f>
        <v>#N/A</v>
      </c>
      <c r="AE724" s="405" t="e">
        <f aca="false">IF(t&lt;T_para, pos_z, NA())</f>
        <v>#N/A</v>
      </c>
      <c r="AG724" s="396" t="n">
        <f aca="false">IF(AND(L723&lt;L_rampe,Poussee&lt;Poids*SIN(M723)),0,(-W723+Poussee)/m-Poids*SIN(M723)/m)</f>
        <v>2.41566147440832</v>
      </c>
      <c r="AH724" s="397" t="n">
        <f aca="false">IF(AND(L723&lt;L_rampe,Poussee&lt;Poids*SIN(M723)), g*SIN(M723), (-W723+Poussee)/m)</f>
        <v>-7.34615147972146</v>
      </c>
    </row>
    <row r="725" customFormat="false" ht="12.75" hidden="false" customHeight="false" outlineLevel="0" collapsed="false">
      <c r="A725" s="396" t="n">
        <f aca="false">IF(B724+0.01&lt;=T_ini+ROUNDUP(Temps_fin_propu,0), 0.01, IF(K724&gt;0, 0.1, 0.0001))</f>
        <v>0.0001</v>
      </c>
      <c r="B725" s="397" t="n">
        <f aca="false">B724+pas</f>
        <v>32.1220000000009</v>
      </c>
      <c r="D725" s="396" t="n">
        <f aca="false">IF(AND(L724&lt;L_rampe,Poussee&lt;Poids*SIN(M724)),0,(-W724+Poussee)/m*COS(M724)-U724/m*SIN(M724))</f>
        <v>-0.727227354657557</v>
      </c>
      <c r="E725" s="398" t="n">
        <f aca="false">IF(AND(L724&lt;L_rampe,Poussee&lt;Poids*SIN(M724)),0,(-W724+Poussee)/m*SIN(M724)+U724/m*COS(M724)-Poids/m)</f>
        <v>-2.49989356368758</v>
      </c>
      <c r="F725" s="397" t="n">
        <f aca="false">SQRT(acc_x^2+acc_z^2)</f>
        <v>2.60352212495474</v>
      </c>
      <c r="G725" s="396" t="n">
        <f aca="false">G724+acc_x*pas</f>
        <v>11.4813030390373</v>
      </c>
      <c r="H725" s="398" t="n">
        <f aca="false">H724+acc_z*pas</f>
        <v>-115.411308603039</v>
      </c>
      <c r="I725" s="397" t="n">
        <f aca="false">SQRT(vit_x^2+vit_z^2)</f>
        <v>115.980991860478</v>
      </c>
      <c r="J725" s="396" t="n">
        <f aca="false">J724+0.5*(vit_x+G724)*pas*(K724&gt;=0)</f>
        <v>690.928492655337</v>
      </c>
      <c r="K725" s="398" t="n">
        <f aca="false">K724+0.5*(vit_z+H724)*pas</f>
        <v>-11.143047935214</v>
      </c>
      <c r="L725" s="397" t="n">
        <f aca="false">SQRT(pos_x^2+pos_z^2)</f>
        <v>691.018342361664</v>
      </c>
      <c r="M725" s="396" t="n">
        <f aca="false">IF(AND(L724&gt;L_rampe,G725&gt;0),ATAN2(G725,H725),$M$4)</f>
        <v>-1.47164095590987</v>
      </c>
      <c r="N725" s="397" t="n">
        <f aca="false">DEGREES(Beta)</f>
        <v>-84.3188157322337</v>
      </c>
      <c r="P725" s="399" t="n">
        <f aca="false">MATCH(t-pas/2-T_ini,CdP_t)</f>
        <v>23</v>
      </c>
      <c r="Q725" s="397" t="n">
        <f aca="false">(INDEX(CdP,2,i_P+1)-INDEX(CdP,2,i_P+0))/(INDEX(CdP,1,i_P+1)-INDEX(CdP,1,i_P+0))*(t-pas/2-T_ini-INDEX(CdP,1,i_P+0))+INDEX(CdP,2,i_P+0)</f>
        <v>0</v>
      </c>
      <c r="R725" s="396" t="n">
        <f aca="false">Poussee/(g*ISP)</f>
        <v>0</v>
      </c>
      <c r="S725" s="398" t="n">
        <f aca="false">S724-Débit*pas</f>
        <v>8.45</v>
      </c>
      <c r="T725" s="397" t="n">
        <f aca="false">m*g</f>
        <v>82.8945</v>
      </c>
      <c r="U725" s="400" t="n">
        <f aca="false">IF(pos_xz&lt;L_rampe,Poids*COS(Beta),0)</f>
        <v>0</v>
      </c>
      <c r="V725" s="396" t="n">
        <f aca="false">Rho_moyen*(20000-Alt_rampe-pos_z)/(20000+Alt_rampe+pos_z)</f>
        <v>1.22636578432207</v>
      </c>
      <c r="W725" s="397" t="n">
        <f aca="false">1/2*Rho*Sref*Cx*vit_xz^2</f>
        <v>62.0756404481359</v>
      </c>
      <c r="Y725" s="401" t="str">
        <f aca="false">IF(AND(pos_z&lt;=0,K724&gt;0),"Impact balistique","") &amp; IF(AND(H726&lt;0,vit_z&gt;=0),"Apogée","") &amp; IF(AND(Poussee=0,Q724&gt;0),"Fin de propulsion","") &amp; IF(AND(L726&gt;L_rampe,pos_xz&lt;=L_rampe),"Sortie de rampe","")</f>
        <v/>
      </c>
      <c r="Z725" s="402" t="str">
        <f aca="false">IF(ABS(t-T_para)&lt;pas/2,"Para","")</f>
        <v/>
      </c>
      <c r="AA725" s="403" t="str">
        <f aca="false">IF(ABS(t-T_satellite)&lt;pas/2,"Satellite","")</f>
        <v/>
      </c>
      <c r="AC725" s="399" t="e">
        <f aca="false">IF(ABS(t-ROUND(t,0))&lt;0.001,t,NA())</f>
        <v>#N/A</v>
      </c>
      <c r="AD725" s="404" t="e">
        <f aca="false">IF(ABS(t-ROUND(t,0))&lt;0.001,pos_x,NA())</f>
        <v>#N/A</v>
      </c>
      <c r="AE725" s="405" t="e">
        <f aca="false">IF(t&lt;T_para, pos_z, NA())</f>
        <v>#N/A</v>
      </c>
      <c r="AG725" s="396" t="n">
        <f aca="false">IF(AND(L724&lt;L_rampe,Poussee&lt;Poids*SIN(M724)),0,(-W724+Poussee)/m-Poids*SIN(M724)/m)</f>
        <v>2.41562320784713</v>
      </c>
      <c r="AH725" s="397" t="n">
        <f aca="false">IF(AND(L724&lt;L_rampe,Poussee&lt;Poids*SIN(M724)), g*SIN(M724), (-W724+Poussee)/m)</f>
        <v>-7.34619055943817</v>
      </c>
    </row>
    <row r="726" customFormat="false" ht="12.75" hidden="false" customHeight="false" outlineLevel="0" collapsed="false">
      <c r="A726" s="396" t="n">
        <f aca="false">IF(B725+0.01&lt;=T_ini+ROUNDUP(Temps_fin_propu,0), 0.01, IF(K725&gt;0, 0.1, 0.0001))</f>
        <v>0.0001</v>
      </c>
      <c r="B726" s="397" t="n">
        <f aca="false">B725+pas</f>
        <v>32.1221000000009</v>
      </c>
      <c r="D726" s="396" t="n">
        <f aca="false">IF(AND(L725&lt;L_rampe,Poussee&lt;Poids*SIN(M725)),0,(-W725+Poussee)/m*COS(M725)-U725/m*SIN(M725))</f>
        <v>-0.727225102362116</v>
      </c>
      <c r="E726" s="398" t="n">
        <f aca="false">IF(AND(L725&lt;L_rampe,Poussee&lt;Poids*SIN(M725)),0,(-W725+Poussee)/m*SIN(M725)+U725/m*COS(M725)-Poids/m)</f>
        <v>-2.49985406732823</v>
      </c>
      <c r="F726" s="397" t="n">
        <f aca="false">SQRT(acc_x^2+acc_z^2)</f>
        <v>2.60348357157157</v>
      </c>
      <c r="G726" s="396" t="n">
        <f aca="false">G725+acc_x*pas</f>
        <v>11.4812303165271</v>
      </c>
      <c r="H726" s="398" t="n">
        <f aca="false">H725+acc_z*pas</f>
        <v>-115.411558588446</v>
      </c>
      <c r="I726" s="397" t="n">
        <f aca="false">SQRT(vit_x^2+vit_z^2)</f>
        <v>115.981233419012</v>
      </c>
      <c r="J726" s="396" t="n">
        <f aca="false">J725+0.5*(vit_x+G725)*pas*(K725&gt;=0)</f>
        <v>690.928492655337</v>
      </c>
      <c r="K726" s="398" t="n">
        <f aca="false">K725+0.5*(vit_z+H725)*pas</f>
        <v>-11.1545890785736</v>
      </c>
      <c r="L726" s="397" t="n">
        <f aca="false">SQRT(pos_x^2+pos_z^2)</f>
        <v>691.018528565253</v>
      </c>
      <c r="M726" s="396" t="n">
        <f aca="false">IF(AND(L725&gt;L_rampe,G726&gt;0),ATAN2(G726,H726),$M$4)</f>
        <v>-1.47164179321865</v>
      </c>
      <c r="N726" s="397" t="n">
        <f aca="false">DEGREES(Beta)</f>
        <v>-84.318863706493</v>
      </c>
      <c r="P726" s="399" t="n">
        <f aca="false">MATCH(t-pas/2-T_ini,CdP_t)</f>
        <v>23</v>
      </c>
      <c r="Q726" s="397" t="n">
        <f aca="false">(INDEX(CdP,2,i_P+1)-INDEX(CdP,2,i_P+0))/(INDEX(CdP,1,i_P+1)-INDEX(CdP,1,i_P+0))*(t-pas/2-T_ini-INDEX(CdP,1,i_P+0))+INDEX(CdP,2,i_P+0)</f>
        <v>0</v>
      </c>
      <c r="R726" s="396" t="n">
        <f aca="false">Poussee/(g*ISP)</f>
        <v>0</v>
      </c>
      <c r="S726" s="398" t="n">
        <f aca="false">S725-Débit*pas</f>
        <v>8.45</v>
      </c>
      <c r="T726" s="397" t="n">
        <f aca="false">m*g</f>
        <v>82.8945</v>
      </c>
      <c r="U726" s="400" t="n">
        <f aca="false">IF(pos_xz&lt;L_rampe,Poids*COS(Beta),0)</f>
        <v>0</v>
      </c>
      <c r="V726" s="396" t="n">
        <f aca="false">Rho_moyen*(20000-Alt_rampe-pos_z)/(20000+Alt_rampe+pos_z)</f>
        <v>1.22636719968966</v>
      </c>
      <c r="W726" s="397" t="n">
        <f aca="false">1/2*Rho*Sref*Cx*vit_xz^2</f>
        <v>62.0759706662964</v>
      </c>
      <c r="Y726" s="401" t="str">
        <f aca="false">IF(AND(pos_z&lt;=0,K725&gt;0),"Impact balistique","") &amp; IF(AND(H727&lt;0,vit_z&gt;=0),"Apogée","") &amp; IF(AND(Poussee=0,Q725&gt;0),"Fin de propulsion","") &amp; IF(AND(L727&gt;L_rampe,pos_xz&lt;=L_rampe),"Sortie de rampe","")</f>
        <v/>
      </c>
      <c r="Z726" s="402" t="str">
        <f aca="false">IF(ABS(t-T_para)&lt;pas/2,"Para","")</f>
        <v/>
      </c>
      <c r="AA726" s="403" t="str">
        <f aca="false">IF(ABS(t-T_satellite)&lt;pas/2,"Satellite","")</f>
        <v/>
      </c>
      <c r="AC726" s="399" t="e">
        <f aca="false">IF(ABS(t-ROUND(t,0))&lt;0.001,t,NA())</f>
        <v>#N/A</v>
      </c>
      <c r="AD726" s="404" t="e">
        <f aca="false">IF(ABS(t-ROUND(t,0))&lt;0.001,pos_x,NA())</f>
        <v>#N/A</v>
      </c>
      <c r="AE726" s="405" t="e">
        <f aca="false">IF(t&lt;T_para, pos_z, NA())</f>
        <v>#N/A</v>
      </c>
      <c r="AG726" s="396" t="n">
        <f aca="false">IF(AND(L725&lt;L_rampe,Poussee&lt;Poids*SIN(M725)),0,(-W725+Poussee)/m-Poids*SIN(M725)/m)</f>
        <v>2.4155849415928</v>
      </c>
      <c r="AH726" s="397" t="n">
        <f aca="false">IF(AND(L725&lt;L_rampe,Poussee&lt;Poids*SIN(M725)), g*SIN(M725), (-W725+Poussee)/m)</f>
        <v>-7.34622963883265</v>
      </c>
    </row>
    <row r="727" customFormat="false" ht="12.75" hidden="false" customHeight="false" outlineLevel="0" collapsed="false">
      <c r="A727" s="396" t="n">
        <f aca="false">IF(B726+0.01&lt;=T_ini+ROUNDUP(Temps_fin_propu,0), 0.01, IF(K726&gt;0, 0.1, 0.0001))</f>
        <v>0.0001</v>
      </c>
      <c r="B727" s="397" t="n">
        <f aca="false">B726+pas</f>
        <v>32.1222000000009</v>
      </c>
      <c r="D727" s="396" t="n">
        <f aca="false">IF(AND(L726&lt;L_rampe,Poussee&lt;Poids*SIN(M726)),0,(-W726+Poussee)/m*COS(M726)-U726/m*SIN(M726))</f>
        <v>-0.727222850033411</v>
      </c>
      <c r="E727" s="398" t="n">
        <f aca="false">IF(AND(L726&lt;L_rampe,Poussee&lt;Poids*SIN(M726)),0,(-W726+Poussee)/m*SIN(M726)+U726/m*COS(M726)-Poids/m)</f>
        <v>-2.49981457129456</v>
      </c>
      <c r="F727" s="397" t="n">
        <f aca="false">SQRT(acc_x^2+acc_z^2)</f>
        <v>2.60344501852206</v>
      </c>
      <c r="G727" s="396" t="n">
        <f aca="false">G726+acc_x*pas</f>
        <v>11.4811575942421</v>
      </c>
      <c r="H727" s="398" t="n">
        <f aca="false">H726+acc_z*pas</f>
        <v>-115.411808569903</v>
      </c>
      <c r="I727" s="397" t="n">
        <f aca="false">SQRT(vit_x^2+vit_z^2)</f>
        <v>115.981474973721</v>
      </c>
      <c r="J727" s="396" t="n">
        <f aca="false">J726+0.5*(vit_x+G726)*pas*(K726&gt;=0)</f>
        <v>690.928492655337</v>
      </c>
      <c r="K727" s="398" t="n">
        <f aca="false">K726+0.5*(vit_z+H726)*pas</f>
        <v>-11.1661302469315</v>
      </c>
      <c r="L727" s="397" t="n">
        <f aca="false">SQRT(pos_x^2+pos_z^2)</f>
        <v>691.018714961952</v>
      </c>
      <c r="M727" s="396" t="n">
        <f aca="false">IF(AND(L726&gt;L_rampe,G727&gt;0),ATAN2(G727,H727),$M$4)</f>
        <v>-1.47164263051864</v>
      </c>
      <c r="N727" s="397" t="n">
        <f aca="false">DEGREES(Beta)</f>
        <v>-84.3189116802486</v>
      </c>
      <c r="P727" s="399" t="n">
        <f aca="false">MATCH(t-pas/2-T_ini,CdP_t)</f>
        <v>23</v>
      </c>
      <c r="Q727" s="397" t="n">
        <f aca="false">(INDEX(CdP,2,i_P+1)-INDEX(CdP,2,i_P+0))/(INDEX(CdP,1,i_P+1)-INDEX(CdP,1,i_P+0))*(t-pas/2-T_ini-INDEX(CdP,1,i_P+0))+INDEX(CdP,2,i_P+0)</f>
        <v>0</v>
      </c>
      <c r="R727" s="396" t="n">
        <f aca="false">Poussee/(g*ISP)</f>
        <v>0</v>
      </c>
      <c r="S727" s="398" t="n">
        <f aca="false">S726-Débit*pas</f>
        <v>8.45</v>
      </c>
      <c r="T727" s="397" t="n">
        <f aca="false">m*g</f>
        <v>82.8945</v>
      </c>
      <c r="U727" s="400" t="n">
        <f aca="false">IF(pos_xz&lt;L_rampe,Poids*COS(Beta),0)</f>
        <v>0</v>
      </c>
      <c r="V727" s="396" t="n">
        <f aca="false">Rho_moyen*(20000-Alt_rampe-pos_z)/(20000+Alt_rampe+pos_z)</f>
        <v>1.22636861506195</v>
      </c>
      <c r="W727" s="397" t="n">
        <f aca="false">1/2*Rho*Sref*Cx*vit_xz^2</f>
        <v>62.0763008817339</v>
      </c>
      <c r="Y727" s="401" t="str">
        <f aca="false">IF(AND(pos_z&lt;=0,K726&gt;0),"Impact balistique","") &amp; IF(AND(H728&lt;0,vit_z&gt;=0),"Apogée","") &amp; IF(AND(Poussee=0,Q726&gt;0),"Fin de propulsion","") &amp; IF(AND(L728&gt;L_rampe,pos_xz&lt;=L_rampe),"Sortie de rampe","")</f>
        <v/>
      </c>
      <c r="Z727" s="402" t="str">
        <f aca="false">IF(ABS(t-T_para)&lt;pas/2,"Para","")</f>
        <v/>
      </c>
      <c r="AA727" s="403" t="str">
        <f aca="false">IF(ABS(t-T_satellite)&lt;pas/2,"Satellite","")</f>
        <v/>
      </c>
      <c r="AC727" s="399" t="e">
        <f aca="false">IF(ABS(t-ROUND(t,0))&lt;0.001,t,NA())</f>
        <v>#N/A</v>
      </c>
      <c r="AD727" s="404" t="e">
        <f aca="false">IF(ABS(t-ROUND(t,0))&lt;0.001,pos_x,NA())</f>
        <v>#N/A</v>
      </c>
      <c r="AE727" s="405" t="e">
        <f aca="false">IF(t&lt;T_para, pos_z, NA())</f>
        <v>#N/A</v>
      </c>
      <c r="AG727" s="396" t="n">
        <f aca="false">IF(AND(L726&lt;L_rampe,Poussee&lt;Poids*SIN(M726)),0,(-W726+Poussee)/m-Poids*SIN(M726)/m)</f>
        <v>2.41554667564531</v>
      </c>
      <c r="AH727" s="397" t="n">
        <f aca="false">IF(AND(L726&lt;L_rampe,Poussee&lt;Poids*SIN(M726)), g*SIN(M726), (-W726+Poussee)/m)</f>
        <v>-7.34626871790489</v>
      </c>
    </row>
    <row r="728" customFormat="false" ht="12.75" hidden="false" customHeight="false" outlineLevel="0" collapsed="false">
      <c r="A728" s="396" t="n">
        <f aca="false">IF(B727+0.01&lt;=T_ini+ROUNDUP(Temps_fin_propu,0), 0.01, IF(K727&gt;0, 0.1, 0.0001))</f>
        <v>0.0001</v>
      </c>
      <c r="B728" s="397" t="n">
        <f aca="false">B727+pas</f>
        <v>32.1223000000009</v>
      </c>
      <c r="D728" s="396" t="n">
        <f aca="false">IF(AND(L727&lt;L_rampe,Poussee&lt;Poids*SIN(M727)),0,(-W727+Poussee)/m*COS(M727)-U727/m*SIN(M727))</f>
        <v>-0.727220597671442</v>
      </c>
      <c r="E728" s="398" t="n">
        <f aca="false">IF(AND(L727&lt;L_rampe,Poussee&lt;Poids*SIN(M727)),0,(-W727+Poussee)/m*SIN(M727)+U727/m*COS(M727)-Poids/m)</f>
        <v>-2.49977507558659</v>
      </c>
      <c r="F728" s="397" t="n">
        <f aca="false">SQRT(acc_x^2+acc_z^2)</f>
        <v>2.60340646580621</v>
      </c>
      <c r="G728" s="396" t="n">
        <f aca="false">G727+acc_x*pas</f>
        <v>11.4810848721823</v>
      </c>
      <c r="H728" s="398" t="n">
        <f aca="false">H727+acc_z*pas</f>
        <v>-115.412058547411</v>
      </c>
      <c r="I728" s="397" t="n">
        <f aca="false">SQRT(vit_x^2+vit_z^2)</f>
        <v>115.981716524602</v>
      </c>
      <c r="J728" s="396" t="n">
        <f aca="false">J727+0.5*(vit_x+G727)*pas*(K727&gt;=0)</f>
        <v>690.928492655337</v>
      </c>
      <c r="K728" s="398" t="n">
        <f aca="false">K727+0.5*(vit_z+H727)*pas</f>
        <v>-11.1776714402874</v>
      </c>
      <c r="L728" s="397" t="n">
        <f aca="false">SQRT(pos_x^2+pos_z^2)</f>
        <v>691.018901551761</v>
      </c>
      <c r="M728" s="396" t="n">
        <f aca="false">IF(AND(L727&gt;L_rampe,G728&gt;0),ATAN2(G728,H728),$M$4)</f>
        <v>-1.47164346780984</v>
      </c>
      <c r="N728" s="397" t="n">
        <f aca="false">DEGREES(Beta)</f>
        <v>-84.3189596535005</v>
      </c>
      <c r="P728" s="399" t="n">
        <f aca="false">MATCH(t-pas/2-T_ini,CdP_t)</f>
        <v>23</v>
      </c>
      <c r="Q728" s="397" t="n">
        <f aca="false">(INDEX(CdP,2,i_P+1)-INDEX(CdP,2,i_P+0))/(INDEX(CdP,1,i_P+1)-INDEX(CdP,1,i_P+0))*(t-pas/2-T_ini-INDEX(CdP,1,i_P+0))+INDEX(CdP,2,i_P+0)</f>
        <v>0</v>
      </c>
      <c r="R728" s="396" t="n">
        <f aca="false">Poussee/(g*ISP)</f>
        <v>0</v>
      </c>
      <c r="S728" s="398" t="n">
        <f aca="false">S727-Débit*pas</f>
        <v>8.45</v>
      </c>
      <c r="T728" s="397" t="n">
        <f aca="false">m*g</f>
        <v>82.8945</v>
      </c>
      <c r="U728" s="400" t="n">
        <f aca="false">IF(pos_xz&lt;L_rampe,Poids*COS(Beta),0)</f>
        <v>0</v>
      </c>
      <c r="V728" s="396" t="n">
        <f aca="false">Rho_moyen*(20000-Alt_rampe-pos_z)/(20000+Alt_rampe+pos_z)</f>
        <v>1.22637003043894</v>
      </c>
      <c r="W728" s="397" t="n">
        <f aca="false">1/2*Rho*Sref*Cx*vit_xz^2</f>
        <v>62.0766310944486</v>
      </c>
      <c r="Y728" s="401" t="str">
        <f aca="false">IF(AND(pos_z&lt;=0,K727&gt;0),"Impact balistique","") &amp; IF(AND(H729&lt;0,vit_z&gt;=0),"Apogée","") &amp; IF(AND(Poussee=0,Q727&gt;0),"Fin de propulsion","") &amp; IF(AND(L729&gt;L_rampe,pos_xz&lt;=L_rampe),"Sortie de rampe","")</f>
        <v/>
      </c>
      <c r="Z728" s="402" t="str">
        <f aca="false">IF(ABS(t-T_para)&lt;pas/2,"Para","")</f>
        <v/>
      </c>
      <c r="AA728" s="403" t="str">
        <f aca="false">IF(ABS(t-T_satellite)&lt;pas/2,"Satellite","")</f>
        <v/>
      </c>
      <c r="AC728" s="399" t="e">
        <f aca="false">IF(ABS(t-ROUND(t,0))&lt;0.001,t,NA())</f>
        <v>#N/A</v>
      </c>
      <c r="AD728" s="404" t="e">
        <f aca="false">IF(ABS(t-ROUND(t,0))&lt;0.001,pos_x,NA())</f>
        <v>#N/A</v>
      </c>
      <c r="AE728" s="405" t="e">
        <f aca="false">IF(t&lt;T_para, pos_z, NA())</f>
        <v>#N/A</v>
      </c>
      <c r="AG728" s="396" t="n">
        <f aca="false">IF(AND(L727&lt;L_rampe,Poussee&lt;Poids*SIN(M727)),0,(-W727+Poussee)/m-Poids*SIN(M727)/m)</f>
        <v>2.41550841000469</v>
      </c>
      <c r="AH728" s="397" t="n">
        <f aca="false">IF(AND(L727&lt;L_rampe,Poussee&lt;Poids*SIN(M727)), g*SIN(M727), (-W727+Poussee)/m)</f>
        <v>-7.3463077966549</v>
      </c>
    </row>
    <row r="729" customFormat="false" ht="12.75" hidden="false" customHeight="false" outlineLevel="0" collapsed="false">
      <c r="A729" s="396" t="n">
        <f aca="false">IF(B728+0.01&lt;=T_ini+ROUNDUP(Temps_fin_propu,0), 0.01, IF(K728&gt;0, 0.1, 0.0001))</f>
        <v>0.0001</v>
      </c>
      <c r="B729" s="397" t="n">
        <f aca="false">B728+pas</f>
        <v>32.1224000000009</v>
      </c>
      <c r="D729" s="396" t="n">
        <f aca="false">IF(AND(L728&lt;L_rampe,Poussee&lt;Poids*SIN(M728)),0,(-W728+Poussee)/m*COS(M728)-U728/m*SIN(M728))</f>
        <v>-0.727218345276211</v>
      </c>
      <c r="E729" s="398" t="n">
        <f aca="false">IF(AND(L728&lt;L_rampe,Poussee&lt;Poids*SIN(M728)),0,(-W728+Poussee)/m*SIN(M728)+U728/m*COS(M728)-Poids/m)</f>
        <v>-2.49973558020431</v>
      </c>
      <c r="F729" s="397" t="n">
        <f aca="false">SQRT(acc_x^2+acc_z^2)</f>
        <v>2.60336791342401</v>
      </c>
      <c r="G729" s="396" t="n">
        <f aca="false">G728+acc_x*pas</f>
        <v>11.4810121503478</v>
      </c>
      <c r="H729" s="398" t="n">
        <f aca="false">H728+acc_z*pas</f>
        <v>-115.412308520969</v>
      </c>
      <c r="I729" s="397" t="n">
        <f aca="false">SQRT(vit_x^2+vit_z^2)</f>
        <v>115.981958071657</v>
      </c>
      <c r="J729" s="396" t="n">
        <f aca="false">J728+0.5*(vit_x+G728)*pas*(K728&gt;=0)</f>
        <v>690.928492655337</v>
      </c>
      <c r="K729" s="398" t="n">
        <f aca="false">K728+0.5*(vit_z+H728)*pas</f>
        <v>-11.1892126586408</v>
      </c>
      <c r="L729" s="397" t="n">
        <f aca="false">SQRT(pos_x^2+pos_z^2)</f>
        <v>691.019088334683</v>
      </c>
      <c r="M729" s="396" t="n">
        <f aca="false">IF(AND(L728&gt;L_rampe,G729&gt;0),ATAN2(G729,H729),$M$4)</f>
        <v>-1.47164430509225</v>
      </c>
      <c r="N729" s="397" t="n">
        <f aca="false">DEGREES(Beta)</f>
        <v>-84.3190076262487</v>
      </c>
      <c r="P729" s="399" t="n">
        <f aca="false">MATCH(t-pas/2-T_ini,CdP_t)</f>
        <v>23</v>
      </c>
      <c r="Q729" s="397" t="n">
        <f aca="false">(INDEX(CdP,2,i_P+1)-INDEX(CdP,2,i_P+0))/(INDEX(CdP,1,i_P+1)-INDEX(CdP,1,i_P+0))*(t-pas/2-T_ini-INDEX(CdP,1,i_P+0))+INDEX(CdP,2,i_P+0)</f>
        <v>0</v>
      </c>
      <c r="R729" s="396" t="n">
        <f aca="false">Poussee/(g*ISP)</f>
        <v>0</v>
      </c>
      <c r="S729" s="398" t="n">
        <f aca="false">S728-Débit*pas</f>
        <v>8.45</v>
      </c>
      <c r="T729" s="397" t="n">
        <f aca="false">m*g</f>
        <v>82.8945</v>
      </c>
      <c r="U729" s="400" t="n">
        <f aca="false">IF(pos_xz&lt;L_rampe,Poids*COS(Beta),0)</f>
        <v>0</v>
      </c>
      <c r="V729" s="396" t="n">
        <f aca="false">Rho_moyen*(20000-Alt_rampe-pos_z)/(20000+Alt_rampe+pos_z)</f>
        <v>1.22637144582063</v>
      </c>
      <c r="W729" s="397" t="n">
        <f aca="false">1/2*Rho*Sref*Cx*vit_xz^2</f>
        <v>62.0769613044404</v>
      </c>
      <c r="Y729" s="401" t="str">
        <f aca="false">IF(AND(pos_z&lt;=0,K728&gt;0),"Impact balistique","") &amp; IF(AND(H730&lt;0,vit_z&gt;=0),"Apogée","") &amp; IF(AND(Poussee=0,Q728&gt;0),"Fin de propulsion","") &amp; IF(AND(L730&gt;L_rampe,pos_xz&lt;=L_rampe),"Sortie de rampe","")</f>
        <v/>
      </c>
      <c r="Z729" s="402" t="str">
        <f aca="false">IF(ABS(t-T_para)&lt;pas/2,"Para","")</f>
        <v/>
      </c>
      <c r="AA729" s="403" t="str">
        <f aca="false">IF(ABS(t-T_satellite)&lt;pas/2,"Satellite","")</f>
        <v/>
      </c>
      <c r="AC729" s="399" t="e">
        <f aca="false">IF(ABS(t-ROUND(t,0))&lt;0.001,t,NA())</f>
        <v>#N/A</v>
      </c>
      <c r="AD729" s="404" t="e">
        <f aca="false">IF(ABS(t-ROUND(t,0))&lt;0.001,pos_x,NA())</f>
        <v>#N/A</v>
      </c>
      <c r="AE729" s="405" t="e">
        <f aca="false">IF(t&lt;T_para, pos_z, NA())</f>
        <v>#N/A</v>
      </c>
      <c r="AG729" s="396" t="n">
        <f aca="false">IF(AND(L728&lt;L_rampe,Poussee&lt;Poids*SIN(M728)),0,(-W728+Poussee)/m-Poids*SIN(M728)/m)</f>
        <v>2.41547014467091</v>
      </c>
      <c r="AH729" s="397" t="n">
        <f aca="false">IF(AND(L728&lt;L_rampe,Poussee&lt;Poids*SIN(M728)), g*SIN(M728), (-W728+Poussee)/m)</f>
        <v>-7.34634687508268</v>
      </c>
    </row>
    <row r="730" customFormat="false" ht="12.75" hidden="false" customHeight="false" outlineLevel="0" collapsed="false">
      <c r="A730" s="396" t="n">
        <f aca="false">IF(B729+0.01&lt;=T_ini+ROUNDUP(Temps_fin_propu,0), 0.01, IF(K729&gt;0, 0.1, 0.0001))</f>
        <v>0.0001</v>
      </c>
      <c r="B730" s="397" t="n">
        <f aca="false">B729+pas</f>
        <v>32.1225000000009</v>
      </c>
      <c r="D730" s="396" t="n">
        <f aca="false">IF(AND(L729&lt;L_rampe,Poussee&lt;Poids*SIN(M729)),0,(-W729+Poussee)/m*COS(M729)-U729/m*SIN(M729))</f>
        <v>-0.727216092847717</v>
      </c>
      <c r="E730" s="398" t="n">
        <f aca="false">IF(AND(L729&lt;L_rampe,Poussee&lt;Poids*SIN(M729)),0,(-W729+Poussee)/m*SIN(M729)+U729/m*COS(M729)-Poids/m)</f>
        <v>-2.49969608514773</v>
      </c>
      <c r="F730" s="397" t="n">
        <f aca="false">SQRT(acc_x^2+acc_z^2)</f>
        <v>2.60332936137547</v>
      </c>
      <c r="G730" s="396" t="n">
        <f aca="false">G729+acc_x*pas</f>
        <v>11.4809394287385</v>
      </c>
      <c r="H730" s="398" t="n">
        <f aca="false">H729+acc_z*pas</f>
        <v>-115.412558490577</v>
      </c>
      <c r="I730" s="397" t="n">
        <f aca="false">SQRT(vit_x^2+vit_z^2)</f>
        <v>115.982199614886</v>
      </c>
      <c r="J730" s="396" t="n">
        <f aca="false">J729+0.5*(vit_x+G729)*pas*(K729&gt;=0)</f>
        <v>690.928492655337</v>
      </c>
      <c r="K730" s="398" t="n">
        <f aca="false">K729+0.5*(vit_z+H729)*pas</f>
        <v>-11.2007539019914</v>
      </c>
      <c r="L730" s="397" t="n">
        <f aca="false">SQRT(pos_x^2+pos_z^2)</f>
        <v>691.019275310717</v>
      </c>
      <c r="M730" s="396" t="n">
        <f aca="false">IF(AND(L729&gt;L_rampe,G730&gt;0),ATAN2(G730,H730),$M$4)</f>
        <v>-1.47164514236587</v>
      </c>
      <c r="N730" s="397" t="n">
        <f aca="false">DEGREES(Beta)</f>
        <v>-84.3190555984933</v>
      </c>
      <c r="P730" s="399" t="n">
        <f aca="false">MATCH(t-pas/2-T_ini,CdP_t)</f>
        <v>23</v>
      </c>
      <c r="Q730" s="397" t="n">
        <f aca="false">(INDEX(CdP,2,i_P+1)-INDEX(CdP,2,i_P+0))/(INDEX(CdP,1,i_P+1)-INDEX(CdP,1,i_P+0))*(t-pas/2-T_ini-INDEX(CdP,1,i_P+0))+INDEX(CdP,2,i_P+0)</f>
        <v>0</v>
      </c>
      <c r="R730" s="396" t="n">
        <f aca="false">Poussee/(g*ISP)</f>
        <v>0</v>
      </c>
      <c r="S730" s="398" t="n">
        <f aca="false">S729-Débit*pas</f>
        <v>8.45</v>
      </c>
      <c r="T730" s="397" t="n">
        <f aca="false">m*g</f>
        <v>82.8945</v>
      </c>
      <c r="U730" s="400" t="n">
        <f aca="false">IF(pos_xz&lt;L_rampe,Poids*COS(Beta),0)</f>
        <v>0</v>
      </c>
      <c r="V730" s="396" t="n">
        <f aca="false">Rho_moyen*(20000-Alt_rampe-pos_z)/(20000+Alt_rampe+pos_z)</f>
        <v>1.22637286120702</v>
      </c>
      <c r="W730" s="397" t="n">
        <f aca="false">1/2*Rho*Sref*Cx*vit_xz^2</f>
        <v>62.0772915117094</v>
      </c>
      <c r="Y730" s="408" t="str">
        <f aca="false">IF(AND(pos_z&lt;=0,K729&gt;0),"Impact balistique","") &amp; IF(AND(H731&lt;0,vit_z&gt;=0),"Apogée","") &amp; IF(AND(Poussee=0,Q729&gt;0),"Fin de propulsion","") &amp; IF(AND(L731&gt;L_rampe,pos_xz&lt;=L_rampe),"Sortie de rampe","")</f>
        <v/>
      </c>
      <c r="Z730" s="402" t="str">
        <f aca="false">IF(ABS(t-T_para)&lt;pas/2,"Para","")</f>
        <v/>
      </c>
      <c r="AA730" s="403" t="str">
        <f aca="false">IF(ABS(t-T_satellite)&lt;pas/2,"Satellite","")</f>
        <v/>
      </c>
      <c r="AC730" s="399" t="e">
        <f aca="false">IF(ABS(t-ROUND(t,0))&lt;0.001,t,NA())</f>
        <v>#N/A</v>
      </c>
      <c r="AD730" s="404" t="e">
        <f aca="false">IF(ABS(t-ROUND(t,0))&lt;0.001,pos_x,NA())</f>
        <v>#N/A</v>
      </c>
      <c r="AE730" s="405" t="e">
        <f aca="false">IF(t&lt;T_para, pos_z, NA())</f>
        <v>#N/A</v>
      </c>
      <c r="AG730" s="396" t="n">
        <f aca="false">IF(AND(L729&lt;L_rampe,Poussee&lt;Poids*SIN(M729)),0,(-W729+Poussee)/m-Poids*SIN(M729)/m)</f>
        <v>2.41543187964399</v>
      </c>
      <c r="AH730" s="397" t="n">
        <f aca="false">IF(AND(L729&lt;L_rampe,Poussee&lt;Poids*SIN(M729)), g*SIN(M729), (-W729+Poussee)/m)</f>
        <v>-7.34638595318822</v>
      </c>
    </row>
    <row r="731" customFormat="false" ht="12.75" hidden="false" customHeight="false" outlineLevel="0" collapsed="false">
      <c r="A731" s="396" t="n">
        <f aca="false">IF(B730+0.01&lt;=T_ini+ROUNDUP(Temps_fin_propu,0), 0.01, IF(K730&gt;0, 0.1, 0.0001))</f>
        <v>0.0001</v>
      </c>
      <c r="B731" s="397" t="n">
        <f aca="false">B730+pas</f>
        <v>32.1226000000009</v>
      </c>
      <c r="D731" s="396" t="n">
        <f aca="false">IF(AND(L730&lt;L_rampe,Poussee&lt;Poids*SIN(M730)),0,(-W730+Poussee)/m*COS(M730)-U730/m*SIN(M730))</f>
        <v>-0.727213840385962</v>
      </c>
      <c r="E731" s="398" t="n">
        <f aca="false">IF(AND(L730&lt;L_rampe,Poussee&lt;Poids*SIN(M730)),0,(-W730+Poussee)/m*SIN(M730)+U730/m*COS(M730)-Poids/m)</f>
        <v>-2.49965659041683</v>
      </c>
      <c r="F731" s="397" t="n">
        <f aca="false">SQRT(acc_x^2+acc_z^2)</f>
        <v>2.60329080966058</v>
      </c>
      <c r="G731" s="396" t="n">
        <f aca="false">G730+acc_x*pas</f>
        <v>11.4808667073545</v>
      </c>
      <c r="H731" s="398" t="n">
        <f aca="false">H730+acc_z*pas</f>
        <v>-115.412808456236</v>
      </c>
      <c r="I731" s="397" t="n">
        <f aca="false">SQRT(vit_x^2+vit_z^2)</f>
        <v>115.982441154288</v>
      </c>
      <c r="J731" s="396" t="n">
        <f aca="false">J730+0.5*(vit_x+G730)*pas*(K730&gt;=0)</f>
        <v>690.928492655337</v>
      </c>
      <c r="K731" s="398" t="n">
        <f aca="false">K730+0.5*(vit_z+H730)*pas</f>
        <v>-11.2122951703387</v>
      </c>
      <c r="L731" s="397" t="n">
        <f aca="false">SQRT(pos_x^2+pos_z^2)</f>
        <v>691.019462479866</v>
      </c>
      <c r="M731" s="396" t="n">
        <f aca="false">IF(AND(L730&gt;L_rampe,G731&gt;0),ATAN2(G731,H731),$M$4)</f>
        <v>-1.47164597963069</v>
      </c>
      <c r="N731" s="397" t="n">
        <f aca="false">DEGREES(Beta)</f>
        <v>-84.3191035702342</v>
      </c>
      <c r="P731" s="399" t="n">
        <f aca="false">MATCH(t-pas/2-T_ini,CdP_t)</f>
        <v>23</v>
      </c>
      <c r="Q731" s="397" t="n">
        <f aca="false">(INDEX(CdP,2,i_P+1)-INDEX(CdP,2,i_P+0))/(INDEX(CdP,1,i_P+1)-INDEX(CdP,1,i_P+0))*(t-pas/2-T_ini-INDEX(CdP,1,i_P+0))+INDEX(CdP,2,i_P+0)</f>
        <v>0</v>
      </c>
      <c r="R731" s="396" t="n">
        <f aca="false">Poussee/(g*ISP)</f>
        <v>0</v>
      </c>
      <c r="S731" s="398" t="n">
        <f aca="false">S730-Débit*pas</f>
        <v>8.45</v>
      </c>
      <c r="T731" s="397" t="n">
        <f aca="false">m*g</f>
        <v>82.8945</v>
      </c>
      <c r="U731" s="400" t="n">
        <f aca="false">IF(pos_xz&lt;L_rampe,Poids*COS(Beta),0)</f>
        <v>0</v>
      </c>
      <c r="V731" s="396" t="n">
        <f aca="false">Rho_moyen*(20000-Alt_rampe-pos_z)/(20000+Alt_rampe+pos_z)</f>
        <v>1.22637427659811</v>
      </c>
      <c r="W731" s="397" t="n">
        <f aca="false">1/2*Rho*Sref*Cx*vit_xz^2</f>
        <v>62.0776217162554</v>
      </c>
      <c r="Y731" s="408" t="str">
        <f aca="false">IF(AND(pos_z&lt;=0,K730&gt;0),"Impact balistique","") &amp; IF(AND(H732&lt;0,vit_z&gt;=0),"Apogée","") &amp; IF(AND(Poussee=0,Q730&gt;0),"Fin de propulsion","") &amp; IF(AND(L732&gt;L_rampe,pos_xz&lt;=L_rampe),"Sortie de rampe","")</f>
        <v/>
      </c>
      <c r="Z731" s="402" t="str">
        <f aca="false">IF(ABS(t-T_para)&lt;pas/2,"Para","")</f>
        <v/>
      </c>
      <c r="AA731" s="403" t="str">
        <f aca="false">IF(ABS(t-T_satellite)&lt;pas/2,"Satellite","")</f>
        <v/>
      </c>
      <c r="AC731" s="399" t="e">
        <f aca="false">IF(ABS(t-ROUND(t,0))&lt;0.001,t,NA())</f>
        <v>#N/A</v>
      </c>
      <c r="AD731" s="404" t="e">
        <f aca="false">IF(ABS(t-ROUND(t,0))&lt;0.001,pos_x,NA())</f>
        <v>#N/A</v>
      </c>
      <c r="AE731" s="405" t="e">
        <f aca="false">IF(t&lt;T_para, pos_z, NA())</f>
        <v>#N/A</v>
      </c>
      <c r="AG731" s="396" t="n">
        <f aca="false">IF(AND(L730&lt;L_rampe,Poussee&lt;Poids*SIN(M730)),0,(-W730+Poussee)/m-Poids*SIN(M730)/m)</f>
        <v>2.41539361492393</v>
      </c>
      <c r="AH731" s="397" t="n">
        <f aca="false">IF(AND(L730&lt;L_rampe,Poussee&lt;Poids*SIN(M730)), g*SIN(M730), (-W730+Poussee)/m)</f>
        <v>-7.34642503097152</v>
      </c>
    </row>
    <row r="732" customFormat="false" ht="12.75" hidden="false" customHeight="false" outlineLevel="0" collapsed="false">
      <c r="A732" s="396" t="n">
        <f aca="false">IF(B731+0.01&lt;=T_ini+ROUNDUP(Temps_fin_propu,0), 0.01, IF(K731&gt;0, 0.1, 0.0001))</f>
        <v>0.0001</v>
      </c>
      <c r="B732" s="397" t="n">
        <f aca="false">B731+pas</f>
        <v>32.1227000000009</v>
      </c>
      <c r="D732" s="396" t="n">
        <f aca="false">IF(AND(L731&lt;L_rampe,Poussee&lt;Poids*SIN(M731)),0,(-W731+Poussee)/m*COS(M731)-U731/m*SIN(M731))</f>
        <v>-0.727211587890949</v>
      </c>
      <c r="E732" s="398" t="n">
        <f aca="false">IF(AND(L731&lt;L_rampe,Poussee&lt;Poids*SIN(M731)),0,(-W731+Poussee)/m*SIN(M731)+U731/m*COS(M731)-Poids/m)</f>
        <v>-2.49961709601163</v>
      </c>
      <c r="F732" s="397" t="n">
        <f aca="false">SQRT(acc_x^2+acc_z^2)</f>
        <v>2.60325225827935</v>
      </c>
      <c r="G732" s="396" t="n">
        <f aca="false">G731+acc_x*pas</f>
        <v>11.4807939861957</v>
      </c>
      <c r="H732" s="398" t="n">
        <f aca="false">H731+acc_z*pas</f>
        <v>-115.413058417946</v>
      </c>
      <c r="I732" s="397" t="n">
        <f aca="false">SQRT(vit_x^2+vit_z^2)</f>
        <v>115.982682689864</v>
      </c>
      <c r="J732" s="396" t="n">
        <f aca="false">J731+0.5*(vit_x+G731)*pas*(K731&gt;=0)</f>
        <v>690.928492655337</v>
      </c>
      <c r="K732" s="398" t="n">
        <f aca="false">K731+0.5*(vit_z+H731)*pas</f>
        <v>-11.2238364636824</v>
      </c>
      <c r="L732" s="397" t="n">
        <f aca="false">SQRT(pos_x^2+pos_z^2)</f>
        <v>691.019649842129</v>
      </c>
      <c r="M732" s="396" t="n">
        <f aca="false">IF(AND(L731&gt;L_rampe,G732&gt;0),ATAN2(G732,H732),$M$4)</f>
        <v>-1.47164681688673</v>
      </c>
      <c r="N732" s="397" t="n">
        <f aca="false">DEGREES(Beta)</f>
        <v>-84.3191515414714</v>
      </c>
      <c r="P732" s="399" t="n">
        <f aca="false">MATCH(t-pas/2-T_ini,CdP_t)</f>
        <v>23</v>
      </c>
      <c r="Q732" s="397" t="n">
        <f aca="false">(INDEX(CdP,2,i_P+1)-INDEX(CdP,2,i_P+0))/(INDEX(CdP,1,i_P+1)-INDEX(CdP,1,i_P+0))*(t-pas/2-T_ini-INDEX(CdP,1,i_P+0))+INDEX(CdP,2,i_P+0)</f>
        <v>0</v>
      </c>
      <c r="R732" s="396" t="n">
        <f aca="false">Poussee/(g*ISP)</f>
        <v>0</v>
      </c>
      <c r="S732" s="398" t="n">
        <f aca="false">S731-Débit*pas</f>
        <v>8.45</v>
      </c>
      <c r="T732" s="397" t="n">
        <f aca="false">m*g</f>
        <v>82.8945</v>
      </c>
      <c r="U732" s="400" t="n">
        <f aca="false">IF(pos_xz&lt;L_rampe,Poids*COS(Beta),0)</f>
        <v>0</v>
      </c>
      <c r="V732" s="396" t="n">
        <f aca="false">Rho_moyen*(20000-Alt_rampe-pos_z)/(20000+Alt_rampe+pos_z)</f>
        <v>1.2263756919939</v>
      </c>
      <c r="W732" s="397" t="n">
        <f aca="false">1/2*Rho*Sref*Cx*vit_xz^2</f>
        <v>62.0779519180785</v>
      </c>
      <c r="Y732" s="408" t="str">
        <f aca="false">IF(AND(pos_z&lt;=0,K731&gt;0),"Impact balistique","") &amp; IF(AND(H733&lt;0,vit_z&gt;=0),"Apogée","") &amp; IF(AND(Poussee=0,Q731&gt;0),"Fin de propulsion","") &amp; IF(AND(L733&gt;L_rampe,pos_xz&lt;=L_rampe),"Sortie de rampe","")</f>
        <v/>
      </c>
      <c r="Z732" s="402" t="str">
        <f aca="false">IF(ABS(t-T_para)&lt;pas/2,"Para","")</f>
        <v/>
      </c>
      <c r="AA732" s="403" t="str">
        <f aca="false">IF(ABS(t-T_satellite)&lt;pas/2,"Satellite","")</f>
        <v/>
      </c>
      <c r="AC732" s="399" t="e">
        <f aca="false">IF(ABS(t-ROUND(t,0))&lt;0.001,t,NA())</f>
        <v>#N/A</v>
      </c>
      <c r="AD732" s="404" t="e">
        <f aca="false">IF(ABS(t-ROUND(t,0))&lt;0.001,pos_x,NA())</f>
        <v>#N/A</v>
      </c>
      <c r="AE732" s="405" t="e">
        <f aca="false">IF(t&lt;T_para, pos_z, NA())</f>
        <v>#N/A</v>
      </c>
      <c r="AG732" s="396" t="n">
        <f aca="false">IF(AND(L731&lt;L_rampe,Poussee&lt;Poids*SIN(M731)),0,(-W731+Poussee)/m-Poids*SIN(M731)/m)</f>
        <v>2.41535535051072</v>
      </c>
      <c r="AH732" s="397" t="n">
        <f aca="false">IF(AND(L731&lt;L_rampe,Poussee&lt;Poids*SIN(M731)), g*SIN(M731), (-W731+Poussee)/m)</f>
        <v>-7.34646410843259</v>
      </c>
    </row>
    <row r="733" customFormat="false" ht="12.75" hidden="false" customHeight="false" outlineLevel="0" collapsed="false">
      <c r="A733" s="396" t="n">
        <f aca="false">IF(B732+0.01&lt;=T_ini+ROUNDUP(Temps_fin_propu,0), 0.01, IF(K732&gt;0, 0.1, 0.0001))</f>
        <v>0.0001</v>
      </c>
      <c r="B733" s="397" t="n">
        <f aca="false">B732+pas</f>
        <v>32.1228000000009</v>
      </c>
      <c r="D733" s="396" t="n">
        <f aca="false">IF(AND(L732&lt;L_rampe,Poussee&lt;Poids*SIN(M732)),0,(-W732+Poussee)/m*COS(M732)-U732/m*SIN(M732))</f>
        <v>-0.727209335362675</v>
      </c>
      <c r="E733" s="398" t="n">
        <f aca="false">IF(AND(L732&lt;L_rampe,Poussee&lt;Poids*SIN(M732)),0,(-W732+Poussee)/m*SIN(M732)+U732/m*COS(M732)-Poids/m)</f>
        <v>-2.49957760193213</v>
      </c>
      <c r="F733" s="397" t="n">
        <f aca="false">SQRT(acc_x^2+acc_z^2)</f>
        <v>2.60321370723177</v>
      </c>
      <c r="G733" s="396" t="n">
        <f aca="false">G732+acc_x*pas</f>
        <v>11.4807212652622</v>
      </c>
      <c r="H733" s="398" t="n">
        <f aca="false">H732+acc_z*pas</f>
        <v>-115.413308375706</v>
      </c>
      <c r="I733" s="397" t="n">
        <f aca="false">SQRT(vit_x^2+vit_z^2)</f>
        <v>115.982924221613</v>
      </c>
      <c r="J733" s="396" t="n">
        <f aca="false">J732+0.5*(vit_x+G732)*pas*(K732&gt;=0)</f>
        <v>690.928492655337</v>
      </c>
      <c r="K733" s="398" t="n">
        <f aca="false">K732+0.5*(vit_z+H732)*pas</f>
        <v>-11.2353777820221</v>
      </c>
      <c r="L733" s="397" t="n">
        <f aca="false">SQRT(pos_x^2+pos_z^2)</f>
        <v>691.01983739751</v>
      </c>
      <c r="M733" s="396" t="n">
        <f aca="false">IF(AND(L732&gt;L_rampe,G733&gt;0),ATAN2(G733,H733),$M$4)</f>
        <v>-1.47164765413397</v>
      </c>
      <c r="N733" s="397" t="n">
        <f aca="false">DEGREES(Beta)</f>
        <v>-84.319199512205</v>
      </c>
      <c r="P733" s="399" t="n">
        <f aca="false">MATCH(t-pas/2-T_ini,CdP_t)</f>
        <v>23</v>
      </c>
      <c r="Q733" s="397" t="n">
        <f aca="false">(INDEX(CdP,2,i_P+1)-INDEX(CdP,2,i_P+0))/(INDEX(CdP,1,i_P+1)-INDEX(CdP,1,i_P+0))*(t-pas/2-T_ini-INDEX(CdP,1,i_P+0))+INDEX(CdP,2,i_P+0)</f>
        <v>0</v>
      </c>
      <c r="R733" s="396" t="n">
        <f aca="false">Poussee/(g*ISP)</f>
        <v>0</v>
      </c>
      <c r="S733" s="398" t="n">
        <f aca="false">S732-Débit*pas</f>
        <v>8.45</v>
      </c>
      <c r="T733" s="397" t="n">
        <f aca="false">m*g</f>
        <v>82.8945</v>
      </c>
      <c r="U733" s="400" t="n">
        <f aca="false">IF(pos_xz&lt;L_rampe,Poids*COS(Beta),0)</f>
        <v>0</v>
      </c>
      <c r="V733" s="396" t="n">
        <f aca="false">Rho_moyen*(20000-Alt_rampe-pos_z)/(20000+Alt_rampe+pos_z)</f>
        <v>1.22637710739439</v>
      </c>
      <c r="W733" s="397" t="n">
        <f aca="false">1/2*Rho*Sref*Cx*vit_xz^2</f>
        <v>62.0782821171787</v>
      </c>
      <c r="Y733" s="408" t="str">
        <f aca="false">IF(AND(pos_z&lt;=0,K732&gt;0),"Impact balistique","") &amp; IF(AND(H734&lt;0,vit_z&gt;=0),"Apogée","") &amp; IF(AND(Poussee=0,Q732&gt;0),"Fin de propulsion","") &amp; IF(AND(L734&gt;L_rampe,pos_xz&lt;=L_rampe),"Sortie de rampe","")</f>
        <v/>
      </c>
      <c r="Z733" s="402" t="str">
        <f aca="false">IF(ABS(t-T_para)&lt;pas/2,"Para","")</f>
        <v/>
      </c>
      <c r="AA733" s="403" t="str">
        <f aca="false">IF(ABS(t-T_satellite)&lt;pas/2,"Satellite","")</f>
        <v/>
      </c>
      <c r="AC733" s="399" t="e">
        <f aca="false">IF(ABS(t-ROUND(t,0))&lt;0.001,t,NA())</f>
        <v>#N/A</v>
      </c>
      <c r="AD733" s="404" t="e">
        <f aca="false">IF(ABS(t-ROUND(t,0))&lt;0.001,pos_x,NA())</f>
        <v>#N/A</v>
      </c>
      <c r="AE733" s="405" t="e">
        <f aca="false">IF(t&lt;T_para, pos_z, NA())</f>
        <v>#N/A</v>
      </c>
      <c r="AG733" s="396" t="n">
        <f aca="false">IF(AND(L732&lt;L_rampe,Poussee&lt;Poids*SIN(M732)),0,(-W732+Poussee)/m-Poids*SIN(M732)/m)</f>
        <v>2.41531708640437</v>
      </c>
      <c r="AH733" s="397" t="n">
        <f aca="false">IF(AND(L732&lt;L_rampe,Poussee&lt;Poids*SIN(M732)), g*SIN(M732), (-W732+Poussee)/m)</f>
        <v>-7.34650318557142</v>
      </c>
    </row>
    <row r="734" customFormat="false" ht="12.75" hidden="false" customHeight="false" outlineLevel="0" collapsed="false">
      <c r="A734" s="396" t="n">
        <f aca="false">IF(B733+0.01&lt;=T_ini+ROUNDUP(Temps_fin_propu,0), 0.01, IF(K733&gt;0, 0.1, 0.0001))</f>
        <v>0.0001</v>
      </c>
      <c r="B734" s="397" t="n">
        <f aca="false">B733+pas</f>
        <v>32.1229000000009</v>
      </c>
      <c r="D734" s="396" t="n">
        <f aca="false">IF(AND(L733&lt;L_rampe,Poussee&lt;Poids*SIN(M733)),0,(-W733+Poussee)/m*COS(M733)-U733/m*SIN(M733))</f>
        <v>-0.727207082801143</v>
      </c>
      <c r="E734" s="398" t="n">
        <f aca="false">IF(AND(L733&lt;L_rampe,Poussee&lt;Poids*SIN(M733)),0,(-W733+Poussee)/m*SIN(M733)+U733/m*COS(M733)-Poids/m)</f>
        <v>-2.49953810817832</v>
      </c>
      <c r="F734" s="397" t="n">
        <f aca="false">SQRT(acc_x^2+acc_z^2)</f>
        <v>2.60317515651786</v>
      </c>
      <c r="G734" s="396" t="n">
        <f aca="false">G733+acc_x*pas</f>
        <v>11.4806485445539</v>
      </c>
      <c r="H734" s="398" t="n">
        <f aca="false">H733+acc_z*pas</f>
        <v>-115.413558329517</v>
      </c>
      <c r="I734" s="397" t="n">
        <f aca="false">SQRT(vit_x^2+vit_z^2)</f>
        <v>115.983165749536</v>
      </c>
      <c r="J734" s="396" t="n">
        <f aca="false">J733+0.5*(vit_x+G733)*pas*(K733&gt;=0)</f>
        <v>690.928492655337</v>
      </c>
      <c r="K734" s="398" t="n">
        <f aca="false">K733+0.5*(vit_z+H733)*pas</f>
        <v>-11.2469191253574</v>
      </c>
      <c r="L734" s="397" t="n">
        <f aca="false">SQRT(pos_x^2+pos_z^2)</f>
        <v>691.020025146007</v>
      </c>
      <c r="M734" s="396" t="n">
        <f aca="false">IF(AND(L733&gt;L_rampe,G734&gt;0),ATAN2(G734,H734),$M$4)</f>
        <v>-1.47164849137243</v>
      </c>
      <c r="N734" s="397" t="n">
        <f aca="false">DEGREES(Beta)</f>
        <v>-84.3192474824349</v>
      </c>
      <c r="P734" s="399" t="n">
        <f aca="false">MATCH(t-pas/2-T_ini,CdP_t)</f>
        <v>23</v>
      </c>
      <c r="Q734" s="397" t="n">
        <f aca="false">(INDEX(CdP,2,i_P+1)-INDEX(CdP,2,i_P+0))/(INDEX(CdP,1,i_P+1)-INDEX(CdP,1,i_P+0))*(t-pas/2-T_ini-INDEX(CdP,1,i_P+0))+INDEX(CdP,2,i_P+0)</f>
        <v>0</v>
      </c>
      <c r="R734" s="396" t="n">
        <f aca="false">Poussee/(g*ISP)</f>
        <v>0</v>
      </c>
      <c r="S734" s="398" t="n">
        <f aca="false">S733-Débit*pas</f>
        <v>8.45</v>
      </c>
      <c r="T734" s="397" t="n">
        <f aca="false">m*g</f>
        <v>82.8945</v>
      </c>
      <c r="U734" s="400" t="n">
        <f aca="false">IF(pos_xz&lt;L_rampe,Poids*COS(Beta),0)</f>
        <v>0</v>
      </c>
      <c r="V734" s="396" t="n">
        <f aca="false">Rho_moyen*(20000-Alt_rampe-pos_z)/(20000+Alt_rampe+pos_z)</f>
        <v>1.22637852279958</v>
      </c>
      <c r="W734" s="397" t="n">
        <f aca="false">1/2*Rho*Sref*Cx*vit_xz^2</f>
        <v>62.0786123135561</v>
      </c>
      <c r="Y734" s="408" t="str">
        <f aca="false">IF(AND(pos_z&lt;=0,K733&gt;0),"Impact balistique","") &amp; IF(AND(H735&lt;0,vit_z&gt;=0),"Apogée","") &amp; IF(AND(Poussee=0,Q733&gt;0),"Fin de propulsion","") &amp; IF(AND(L735&gt;L_rampe,pos_xz&lt;=L_rampe),"Sortie de rampe","")</f>
        <v/>
      </c>
      <c r="Z734" s="402" t="str">
        <f aca="false">IF(ABS(t-T_para)&lt;pas/2,"Para","")</f>
        <v/>
      </c>
      <c r="AA734" s="403" t="str">
        <f aca="false">IF(ABS(t-T_satellite)&lt;pas/2,"Satellite","")</f>
        <v/>
      </c>
      <c r="AC734" s="399" t="e">
        <f aca="false">IF(ABS(t-ROUND(t,0))&lt;0.001,t,NA())</f>
        <v>#N/A</v>
      </c>
      <c r="AD734" s="404" t="e">
        <f aca="false">IF(ABS(t-ROUND(t,0))&lt;0.001,pos_x,NA())</f>
        <v>#N/A</v>
      </c>
      <c r="AE734" s="405" t="e">
        <f aca="false">IF(t&lt;T_para, pos_z, NA())</f>
        <v>#N/A</v>
      </c>
      <c r="AG734" s="396" t="n">
        <f aca="false">IF(AND(L733&lt;L_rampe,Poussee&lt;Poids*SIN(M733)),0,(-W733+Poussee)/m-Poids*SIN(M733)/m)</f>
        <v>2.41527882260488</v>
      </c>
      <c r="AH734" s="397" t="n">
        <f aca="false">IF(AND(L733&lt;L_rampe,Poussee&lt;Poids*SIN(M733)), g*SIN(M733), (-W733+Poussee)/m)</f>
        <v>-7.34654226238802</v>
      </c>
    </row>
    <row r="735" customFormat="false" ht="12.75" hidden="false" customHeight="false" outlineLevel="0" collapsed="false">
      <c r="A735" s="396" t="n">
        <f aca="false">IF(B734+0.01&lt;=T_ini+ROUNDUP(Temps_fin_propu,0), 0.01, IF(K734&gt;0, 0.1, 0.0001))</f>
        <v>0.0001</v>
      </c>
      <c r="B735" s="397" t="n">
        <f aca="false">B734+pas</f>
        <v>32.123000000001</v>
      </c>
      <c r="D735" s="396" t="n">
        <f aca="false">IF(AND(L734&lt;L_rampe,Poussee&lt;Poids*SIN(M734)),0,(-W734+Poussee)/m*COS(M734)-U734/m*SIN(M734))</f>
        <v>-0.727204830206353</v>
      </c>
      <c r="E735" s="398" t="n">
        <f aca="false">IF(AND(L734&lt;L_rampe,Poussee&lt;Poids*SIN(M734)),0,(-W734+Poussee)/m*SIN(M734)+U734/m*COS(M734)-Poids/m)</f>
        <v>-2.4994986147502</v>
      </c>
      <c r="F735" s="397" t="n">
        <f aca="false">SQRT(acc_x^2+acc_z^2)</f>
        <v>2.6031366061376</v>
      </c>
      <c r="G735" s="396" t="n">
        <f aca="false">G734+acc_x*pas</f>
        <v>11.4805758240709</v>
      </c>
      <c r="H735" s="398" t="n">
        <f aca="false">H734+acc_z*pas</f>
        <v>-115.413808279378</v>
      </c>
      <c r="I735" s="397" t="n">
        <f aca="false">SQRT(vit_x^2+vit_z^2)</f>
        <v>115.983407273633</v>
      </c>
      <c r="J735" s="396" t="n">
        <f aca="false">J734+0.5*(vit_x+G734)*pas*(K734&gt;=0)</f>
        <v>690.928492655337</v>
      </c>
      <c r="K735" s="398" t="n">
        <f aca="false">K734+0.5*(vit_z+H734)*pas</f>
        <v>-11.2584604936878</v>
      </c>
      <c r="L735" s="397" t="n">
        <f aca="false">SQRT(pos_x^2+pos_z^2)</f>
        <v>691.020213087623</v>
      </c>
      <c r="M735" s="396" t="n">
        <f aca="false">IF(AND(L734&gt;L_rampe,G735&gt;0),ATAN2(G735,H735),$M$4)</f>
        <v>-1.47164932860209</v>
      </c>
      <c r="N735" s="397" t="n">
        <f aca="false">DEGREES(Beta)</f>
        <v>-84.3192954521612</v>
      </c>
      <c r="P735" s="399" t="n">
        <f aca="false">MATCH(t-pas/2-T_ini,CdP_t)</f>
        <v>23</v>
      </c>
      <c r="Q735" s="397" t="n">
        <f aca="false">(INDEX(CdP,2,i_P+1)-INDEX(CdP,2,i_P+0))/(INDEX(CdP,1,i_P+1)-INDEX(CdP,1,i_P+0))*(t-pas/2-T_ini-INDEX(CdP,1,i_P+0))+INDEX(CdP,2,i_P+0)</f>
        <v>0</v>
      </c>
      <c r="R735" s="396" t="n">
        <f aca="false">Poussee/(g*ISP)</f>
        <v>0</v>
      </c>
      <c r="S735" s="398" t="n">
        <f aca="false">S734-Débit*pas</f>
        <v>8.45</v>
      </c>
      <c r="T735" s="397" t="n">
        <f aca="false">m*g</f>
        <v>82.8945</v>
      </c>
      <c r="U735" s="400" t="n">
        <f aca="false">IF(pos_xz&lt;L_rampe,Poids*COS(Beta),0)</f>
        <v>0</v>
      </c>
      <c r="V735" s="396" t="n">
        <f aca="false">Rho_moyen*(20000-Alt_rampe-pos_z)/(20000+Alt_rampe+pos_z)</f>
        <v>1.22637993820947</v>
      </c>
      <c r="W735" s="397" t="n">
        <f aca="false">1/2*Rho*Sref*Cx*vit_xz^2</f>
        <v>62.0789425072105</v>
      </c>
      <c r="Y735" s="408" t="str">
        <f aca="false">IF(AND(pos_z&lt;=0,K734&gt;0),"Impact balistique","") &amp; IF(AND(H736&lt;0,vit_z&gt;=0),"Apogée","") &amp; IF(AND(Poussee=0,Q734&gt;0),"Fin de propulsion","") &amp; IF(AND(L736&gt;L_rampe,pos_xz&lt;=L_rampe),"Sortie de rampe","")</f>
        <v/>
      </c>
      <c r="Z735" s="402" t="str">
        <f aca="false">IF(ABS(t-T_para)&lt;pas/2,"Para","")</f>
        <v/>
      </c>
      <c r="AA735" s="403" t="str">
        <f aca="false">IF(ABS(t-T_satellite)&lt;pas/2,"Satellite","")</f>
        <v/>
      </c>
      <c r="AC735" s="399" t="e">
        <f aca="false">IF(ABS(t-ROUND(t,0))&lt;0.001,t,NA())</f>
        <v>#N/A</v>
      </c>
      <c r="AD735" s="404" t="e">
        <f aca="false">IF(ABS(t-ROUND(t,0))&lt;0.001,pos_x,NA())</f>
        <v>#N/A</v>
      </c>
      <c r="AE735" s="405" t="e">
        <f aca="false">IF(t&lt;T_para, pos_z, NA())</f>
        <v>#N/A</v>
      </c>
      <c r="AG735" s="396" t="n">
        <f aca="false">IF(AND(L734&lt;L_rampe,Poussee&lt;Poids*SIN(M734)),0,(-W734+Poussee)/m-Poids*SIN(M734)/m)</f>
        <v>2.41524055911224</v>
      </c>
      <c r="AH735" s="397" t="n">
        <f aca="false">IF(AND(L734&lt;L_rampe,Poussee&lt;Poids*SIN(M734)), g*SIN(M734), (-W734+Poussee)/m)</f>
        <v>-7.34658133888238</v>
      </c>
    </row>
    <row r="736" customFormat="false" ht="12.75" hidden="false" customHeight="false" outlineLevel="0" collapsed="false">
      <c r="A736" s="396" t="n">
        <f aca="false">IF(B735+0.01&lt;=T_ini+ROUNDUP(Temps_fin_propu,0), 0.01, IF(K735&gt;0, 0.1, 0.0001))</f>
        <v>0.0001</v>
      </c>
      <c r="B736" s="397" t="n">
        <f aca="false">B735+pas</f>
        <v>32.123100000001</v>
      </c>
      <c r="D736" s="396" t="n">
        <f aca="false">IF(AND(L735&lt;L_rampe,Poussee&lt;Poids*SIN(M735)),0,(-W735+Poussee)/m*COS(M735)-U735/m*SIN(M735))</f>
        <v>-0.727202577578306</v>
      </c>
      <c r="E736" s="398" t="n">
        <f aca="false">IF(AND(L735&lt;L_rampe,Poussee&lt;Poids*SIN(M735)),0,(-W735+Poussee)/m*SIN(M735)+U735/m*COS(M735)-Poids/m)</f>
        <v>-2.49945912164777</v>
      </c>
      <c r="F736" s="397" t="n">
        <f aca="false">SQRT(acc_x^2+acc_z^2)</f>
        <v>2.60309805609101</v>
      </c>
      <c r="G736" s="396" t="n">
        <f aca="false">G735+acc_x*pas</f>
        <v>11.4805031038131</v>
      </c>
      <c r="H736" s="398" t="n">
        <f aca="false">H735+acc_z*pas</f>
        <v>-115.41405822529</v>
      </c>
      <c r="I736" s="397" t="n">
        <f aca="false">SQRT(vit_x^2+vit_z^2)</f>
        <v>115.983648793903</v>
      </c>
      <c r="J736" s="396" t="n">
        <f aca="false">J735+0.5*(vit_x+G735)*pas*(K735&gt;=0)</f>
        <v>690.928492655337</v>
      </c>
      <c r="K736" s="398" t="n">
        <f aca="false">K735+0.5*(vit_z+H735)*pas</f>
        <v>-11.2700018870131</v>
      </c>
      <c r="L736" s="397" t="n">
        <f aca="false">SQRT(pos_x^2+pos_z^2)</f>
        <v>691.020401222358</v>
      </c>
      <c r="M736" s="396" t="n">
        <f aca="false">IF(AND(L735&gt;L_rampe,G736&gt;0),ATAN2(G736,H736),$M$4)</f>
        <v>-1.47165016582297</v>
      </c>
      <c r="N736" s="397" t="n">
        <f aca="false">DEGREES(Beta)</f>
        <v>-84.3193434213838</v>
      </c>
      <c r="P736" s="399" t="n">
        <f aca="false">MATCH(t-pas/2-T_ini,CdP_t)</f>
        <v>23</v>
      </c>
      <c r="Q736" s="397" t="n">
        <f aca="false">(INDEX(CdP,2,i_P+1)-INDEX(CdP,2,i_P+0))/(INDEX(CdP,1,i_P+1)-INDEX(CdP,1,i_P+0))*(t-pas/2-T_ini-INDEX(CdP,1,i_P+0))+INDEX(CdP,2,i_P+0)</f>
        <v>0</v>
      </c>
      <c r="R736" s="396" t="n">
        <f aca="false">Poussee/(g*ISP)</f>
        <v>0</v>
      </c>
      <c r="S736" s="398" t="n">
        <f aca="false">S735-Débit*pas</f>
        <v>8.45</v>
      </c>
      <c r="T736" s="397" t="n">
        <f aca="false">m*g</f>
        <v>82.8945</v>
      </c>
      <c r="U736" s="400" t="n">
        <f aca="false">IF(pos_xz&lt;L_rampe,Poids*COS(Beta),0)</f>
        <v>0</v>
      </c>
      <c r="V736" s="396" t="n">
        <f aca="false">Rho_moyen*(20000-Alt_rampe-pos_z)/(20000+Alt_rampe+pos_z)</f>
        <v>1.22638135362406</v>
      </c>
      <c r="W736" s="397" t="n">
        <f aca="false">1/2*Rho*Sref*Cx*vit_xz^2</f>
        <v>62.079272698142</v>
      </c>
      <c r="Y736" s="408" t="str">
        <f aca="false">IF(AND(pos_z&lt;=0,K735&gt;0),"Impact balistique","") &amp; IF(AND(H737&lt;0,vit_z&gt;=0),"Apogée","") &amp; IF(AND(Poussee=0,Q735&gt;0),"Fin de propulsion","") &amp; IF(AND(L737&gt;L_rampe,pos_xz&lt;=L_rampe),"Sortie de rampe","")</f>
        <v/>
      </c>
      <c r="Z736" s="402" t="str">
        <f aca="false">IF(ABS(t-T_para)&lt;pas/2,"Para","")</f>
        <v/>
      </c>
      <c r="AA736" s="403" t="str">
        <f aca="false">IF(ABS(t-T_satellite)&lt;pas/2,"Satellite","")</f>
        <v/>
      </c>
      <c r="AC736" s="399" t="e">
        <f aca="false">IF(ABS(t-ROUND(t,0))&lt;0.001,t,NA())</f>
        <v>#N/A</v>
      </c>
      <c r="AD736" s="404" t="e">
        <f aca="false">IF(ABS(t-ROUND(t,0))&lt;0.001,pos_x,NA())</f>
        <v>#N/A</v>
      </c>
      <c r="AE736" s="405" t="e">
        <f aca="false">IF(t&lt;T_para, pos_z, NA())</f>
        <v>#N/A</v>
      </c>
      <c r="AG736" s="396" t="n">
        <f aca="false">IF(AND(L735&lt;L_rampe,Poussee&lt;Poids*SIN(M735)),0,(-W735+Poussee)/m-Poids*SIN(M735)/m)</f>
        <v>2.41520229592646</v>
      </c>
      <c r="AH736" s="397" t="n">
        <f aca="false">IF(AND(L735&lt;L_rampe,Poussee&lt;Poids*SIN(M735)), g*SIN(M735), (-W735+Poussee)/m)</f>
        <v>-7.3466204150545</v>
      </c>
    </row>
    <row r="737" customFormat="false" ht="12.75" hidden="false" customHeight="false" outlineLevel="0" collapsed="false">
      <c r="A737" s="396" t="n">
        <f aca="false">IF(B736+0.01&lt;=T_ini+ROUNDUP(Temps_fin_propu,0), 0.01, IF(K736&gt;0, 0.1, 0.0001))</f>
        <v>0.0001</v>
      </c>
      <c r="B737" s="397" t="n">
        <f aca="false">B736+pas</f>
        <v>32.123200000001</v>
      </c>
      <c r="D737" s="396" t="n">
        <f aca="false">IF(AND(L736&lt;L_rampe,Poussee&lt;Poids*SIN(M736)),0,(-W736+Poussee)/m*COS(M736)-U736/m*SIN(M736))</f>
        <v>-0.727200324917003</v>
      </c>
      <c r="E737" s="398" t="n">
        <f aca="false">IF(AND(L736&lt;L_rampe,Poussee&lt;Poids*SIN(M736)),0,(-W736+Poussee)/m*SIN(M736)+U736/m*COS(M736)-Poids/m)</f>
        <v>-2.49941962887105</v>
      </c>
      <c r="F737" s="397" t="n">
        <f aca="false">SQRT(acc_x^2+acc_z^2)</f>
        <v>2.60305950637808</v>
      </c>
      <c r="G737" s="396" t="n">
        <f aca="false">G736+acc_x*pas</f>
        <v>11.4804303837806</v>
      </c>
      <c r="H737" s="398" t="n">
        <f aca="false">H736+acc_z*pas</f>
        <v>-115.414308167253</v>
      </c>
      <c r="I737" s="397" t="n">
        <f aca="false">SQRT(vit_x^2+vit_z^2)</f>
        <v>115.983890310347</v>
      </c>
      <c r="J737" s="396" t="n">
        <f aca="false">J736+0.5*(vit_x+G736)*pas*(K736&gt;=0)</f>
        <v>690.928492655337</v>
      </c>
      <c r="K737" s="398" t="n">
        <f aca="false">K736+0.5*(vit_z+H736)*pas</f>
        <v>-11.2815433053327</v>
      </c>
      <c r="L737" s="397" t="n">
        <f aca="false">SQRT(pos_x^2+pos_z^2)</f>
        <v>691.020589550214</v>
      </c>
      <c r="M737" s="396" t="n">
        <f aca="false">IF(AND(L736&gt;L_rampe,G737&gt;0),ATAN2(G737,H737),$M$4)</f>
        <v>-1.47165100303505</v>
      </c>
      <c r="N737" s="397" t="n">
        <f aca="false">DEGREES(Beta)</f>
        <v>-84.3193913901028</v>
      </c>
      <c r="P737" s="399" t="n">
        <f aca="false">MATCH(t-pas/2-T_ini,CdP_t)</f>
        <v>23</v>
      </c>
      <c r="Q737" s="397" t="n">
        <f aca="false">(INDEX(CdP,2,i_P+1)-INDEX(CdP,2,i_P+0))/(INDEX(CdP,1,i_P+1)-INDEX(CdP,1,i_P+0))*(t-pas/2-T_ini-INDEX(CdP,1,i_P+0))+INDEX(CdP,2,i_P+0)</f>
        <v>0</v>
      </c>
      <c r="R737" s="396" t="n">
        <f aca="false">Poussee/(g*ISP)</f>
        <v>0</v>
      </c>
      <c r="S737" s="398" t="n">
        <f aca="false">S736-Débit*pas</f>
        <v>8.45</v>
      </c>
      <c r="T737" s="397" t="n">
        <f aca="false">m*g</f>
        <v>82.8945</v>
      </c>
      <c r="U737" s="400" t="n">
        <f aca="false">IF(pos_xz&lt;L_rampe,Poids*COS(Beta),0)</f>
        <v>0</v>
      </c>
      <c r="V737" s="396" t="n">
        <f aca="false">Rho_moyen*(20000-Alt_rampe-pos_z)/(20000+Alt_rampe+pos_z)</f>
        <v>1.22638276904335</v>
      </c>
      <c r="W737" s="397" t="n">
        <f aca="false">1/2*Rho*Sref*Cx*vit_xz^2</f>
        <v>62.0796028863506</v>
      </c>
      <c r="Y737" s="408" t="str">
        <f aca="false">IF(AND(pos_z&lt;=0,K736&gt;0),"Impact balistique","") &amp; IF(AND(H738&lt;0,vit_z&gt;=0),"Apogée","") &amp; IF(AND(Poussee=0,Q736&gt;0),"Fin de propulsion","") &amp; IF(AND(L738&gt;L_rampe,pos_xz&lt;=L_rampe),"Sortie de rampe","")</f>
        <v/>
      </c>
      <c r="Z737" s="402" t="str">
        <f aca="false">IF(ABS(t-T_para)&lt;pas/2,"Para","")</f>
        <v/>
      </c>
      <c r="AA737" s="403" t="str">
        <f aca="false">IF(ABS(t-T_satellite)&lt;pas/2,"Satellite","")</f>
        <v/>
      </c>
      <c r="AC737" s="399" t="e">
        <f aca="false">IF(ABS(t-ROUND(t,0))&lt;0.001,t,NA())</f>
        <v>#N/A</v>
      </c>
      <c r="AD737" s="404" t="e">
        <f aca="false">IF(ABS(t-ROUND(t,0))&lt;0.001,pos_x,NA())</f>
        <v>#N/A</v>
      </c>
      <c r="AE737" s="405" t="e">
        <f aca="false">IF(t&lt;T_para, pos_z, NA())</f>
        <v>#N/A</v>
      </c>
      <c r="AG737" s="396" t="n">
        <f aca="false">IF(AND(L736&lt;L_rampe,Poussee&lt;Poids*SIN(M736)),0,(-W736+Poussee)/m-Poids*SIN(M736)/m)</f>
        <v>2.41516403304755</v>
      </c>
      <c r="AH737" s="397" t="n">
        <f aca="false">IF(AND(L736&lt;L_rampe,Poussee&lt;Poids*SIN(M736)), g*SIN(M736), (-W736+Poussee)/m)</f>
        <v>-7.34665949090438</v>
      </c>
    </row>
    <row r="738" customFormat="false" ht="12.75" hidden="false" customHeight="false" outlineLevel="0" collapsed="false">
      <c r="A738" s="396" t="n">
        <f aca="false">IF(B737+0.01&lt;=T_ini+ROUNDUP(Temps_fin_propu,0), 0.01, IF(K737&gt;0, 0.1, 0.0001))</f>
        <v>0.0001</v>
      </c>
      <c r="B738" s="397" t="n">
        <f aca="false">B737+pas</f>
        <v>32.123300000001</v>
      </c>
      <c r="D738" s="396" t="n">
        <f aca="false">IF(AND(L737&lt;L_rampe,Poussee&lt;Poids*SIN(M737)),0,(-W737+Poussee)/m*COS(M737)-U737/m*SIN(M737))</f>
        <v>-0.727198072222445</v>
      </c>
      <c r="E738" s="398" t="n">
        <f aca="false">IF(AND(L737&lt;L_rampe,Poussee&lt;Poids*SIN(M737)),0,(-W737+Poussee)/m*SIN(M737)+U737/m*COS(M737)-Poids/m)</f>
        <v>-2.49938013642001</v>
      </c>
      <c r="F738" s="397" t="n">
        <f aca="false">SQRT(acc_x^2+acc_z^2)</f>
        <v>2.6030209569988</v>
      </c>
      <c r="G738" s="396" t="n">
        <f aca="false">G737+acc_x*pas</f>
        <v>11.4803576639734</v>
      </c>
      <c r="H738" s="398" t="n">
        <f aca="false">H737+acc_z*pas</f>
        <v>-115.414558105267</v>
      </c>
      <c r="I738" s="397" t="n">
        <f aca="false">SQRT(vit_x^2+vit_z^2)</f>
        <v>115.984131822965</v>
      </c>
      <c r="J738" s="396" t="n">
        <f aca="false">J737+0.5*(vit_x+G737)*pas*(K737&gt;=0)</f>
        <v>690.928492655337</v>
      </c>
      <c r="K738" s="398" t="n">
        <f aca="false">K737+0.5*(vit_z+H737)*pas</f>
        <v>-11.2930847486463</v>
      </c>
      <c r="L738" s="397" t="n">
        <f aca="false">SQRT(pos_x^2+pos_z^2)</f>
        <v>691.020778071192</v>
      </c>
      <c r="M738" s="396" t="n">
        <f aca="false">IF(AND(L737&gt;L_rampe,G738&gt;0),ATAN2(G738,H738),$M$4)</f>
        <v>-1.47165184023835</v>
      </c>
      <c r="N738" s="397" t="n">
        <f aca="false">DEGREES(Beta)</f>
        <v>-84.3194393583183</v>
      </c>
      <c r="P738" s="399" t="n">
        <f aca="false">MATCH(t-pas/2-T_ini,CdP_t)</f>
        <v>23</v>
      </c>
      <c r="Q738" s="397" t="n">
        <f aca="false">(INDEX(CdP,2,i_P+1)-INDEX(CdP,2,i_P+0))/(INDEX(CdP,1,i_P+1)-INDEX(CdP,1,i_P+0))*(t-pas/2-T_ini-INDEX(CdP,1,i_P+0))+INDEX(CdP,2,i_P+0)</f>
        <v>0</v>
      </c>
      <c r="R738" s="396" t="n">
        <f aca="false">Poussee/(g*ISP)</f>
        <v>0</v>
      </c>
      <c r="S738" s="398" t="n">
        <f aca="false">S737-Débit*pas</f>
        <v>8.45</v>
      </c>
      <c r="T738" s="397" t="n">
        <f aca="false">m*g</f>
        <v>82.8945</v>
      </c>
      <c r="U738" s="400" t="n">
        <f aca="false">IF(pos_xz&lt;L_rampe,Poids*COS(Beta),0)</f>
        <v>0</v>
      </c>
      <c r="V738" s="396" t="n">
        <f aca="false">Rho_moyen*(20000-Alt_rampe-pos_z)/(20000+Alt_rampe+pos_z)</f>
        <v>1.22638418446733</v>
      </c>
      <c r="W738" s="397" t="n">
        <f aca="false">1/2*Rho*Sref*Cx*vit_xz^2</f>
        <v>62.0799330718363</v>
      </c>
      <c r="Y738" s="408" t="str">
        <f aca="false">IF(AND(pos_z&lt;=0,K737&gt;0),"Impact balistique","") &amp; IF(AND(H739&lt;0,vit_z&gt;=0),"Apogée","") &amp; IF(AND(Poussee=0,Q737&gt;0),"Fin de propulsion","") &amp; IF(AND(L739&gt;L_rampe,pos_xz&lt;=L_rampe),"Sortie de rampe","")</f>
        <v/>
      </c>
      <c r="Z738" s="402" t="str">
        <f aca="false">IF(ABS(t-T_para)&lt;pas/2,"Para","")</f>
        <v/>
      </c>
      <c r="AA738" s="403" t="str">
        <f aca="false">IF(ABS(t-T_satellite)&lt;pas/2,"Satellite","")</f>
        <v/>
      </c>
      <c r="AC738" s="399" t="e">
        <f aca="false">IF(ABS(t-ROUND(t,0))&lt;0.001,t,NA())</f>
        <v>#N/A</v>
      </c>
      <c r="AD738" s="404" t="e">
        <f aca="false">IF(ABS(t-ROUND(t,0))&lt;0.001,pos_x,NA())</f>
        <v>#N/A</v>
      </c>
      <c r="AE738" s="405" t="e">
        <f aca="false">IF(t&lt;T_para, pos_z, NA())</f>
        <v>#N/A</v>
      </c>
      <c r="AG738" s="396" t="n">
        <f aca="false">IF(AND(L737&lt;L_rampe,Poussee&lt;Poids*SIN(M737)),0,(-W737+Poussee)/m-Poids*SIN(M737)/m)</f>
        <v>2.4151257704755</v>
      </c>
      <c r="AH738" s="397" t="n">
        <f aca="false">IF(AND(L737&lt;L_rampe,Poussee&lt;Poids*SIN(M737)), g*SIN(M737), (-W737+Poussee)/m)</f>
        <v>-7.34669856643202</v>
      </c>
    </row>
    <row r="739" customFormat="false" ht="12.75" hidden="false" customHeight="false" outlineLevel="0" collapsed="false">
      <c r="A739" s="396" t="n">
        <f aca="false">IF(B738+0.01&lt;=T_ini+ROUNDUP(Temps_fin_propu,0), 0.01, IF(K738&gt;0, 0.1, 0.0001))</f>
        <v>0.0001</v>
      </c>
      <c r="B739" s="397" t="n">
        <f aca="false">B738+pas</f>
        <v>32.123400000001</v>
      </c>
      <c r="D739" s="396" t="n">
        <f aca="false">IF(AND(L738&lt;L_rampe,Poussee&lt;Poids*SIN(M738)),0,(-W738+Poussee)/m*COS(M738)-U738/m*SIN(M738))</f>
        <v>-0.727195819494632</v>
      </c>
      <c r="E739" s="398" t="n">
        <f aca="false">IF(AND(L738&lt;L_rampe,Poussee&lt;Poids*SIN(M738)),0,(-W738+Poussee)/m*SIN(M738)+U738/m*COS(M738)-Poids/m)</f>
        <v>-2.49934064429468</v>
      </c>
      <c r="F739" s="397" t="n">
        <f aca="false">SQRT(acc_x^2+acc_z^2)</f>
        <v>2.60298240795319</v>
      </c>
      <c r="G739" s="396" t="n">
        <f aca="false">G738+acc_x*pas</f>
        <v>11.4802849443914</v>
      </c>
      <c r="H739" s="398" t="n">
        <f aca="false">H738+acc_z*pas</f>
        <v>-115.414808039331</v>
      </c>
      <c r="I739" s="397" t="n">
        <f aca="false">SQRT(vit_x^2+vit_z^2)</f>
        <v>115.984373331756</v>
      </c>
      <c r="J739" s="396" t="n">
        <f aca="false">J738+0.5*(vit_x+G738)*pas*(K738&gt;=0)</f>
        <v>690.928492655337</v>
      </c>
      <c r="K739" s="398" t="n">
        <f aca="false">K738+0.5*(vit_z+H738)*pas</f>
        <v>-11.3046262169536</v>
      </c>
      <c r="L739" s="397" t="n">
        <f aca="false">SQRT(pos_x^2+pos_z^2)</f>
        <v>691.020966785293</v>
      </c>
      <c r="M739" s="396" t="n">
        <f aca="false">IF(AND(L738&gt;L_rampe,G739&gt;0),ATAN2(G739,H739),$M$4)</f>
        <v>-1.47165267743285</v>
      </c>
      <c r="N739" s="397" t="n">
        <f aca="false">DEGREES(Beta)</f>
        <v>-84.3194873260301</v>
      </c>
      <c r="P739" s="399" t="n">
        <f aca="false">MATCH(t-pas/2-T_ini,CdP_t)</f>
        <v>23</v>
      </c>
      <c r="Q739" s="397" t="n">
        <f aca="false">(INDEX(CdP,2,i_P+1)-INDEX(CdP,2,i_P+0))/(INDEX(CdP,1,i_P+1)-INDEX(CdP,1,i_P+0))*(t-pas/2-T_ini-INDEX(CdP,1,i_P+0))+INDEX(CdP,2,i_P+0)</f>
        <v>0</v>
      </c>
      <c r="R739" s="396" t="n">
        <f aca="false">Poussee/(g*ISP)</f>
        <v>0</v>
      </c>
      <c r="S739" s="398" t="n">
        <f aca="false">S738-Débit*pas</f>
        <v>8.45</v>
      </c>
      <c r="T739" s="397" t="n">
        <f aca="false">m*g</f>
        <v>82.8945</v>
      </c>
      <c r="U739" s="400" t="n">
        <f aca="false">IF(pos_xz&lt;L_rampe,Poids*COS(Beta),0)</f>
        <v>0</v>
      </c>
      <c r="V739" s="396" t="n">
        <f aca="false">Rho_moyen*(20000-Alt_rampe-pos_z)/(20000+Alt_rampe+pos_z)</f>
        <v>1.22638559989602</v>
      </c>
      <c r="W739" s="397" t="n">
        <f aca="false">1/2*Rho*Sref*Cx*vit_xz^2</f>
        <v>62.080263254599</v>
      </c>
      <c r="Y739" s="408" t="str">
        <f aca="false">IF(AND(pos_z&lt;=0,K738&gt;0),"Impact balistique","") &amp; IF(AND(H740&lt;0,vit_z&gt;=0),"Apogée","") &amp; IF(AND(Poussee=0,Q738&gt;0),"Fin de propulsion","") &amp; IF(AND(L740&gt;L_rampe,pos_xz&lt;=L_rampe),"Sortie de rampe","")</f>
        <v/>
      </c>
      <c r="Z739" s="402" t="str">
        <f aca="false">IF(ABS(t-T_para)&lt;pas/2,"Para","")</f>
        <v/>
      </c>
      <c r="AA739" s="403" t="str">
        <f aca="false">IF(ABS(t-T_satellite)&lt;pas/2,"Satellite","")</f>
        <v/>
      </c>
      <c r="AC739" s="399" t="e">
        <f aca="false">IF(ABS(t-ROUND(t,0))&lt;0.001,t,NA())</f>
        <v>#N/A</v>
      </c>
      <c r="AD739" s="404" t="e">
        <f aca="false">IF(ABS(t-ROUND(t,0))&lt;0.001,pos_x,NA())</f>
        <v>#N/A</v>
      </c>
      <c r="AE739" s="405" t="e">
        <f aca="false">IF(t&lt;T_para, pos_z, NA())</f>
        <v>#N/A</v>
      </c>
      <c r="AG739" s="396" t="n">
        <f aca="false">IF(AND(L738&lt;L_rampe,Poussee&lt;Poids*SIN(M738)),0,(-W738+Poussee)/m-Poids*SIN(M738)/m)</f>
        <v>2.4150875082103</v>
      </c>
      <c r="AH739" s="397" t="n">
        <f aca="false">IF(AND(L738&lt;L_rampe,Poussee&lt;Poids*SIN(M738)), g*SIN(M738), (-W738+Poussee)/m)</f>
        <v>-7.34673764163743</v>
      </c>
    </row>
    <row r="740" customFormat="false" ht="12.75" hidden="false" customHeight="false" outlineLevel="0" collapsed="false">
      <c r="A740" s="396" t="n">
        <f aca="false">IF(B739+0.01&lt;=T_ini+ROUNDUP(Temps_fin_propu,0), 0.01, IF(K739&gt;0, 0.1, 0.0001))</f>
        <v>0.0001</v>
      </c>
      <c r="B740" s="397" t="n">
        <f aca="false">B739+pas</f>
        <v>32.123500000001</v>
      </c>
      <c r="D740" s="396" t="n">
        <f aca="false">IF(AND(L739&lt;L_rampe,Poussee&lt;Poids*SIN(M739)),0,(-W739+Poussee)/m*COS(M739)-U739/m*SIN(M739))</f>
        <v>-0.727193566733564</v>
      </c>
      <c r="E740" s="398" t="n">
        <f aca="false">IF(AND(L739&lt;L_rampe,Poussee&lt;Poids*SIN(M739)),0,(-W739+Poussee)/m*SIN(M739)+U739/m*COS(M739)-Poids/m)</f>
        <v>-2.49930115249504</v>
      </c>
      <c r="F740" s="397" t="n">
        <f aca="false">SQRT(acc_x^2+acc_z^2)</f>
        <v>2.60294385924125</v>
      </c>
      <c r="G740" s="396" t="n">
        <f aca="false">G739+acc_x*pas</f>
        <v>11.4802122250348</v>
      </c>
      <c r="H740" s="398" t="n">
        <f aca="false">H739+acc_z*pas</f>
        <v>-115.415057969447</v>
      </c>
      <c r="I740" s="397" t="n">
        <f aca="false">SQRT(vit_x^2+vit_z^2)</f>
        <v>115.984614836721</v>
      </c>
      <c r="J740" s="396" t="n">
        <f aca="false">J739+0.5*(vit_x+G739)*pas*(K739&gt;=0)</f>
        <v>690.928492655337</v>
      </c>
      <c r="K740" s="398" t="n">
        <f aca="false">K739+0.5*(vit_z+H739)*pas</f>
        <v>-11.316167710254</v>
      </c>
      <c r="L740" s="397" t="n">
        <f aca="false">SQRT(pos_x^2+pos_z^2)</f>
        <v>691.021155692517</v>
      </c>
      <c r="M740" s="396" t="n">
        <f aca="false">IF(AND(L739&gt;L_rampe,G740&gt;0),ATAN2(G740,H740),$M$4)</f>
        <v>-1.47165351461857</v>
      </c>
      <c r="N740" s="397" t="n">
        <f aca="false">DEGREES(Beta)</f>
        <v>-84.3195352932383</v>
      </c>
      <c r="P740" s="399" t="n">
        <f aca="false">MATCH(t-pas/2-T_ini,CdP_t)</f>
        <v>23</v>
      </c>
      <c r="Q740" s="397" t="n">
        <f aca="false">(INDEX(CdP,2,i_P+1)-INDEX(CdP,2,i_P+0))/(INDEX(CdP,1,i_P+1)-INDEX(CdP,1,i_P+0))*(t-pas/2-T_ini-INDEX(CdP,1,i_P+0))+INDEX(CdP,2,i_P+0)</f>
        <v>0</v>
      </c>
      <c r="R740" s="396" t="n">
        <f aca="false">Poussee/(g*ISP)</f>
        <v>0</v>
      </c>
      <c r="S740" s="398" t="n">
        <f aca="false">S739-Débit*pas</f>
        <v>8.45</v>
      </c>
      <c r="T740" s="397" t="n">
        <f aca="false">m*g</f>
        <v>82.8945</v>
      </c>
      <c r="U740" s="400" t="n">
        <f aca="false">IF(pos_xz&lt;L_rampe,Poids*COS(Beta),0)</f>
        <v>0</v>
      </c>
      <c r="V740" s="396" t="n">
        <f aca="false">Rho_moyen*(20000-Alt_rampe-pos_z)/(20000+Alt_rampe+pos_z)</f>
        <v>1.22638701532941</v>
      </c>
      <c r="W740" s="397" t="n">
        <f aca="false">1/2*Rho*Sref*Cx*vit_xz^2</f>
        <v>62.0805934346388</v>
      </c>
      <c r="Y740" s="408" t="str">
        <f aca="false">IF(AND(pos_z&lt;=0,K739&gt;0),"Impact balistique","") &amp; IF(AND(H741&lt;0,vit_z&gt;=0),"Apogée","") &amp; IF(AND(Poussee=0,Q739&gt;0),"Fin de propulsion","") &amp; IF(AND(L741&gt;L_rampe,pos_xz&lt;=L_rampe),"Sortie de rampe","")</f>
        <v/>
      </c>
      <c r="Z740" s="402" t="str">
        <f aca="false">IF(ABS(t-T_para)&lt;pas/2,"Para","")</f>
        <v/>
      </c>
      <c r="AA740" s="403" t="str">
        <f aca="false">IF(ABS(t-T_satellite)&lt;pas/2,"Satellite","")</f>
        <v/>
      </c>
      <c r="AC740" s="399" t="e">
        <f aca="false">IF(ABS(t-ROUND(t,0))&lt;0.001,t,NA())</f>
        <v>#N/A</v>
      </c>
      <c r="AD740" s="404" t="e">
        <f aca="false">IF(ABS(t-ROUND(t,0))&lt;0.001,pos_x,NA())</f>
        <v>#N/A</v>
      </c>
      <c r="AE740" s="405" t="e">
        <f aca="false">IF(t&lt;T_para, pos_z, NA())</f>
        <v>#N/A</v>
      </c>
      <c r="AG740" s="396" t="n">
        <f aca="false">IF(AND(L739&lt;L_rampe,Poussee&lt;Poids*SIN(M739)),0,(-W739+Poussee)/m-Poids*SIN(M739)/m)</f>
        <v>2.41504924625198</v>
      </c>
      <c r="AH740" s="397" t="n">
        <f aca="false">IF(AND(L739&lt;L_rampe,Poussee&lt;Poids*SIN(M739)), g*SIN(M739), (-W739+Poussee)/m)</f>
        <v>-7.34677671652059</v>
      </c>
    </row>
    <row r="741" customFormat="false" ht="12.75" hidden="false" customHeight="false" outlineLevel="0" collapsed="false">
      <c r="A741" s="396" t="n">
        <f aca="false">IF(B740+0.01&lt;=T_ini+ROUNDUP(Temps_fin_propu,0), 0.01, IF(K740&gt;0, 0.1, 0.0001))</f>
        <v>0.0001</v>
      </c>
      <c r="B741" s="397" t="n">
        <f aca="false">B740+pas</f>
        <v>32.123600000001</v>
      </c>
      <c r="D741" s="396" t="n">
        <f aca="false">IF(AND(L740&lt;L_rampe,Poussee&lt;Poids*SIN(M740)),0,(-W740+Poussee)/m*COS(M740)-U740/m*SIN(M740))</f>
        <v>-0.727191313939244</v>
      </c>
      <c r="E741" s="398" t="n">
        <f aca="false">IF(AND(L740&lt;L_rampe,Poussee&lt;Poids*SIN(M740)),0,(-W740+Poussee)/m*SIN(M740)+U740/m*COS(M740)-Poids/m)</f>
        <v>-2.4992616610211</v>
      </c>
      <c r="F741" s="397" t="n">
        <f aca="false">SQRT(acc_x^2+acc_z^2)</f>
        <v>2.60290531086297</v>
      </c>
      <c r="G741" s="396" t="n">
        <f aca="false">G740+acc_x*pas</f>
        <v>11.4801395059034</v>
      </c>
      <c r="H741" s="398" t="n">
        <f aca="false">H740+acc_z*pas</f>
        <v>-115.415307895613</v>
      </c>
      <c r="I741" s="397" t="n">
        <f aca="false">SQRT(vit_x^2+vit_z^2)</f>
        <v>115.98485633786</v>
      </c>
      <c r="J741" s="396" t="n">
        <f aca="false">J740+0.5*(vit_x+G740)*pas*(K740&gt;=0)</f>
        <v>690.928492655337</v>
      </c>
      <c r="K741" s="398" t="n">
        <f aca="false">K740+0.5*(vit_z+H740)*pas</f>
        <v>-11.3277092285472</v>
      </c>
      <c r="L741" s="397" t="n">
        <f aca="false">SQRT(pos_x^2+pos_z^2)</f>
        <v>691.021344792867</v>
      </c>
      <c r="M741" s="396" t="n">
        <f aca="false">IF(AND(L740&gt;L_rampe,G741&gt;0),ATAN2(G741,H741),$M$4)</f>
        <v>-1.4716543517955</v>
      </c>
      <c r="N741" s="397" t="n">
        <f aca="false">DEGREES(Beta)</f>
        <v>-84.3195832599429</v>
      </c>
      <c r="P741" s="399" t="n">
        <f aca="false">MATCH(t-pas/2-T_ini,CdP_t)</f>
        <v>23</v>
      </c>
      <c r="Q741" s="397" t="n">
        <f aca="false">(INDEX(CdP,2,i_P+1)-INDEX(CdP,2,i_P+0))/(INDEX(CdP,1,i_P+1)-INDEX(CdP,1,i_P+0))*(t-pas/2-T_ini-INDEX(CdP,1,i_P+0))+INDEX(CdP,2,i_P+0)</f>
        <v>0</v>
      </c>
      <c r="R741" s="396" t="n">
        <f aca="false">Poussee/(g*ISP)</f>
        <v>0</v>
      </c>
      <c r="S741" s="398" t="n">
        <f aca="false">S740-Débit*pas</f>
        <v>8.45</v>
      </c>
      <c r="T741" s="397" t="n">
        <f aca="false">m*g</f>
        <v>82.8945</v>
      </c>
      <c r="U741" s="400" t="n">
        <f aca="false">IF(pos_xz&lt;L_rampe,Poids*COS(Beta),0)</f>
        <v>0</v>
      </c>
      <c r="V741" s="396" t="n">
        <f aca="false">Rho_moyen*(20000-Alt_rampe-pos_z)/(20000+Alt_rampe+pos_z)</f>
        <v>1.2263884307675</v>
      </c>
      <c r="W741" s="397" t="n">
        <f aca="false">1/2*Rho*Sref*Cx*vit_xz^2</f>
        <v>62.0809236119557</v>
      </c>
      <c r="Y741" s="408" t="str">
        <f aca="false">IF(AND(pos_z&lt;=0,K740&gt;0),"Impact balistique","") &amp; IF(AND(H742&lt;0,vit_z&gt;=0),"Apogée","") &amp; IF(AND(Poussee=0,Q740&gt;0),"Fin de propulsion","") &amp; IF(AND(L742&gt;L_rampe,pos_xz&lt;=L_rampe),"Sortie de rampe","")</f>
        <v/>
      </c>
      <c r="Z741" s="402" t="str">
        <f aca="false">IF(ABS(t-T_para)&lt;pas/2,"Para","")</f>
        <v/>
      </c>
      <c r="AA741" s="403" t="str">
        <f aca="false">IF(ABS(t-T_satellite)&lt;pas/2,"Satellite","")</f>
        <v/>
      </c>
      <c r="AC741" s="399" t="e">
        <f aca="false">IF(ABS(t-ROUND(t,0))&lt;0.001,t,NA())</f>
        <v>#N/A</v>
      </c>
      <c r="AD741" s="404" t="e">
        <f aca="false">IF(ABS(t-ROUND(t,0))&lt;0.001,pos_x,NA())</f>
        <v>#N/A</v>
      </c>
      <c r="AE741" s="405" t="e">
        <f aca="false">IF(t&lt;T_para, pos_z, NA())</f>
        <v>#N/A</v>
      </c>
      <c r="AG741" s="396" t="n">
        <f aca="false">IF(AND(L740&lt;L_rampe,Poussee&lt;Poids*SIN(M740)),0,(-W740+Poussee)/m-Poids*SIN(M740)/m)</f>
        <v>2.41501098460051</v>
      </c>
      <c r="AH741" s="397" t="n">
        <f aca="false">IF(AND(L740&lt;L_rampe,Poussee&lt;Poids*SIN(M740)), g*SIN(M740), (-W740+Poussee)/m)</f>
        <v>-7.34681579108151</v>
      </c>
    </row>
    <row r="742" customFormat="false" ht="12.75" hidden="false" customHeight="false" outlineLevel="0" collapsed="false">
      <c r="A742" s="396" t="n">
        <f aca="false">IF(B741+0.01&lt;=T_ini+ROUNDUP(Temps_fin_propu,0), 0.01, IF(K741&gt;0, 0.1, 0.0001))</f>
        <v>0.0001</v>
      </c>
      <c r="B742" s="397" t="n">
        <f aca="false">B741+pas</f>
        <v>32.123700000001</v>
      </c>
      <c r="D742" s="396" t="n">
        <f aca="false">IF(AND(L741&lt;L_rampe,Poussee&lt;Poids*SIN(M741)),0,(-W741+Poussee)/m*COS(M741)-U741/m*SIN(M741))</f>
        <v>-0.727189061111672</v>
      </c>
      <c r="E742" s="398" t="n">
        <f aca="false">IF(AND(L741&lt;L_rampe,Poussee&lt;Poids*SIN(M741)),0,(-W741+Poussee)/m*SIN(M741)+U741/m*COS(M741)-Poids/m)</f>
        <v>-2.49922216987285</v>
      </c>
      <c r="F742" s="397" t="n">
        <f aca="false">SQRT(acc_x^2+acc_z^2)</f>
        <v>2.60286676281834</v>
      </c>
      <c r="G742" s="396" t="n">
        <f aca="false">G741+acc_x*pas</f>
        <v>11.4800667869973</v>
      </c>
      <c r="H742" s="398" t="n">
        <f aca="false">H741+acc_z*pas</f>
        <v>-115.41555781783</v>
      </c>
      <c r="I742" s="397" t="n">
        <f aca="false">SQRT(vit_x^2+vit_z^2)</f>
        <v>115.985097835173</v>
      </c>
      <c r="J742" s="396" t="n">
        <f aca="false">J741+0.5*(vit_x+G741)*pas*(K741&gt;=0)</f>
        <v>690.928492655337</v>
      </c>
      <c r="K742" s="398" t="n">
        <f aca="false">K741+0.5*(vit_z+H741)*pas</f>
        <v>-11.3392507718329</v>
      </c>
      <c r="L742" s="397" t="n">
        <f aca="false">SQRT(pos_x^2+pos_z^2)</f>
        <v>691.021534086343</v>
      </c>
      <c r="M742" s="396" t="n">
        <f aca="false">IF(AND(L741&gt;L_rampe,G742&gt;0),ATAN2(G742,H742),$M$4)</f>
        <v>-1.47165518896364</v>
      </c>
      <c r="N742" s="397" t="n">
        <f aca="false">DEGREES(Beta)</f>
        <v>-84.3196312261439</v>
      </c>
      <c r="P742" s="399" t="n">
        <f aca="false">MATCH(t-pas/2-T_ini,CdP_t)</f>
        <v>23</v>
      </c>
      <c r="Q742" s="397" t="n">
        <f aca="false">(INDEX(CdP,2,i_P+1)-INDEX(CdP,2,i_P+0))/(INDEX(CdP,1,i_P+1)-INDEX(CdP,1,i_P+0))*(t-pas/2-T_ini-INDEX(CdP,1,i_P+0))+INDEX(CdP,2,i_P+0)</f>
        <v>0</v>
      </c>
      <c r="R742" s="396" t="n">
        <f aca="false">Poussee/(g*ISP)</f>
        <v>0</v>
      </c>
      <c r="S742" s="398" t="n">
        <f aca="false">S741-Débit*pas</f>
        <v>8.45</v>
      </c>
      <c r="T742" s="397" t="n">
        <f aca="false">m*g</f>
        <v>82.8945</v>
      </c>
      <c r="U742" s="400" t="n">
        <f aca="false">IF(pos_xz&lt;L_rampe,Poids*COS(Beta),0)</f>
        <v>0</v>
      </c>
      <c r="V742" s="396" t="n">
        <f aca="false">Rho_moyen*(20000-Alt_rampe-pos_z)/(20000+Alt_rampe+pos_z)</f>
        <v>1.22638984621029</v>
      </c>
      <c r="W742" s="397" t="n">
        <f aca="false">1/2*Rho*Sref*Cx*vit_xz^2</f>
        <v>62.0812537865496</v>
      </c>
      <c r="Y742" s="408" t="str">
        <f aca="false">IF(AND(pos_z&lt;=0,K741&gt;0),"Impact balistique","") &amp; IF(AND(H743&lt;0,vit_z&gt;=0),"Apogée","") &amp; IF(AND(Poussee=0,Q741&gt;0),"Fin de propulsion","") &amp; IF(AND(L743&gt;L_rampe,pos_xz&lt;=L_rampe),"Sortie de rampe","")</f>
        <v/>
      </c>
      <c r="Z742" s="402" t="str">
        <f aca="false">IF(ABS(t-T_para)&lt;pas/2,"Para","")</f>
        <v/>
      </c>
      <c r="AA742" s="403" t="str">
        <f aca="false">IF(ABS(t-T_satellite)&lt;pas/2,"Satellite","")</f>
        <v/>
      </c>
      <c r="AC742" s="399" t="e">
        <f aca="false">IF(ABS(t-ROUND(t,0))&lt;0.001,t,NA())</f>
        <v>#N/A</v>
      </c>
      <c r="AD742" s="404" t="e">
        <f aca="false">IF(ABS(t-ROUND(t,0))&lt;0.001,pos_x,NA())</f>
        <v>#N/A</v>
      </c>
      <c r="AE742" s="405" t="e">
        <f aca="false">IF(t&lt;T_para, pos_z, NA())</f>
        <v>#N/A</v>
      </c>
      <c r="AG742" s="396" t="n">
        <f aca="false">IF(AND(L741&lt;L_rampe,Poussee&lt;Poids*SIN(M741)),0,(-W741+Poussee)/m-Poids*SIN(M741)/m)</f>
        <v>2.41497272325591</v>
      </c>
      <c r="AH742" s="397" t="n">
        <f aca="false">IF(AND(L741&lt;L_rampe,Poussee&lt;Poids*SIN(M741)), g*SIN(M741), (-W741+Poussee)/m)</f>
        <v>-7.3468548653202</v>
      </c>
    </row>
    <row r="743" customFormat="false" ht="12.75" hidden="false" customHeight="false" outlineLevel="0" collapsed="false">
      <c r="A743" s="396" t="n">
        <f aca="false">IF(B742+0.01&lt;=T_ini+ROUNDUP(Temps_fin_propu,0), 0.01, IF(K742&gt;0, 0.1, 0.0001))</f>
        <v>0.0001</v>
      </c>
      <c r="B743" s="397" t="n">
        <f aca="false">B742+pas</f>
        <v>32.123800000001</v>
      </c>
      <c r="D743" s="396" t="n">
        <f aca="false">IF(AND(L742&lt;L_rampe,Poussee&lt;Poids*SIN(M742)),0,(-W742+Poussee)/m*COS(M742)-U742/m*SIN(M742))</f>
        <v>-0.727186808250849</v>
      </c>
      <c r="E743" s="398" t="n">
        <f aca="false">IF(AND(L742&lt;L_rampe,Poussee&lt;Poids*SIN(M742)),0,(-W742+Poussee)/m*SIN(M742)+U742/m*COS(M742)-Poids/m)</f>
        <v>-2.49918267905031</v>
      </c>
      <c r="F743" s="397" t="n">
        <f aca="false">SQRT(acc_x^2+acc_z^2)</f>
        <v>2.60282821510739</v>
      </c>
      <c r="G743" s="396" t="n">
        <f aca="false">G742+acc_x*pas</f>
        <v>11.4799940683164</v>
      </c>
      <c r="H743" s="398" t="n">
        <f aca="false">H742+acc_z*pas</f>
        <v>-115.415807736098</v>
      </c>
      <c r="I743" s="397" t="n">
        <f aca="false">SQRT(vit_x^2+vit_z^2)</f>
        <v>115.98533932866</v>
      </c>
      <c r="J743" s="396" t="n">
        <f aca="false">J742+0.5*(vit_x+G742)*pas*(K742&gt;=0)</f>
        <v>690.928492655337</v>
      </c>
      <c r="K743" s="398" t="n">
        <f aca="false">K742+0.5*(vit_z+H742)*pas</f>
        <v>-11.3507923401106</v>
      </c>
      <c r="L743" s="397" t="n">
        <f aca="false">SQRT(pos_x^2+pos_z^2)</f>
        <v>691.021723572945</v>
      </c>
      <c r="M743" s="396" t="n">
        <f aca="false">IF(AND(L742&gt;L_rampe,G743&gt;0),ATAN2(G743,H743),$M$4)</f>
        <v>-1.47165602612298</v>
      </c>
      <c r="N743" s="397" t="n">
        <f aca="false">DEGREES(Beta)</f>
        <v>-84.3196791918414</v>
      </c>
      <c r="P743" s="399" t="n">
        <f aca="false">MATCH(t-pas/2-T_ini,CdP_t)</f>
        <v>23</v>
      </c>
      <c r="Q743" s="397" t="n">
        <f aca="false">(INDEX(CdP,2,i_P+1)-INDEX(CdP,2,i_P+0))/(INDEX(CdP,1,i_P+1)-INDEX(CdP,1,i_P+0))*(t-pas/2-T_ini-INDEX(CdP,1,i_P+0))+INDEX(CdP,2,i_P+0)</f>
        <v>0</v>
      </c>
      <c r="R743" s="396" t="n">
        <f aca="false">Poussee/(g*ISP)</f>
        <v>0</v>
      </c>
      <c r="S743" s="398" t="n">
        <f aca="false">S742-Débit*pas</f>
        <v>8.45</v>
      </c>
      <c r="T743" s="397" t="n">
        <f aca="false">m*g</f>
        <v>82.8945</v>
      </c>
      <c r="U743" s="400" t="n">
        <f aca="false">IF(pos_xz&lt;L_rampe,Poids*COS(Beta),0)</f>
        <v>0</v>
      </c>
      <c r="V743" s="396" t="n">
        <f aca="false">Rho_moyen*(20000-Alt_rampe-pos_z)/(20000+Alt_rampe+pos_z)</f>
        <v>1.22639126165777</v>
      </c>
      <c r="W743" s="397" t="n">
        <f aca="false">1/2*Rho*Sref*Cx*vit_xz^2</f>
        <v>62.0815839584207</v>
      </c>
      <c r="Y743" s="408" t="str">
        <f aca="false">IF(AND(pos_z&lt;=0,K742&gt;0),"Impact balistique","") &amp; IF(AND(H744&lt;0,vit_z&gt;=0),"Apogée","") &amp; IF(AND(Poussee=0,Q742&gt;0),"Fin de propulsion","") &amp; IF(AND(L744&gt;L_rampe,pos_xz&lt;=L_rampe),"Sortie de rampe","")</f>
        <v/>
      </c>
      <c r="Z743" s="402" t="str">
        <f aca="false">IF(ABS(t-T_para)&lt;pas/2,"Para","")</f>
        <v/>
      </c>
      <c r="AA743" s="403" t="str">
        <f aca="false">IF(ABS(t-T_satellite)&lt;pas/2,"Satellite","")</f>
        <v/>
      </c>
      <c r="AC743" s="399" t="e">
        <f aca="false">IF(ABS(t-ROUND(t,0))&lt;0.001,t,NA())</f>
        <v>#N/A</v>
      </c>
      <c r="AD743" s="404" t="e">
        <f aca="false">IF(ABS(t-ROUND(t,0))&lt;0.001,pos_x,NA())</f>
        <v>#N/A</v>
      </c>
      <c r="AE743" s="405" t="e">
        <f aca="false">IF(t&lt;T_para, pos_z, NA())</f>
        <v>#N/A</v>
      </c>
      <c r="AG743" s="396" t="n">
        <f aca="false">IF(AND(L742&lt;L_rampe,Poussee&lt;Poids*SIN(M742)),0,(-W742+Poussee)/m-Poids*SIN(M742)/m)</f>
        <v>2.41493446221817</v>
      </c>
      <c r="AH743" s="397" t="n">
        <f aca="false">IF(AND(L742&lt;L_rampe,Poussee&lt;Poids*SIN(M742)), g*SIN(M742), (-W742+Poussee)/m)</f>
        <v>-7.34689393923665</v>
      </c>
    </row>
    <row r="744" customFormat="false" ht="12.75" hidden="false" customHeight="false" outlineLevel="0" collapsed="false">
      <c r="A744" s="396" t="n">
        <f aca="false">IF(B743+0.01&lt;=T_ini+ROUNDUP(Temps_fin_propu,0), 0.01, IF(K743&gt;0, 0.1, 0.0001))</f>
        <v>0.0001</v>
      </c>
      <c r="B744" s="397" t="n">
        <f aca="false">B743+pas</f>
        <v>32.123900000001</v>
      </c>
      <c r="D744" s="396" t="n">
        <f aca="false">IF(AND(L743&lt;L_rampe,Poussee&lt;Poids*SIN(M743)),0,(-W743+Poussee)/m*COS(M743)-U743/m*SIN(M743))</f>
        <v>-0.727184555356775</v>
      </c>
      <c r="E744" s="398" t="n">
        <f aca="false">IF(AND(L743&lt;L_rampe,Poussee&lt;Poids*SIN(M743)),0,(-W743+Poussee)/m*SIN(M743)+U743/m*COS(M743)-Poids/m)</f>
        <v>-2.49914318855346</v>
      </c>
      <c r="F744" s="397" t="n">
        <f aca="false">SQRT(acc_x^2+acc_z^2)</f>
        <v>2.6027896677301</v>
      </c>
      <c r="G744" s="396" t="n">
        <f aca="false">G743+acc_x*pas</f>
        <v>11.4799213498609</v>
      </c>
      <c r="H744" s="398" t="n">
        <f aca="false">H743+acc_z*pas</f>
        <v>-115.416057650417</v>
      </c>
      <c r="I744" s="397" t="n">
        <f aca="false">SQRT(vit_x^2+vit_z^2)</f>
        <v>115.985580818321</v>
      </c>
      <c r="J744" s="396" t="n">
        <f aca="false">J743+0.5*(vit_x+G743)*pas*(K743&gt;=0)</f>
        <v>690.928492655337</v>
      </c>
      <c r="K744" s="398" t="n">
        <f aca="false">K743+0.5*(vit_z+H743)*pas</f>
        <v>-11.3623339333799</v>
      </c>
      <c r="L744" s="397" t="n">
        <f aca="false">SQRT(pos_x^2+pos_z^2)</f>
        <v>691.021913252676</v>
      </c>
      <c r="M744" s="396" t="n">
        <f aca="false">IF(AND(L743&gt;L_rampe,G744&gt;0),ATAN2(G744,H744),$M$4)</f>
        <v>-1.47165686327354</v>
      </c>
      <c r="N744" s="397" t="n">
        <f aca="false">DEGREES(Beta)</f>
        <v>-84.3197271570353</v>
      </c>
      <c r="P744" s="399" t="n">
        <f aca="false">MATCH(t-pas/2-T_ini,CdP_t)</f>
        <v>23</v>
      </c>
      <c r="Q744" s="397" t="n">
        <f aca="false">(INDEX(CdP,2,i_P+1)-INDEX(CdP,2,i_P+0))/(INDEX(CdP,1,i_P+1)-INDEX(CdP,1,i_P+0))*(t-pas/2-T_ini-INDEX(CdP,1,i_P+0))+INDEX(CdP,2,i_P+0)</f>
        <v>0</v>
      </c>
      <c r="R744" s="396" t="n">
        <f aca="false">Poussee/(g*ISP)</f>
        <v>0</v>
      </c>
      <c r="S744" s="398" t="n">
        <f aca="false">S743-Débit*pas</f>
        <v>8.45</v>
      </c>
      <c r="T744" s="397" t="n">
        <f aca="false">m*g</f>
        <v>82.8945</v>
      </c>
      <c r="U744" s="400" t="n">
        <f aca="false">IF(pos_xz&lt;L_rampe,Poids*COS(Beta),0)</f>
        <v>0</v>
      </c>
      <c r="V744" s="396" t="n">
        <f aca="false">Rho_moyen*(20000-Alt_rampe-pos_z)/(20000+Alt_rampe+pos_z)</f>
        <v>1.22639267710996</v>
      </c>
      <c r="W744" s="397" t="n">
        <f aca="false">1/2*Rho*Sref*Cx*vit_xz^2</f>
        <v>62.0819141275687</v>
      </c>
      <c r="Y744" s="408" t="str">
        <f aca="false">IF(AND(pos_z&lt;=0,K743&gt;0),"Impact balistique","") &amp; IF(AND(H745&lt;0,vit_z&gt;=0),"Apogée","") &amp; IF(AND(Poussee=0,Q743&gt;0),"Fin de propulsion","") &amp; IF(AND(L745&gt;L_rampe,pos_xz&lt;=L_rampe),"Sortie de rampe","")</f>
        <v/>
      </c>
      <c r="Z744" s="402" t="str">
        <f aca="false">IF(ABS(t-T_para)&lt;pas/2,"Para","")</f>
        <v/>
      </c>
      <c r="AA744" s="403" t="str">
        <f aca="false">IF(ABS(t-T_satellite)&lt;pas/2,"Satellite","")</f>
        <v/>
      </c>
      <c r="AC744" s="399" t="e">
        <f aca="false">IF(ABS(t-ROUND(t,0))&lt;0.001,t,NA())</f>
        <v>#N/A</v>
      </c>
      <c r="AD744" s="404" t="e">
        <f aca="false">IF(ABS(t-ROUND(t,0))&lt;0.001,pos_x,NA())</f>
        <v>#N/A</v>
      </c>
      <c r="AE744" s="405" t="e">
        <f aca="false">IF(t&lt;T_para, pos_z, NA())</f>
        <v>#N/A</v>
      </c>
      <c r="AG744" s="396" t="n">
        <f aca="false">IF(AND(L743&lt;L_rampe,Poussee&lt;Poids*SIN(M743)),0,(-W743+Poussee)/m-Poids*SIN(M743)/m)</f>
        <v>2.4148962014873</v>
      </c>
      <c r="AH744" s="397" t="n">
        <f aca="false">IF(AND(L743&lt;L_rampe,Poussee&lt;Poids*SIN(M743)), g*SIN(M743), (-W743+Poussee)/m)</f>
        <v>-7.34693301283085</v>
      </c>
    </row>
    <row r="745" customFormat="false" ht="12.75" hidden="false" customHeight="false" outlineLevel="0" collapsed="false">
      <c r="A745" s="396" t="n">
        <f aca="false">IF(B744+0.01&lt;=T_ini+ROUNDUP(Temps_fin_propu,0), 0.01, IF(K744&gt;0, 0.1, 0.0001))</f>
        <v>0.0001</v>
      </c>
      <c r="B745" s="397" t="n">
        <f aca="false">B744+pas</f>
        <v>32.124000000001</v>
      </c>
      <c r="D745" s="396" t="n">
        <f aca="false">IF(AND(L744&lt;L_rampe,Poussee&lt;Poids*SIN(M744)),0,(-W744+Poussee)/m*COS(M744)-U744/m*SIN(M744))</f>
        <v>-0.72718230242945</v>
      </c>
      <c r="E745" s="398" t="n">
        <f aca="false">IF(AND(L744&lt;L_rampe,Poussee&lt;Poids*SIN(M744)),0,(-W744+Poussee)/m*SIN(M744)+U744/m*COS(M744)-Poids/m)</f>
        <v>-2.49910369838231</v>
      </c>
      <c r="F745" s="397" t="n">
        <f aca="false">SQRT(acc_x^2+acc_z^2)</f>
        <v>2.60275112068648</v>
      </c>
      <c r="G745" s="396" t="n">
        <f aca="false">G744+acc_x*pas</f>
        <v>11.4798486316307</v>
      </c>
      <c r="H745" s="398" t="n">
        <f aca="false">H744+acc_z*pas</f>
        <v>-115.416307560786</v>
      </c>
      <c r="I745" s="397" t="n">
        <f aca="false">SQRT(vit_x^2+vit_z^2)</f>
        <v>115.985822304156</v>
      </c>
      <c r="J745" s="396" t="n">
        <f aca="false">J744+0.5*(vit_x+G744)*pas*(K744&gt;=0)</f>
        <v>690.928492655337</v>
      </c>
      <c r="K745" s="398" t="n">
        <f aca="false">K744+0.5*(vit_z+H744)*pas</f>
        <v>-11.3738755516405</v>
      </c>
      <c r="L745" s="397" t="n">
        <f aca="false">SQRT(pos_x^2+pos_z^2)</f>
        <v>691.022103125537</v>
      </c>
      <c r="M745" s="396" t="n">
        <f aca="false">IF(AND(L744&gt;L_rampe,G745&gt;0),ATAN2(G745,H745),$M$4)</f>
        <v>-1.47165770041531</v>
      </c>
      <c r="N745" s="397" t="n">
        <f aca="false">DEGREES(Beta)</f>
        <v>-84.3197751217256</v>
      </c>
      <c r="P745" s="399" t="n">
        <f aca="false">MATCH(t-pas/2-T_ini,CdP_t)</f>
        <v>23</v>
      </c>
      <c r="Q745" s="397" t="n">
        <f aca="false">(INDEX(CdP,2,i_P+1)-INDEX(CdP,2,i_P+0))/(INDEX(CdP,1,i_P+1)-INDEX(CdP,1,i_P+0))*(t-pas/2-T_ini-INDEX(CdP,1,i_P+0))+INDEX(CdP,2,i_P+0)</f>
        <v>0</v>
      </c>
      <c r="R745" s="396" t="n">
        <f aca="false">Poussee/(g*ISP)</f>
        <v>0</v>
      </c>
      <c r="S745" s="398" t="n">
        <f aca="false">S744-Débit*pas</f>
        <v>8.45</v>
      </c>
      <c r="T745" s="397" t="n">
        <f aca="false">m*g</f>
        <v>82.8945</v>
      </c>
      <c r="U745" s="400" t="n">
        <f aca="false">IF(pos_xz&lt;L_rampe,Poids*COS(Beta),0)</f>
        <v>0</v>
      </c>
      <c r="V745" s="396" t="n">
        <f aca="false">Rho_moyen*(20000-Alt_rampe-pos_z)/(20000+Alt_rampe+pos_z)</f>
        <v>1.22639409256684</v>
      </c>
      <c r="W745" s="397" t="n">
        <f aca="false">1/2*Rho*Sref*Cx*vit_xz^2</f>
        <v>62.0822442939938</v>
      </c>
      <c r="Y745" s="408" t="str">
        <f aca="false">IF(AND(pos_z&lt;=0,K744&gt;0),"Impact balistique","") &amp; IF(AND(H746&lt;0,vit_z&gt;=0),"Apogée","") &amp; IF(AND(Poussee=0,Q744&gt;0),"Fin de propulsion","") &amp; IF(AND(L746&gt;L_rampe,pos_xz&lt;=L_rampe),"Sortie de rampe","")</f>
        <v/>
      </c>
      <c r="Z745" s="402" t="str">
        <f aca="false">IF(ABS(t-T_para)&lt;pas/2,"Para","")</f>
        <v/>
      </c>
      <c r="AA745" s="403" t="str">
        <f aca="false">IF(ABS(t-T_satellite)&lt;pas/2,"Satellite","")</f>
        <v/>
      </c>
      <c r="AC745" s="399" t="e">
        <f aca="false">IF(ABS(t-ROUND(t,0))&lt;0.001,t,NA())</f>
        <v>#N/A</v>
      </c>
      <c r="AD745" s="404" t="e">
        <f aca="false">IF(ABS(t-ROUND(t,0))&lt;0.001,pos_x,NA())</f>
        <v>#N/A</v>
      </c>
      <c r="AE745" s="405" t="e">
        <f aca="false">IF(t&lt;T_para, pos_z, NA())</f>
        <v>#N/A</v>
      </c>
      <c r="AG745" s="396" t="n">
        <f aca="false">IF(AND(L744&lt;L_rampe,Poussee&lt;Poids*SIN(M744)),0,(-W744+Poussee)/m-Poids*SIN(M744)/m)</f>
        <v>2.41485794106329</v>
      </c>
      <c r="AH745" s="397" t="n">
        <f aca="false">IF(AND(L744&lt;L_rampe,Poussee&lt;Poids*SIN(M744)), g*SIN(M744), (-W744+Poussee)/m)</f>
        <v>-7.34697208610281</v>
      </c>
    </row>
    <row r="746" customFormat="false" ht="12.75" hidden="false" customHeight="false" outlineLevel="0" collapsed="false">
      <c r="A746" s="396" t="n">
        <f aca="false">IF(B745+0.01&lt;=T_ini+ROUNDUP(Temps_fin_propu,0), 0.01, IF(K745&gt;0, 0.1, 0.0001))</f>
        <v>0.0001</v>
      </c>
      <c r="B746" s="397" t="n">
        <f aca="false">B745+pas</f>
        <v>32.124100000001</v>
      </c>
      <c r="D746" s="396" t="n">
        <f aca="false">IF(AND(L745&lt;L_rampe,Poussee&lt;Poids*SIN(M745)),0,(-W745+Poussee)/m*COS(M745)-U745/m*SIN(M745))</f>
        <v>-0.727180049468877</v>
      </c>
      <c r="E746" s="398" t="n">
        <f aca="false">IF(AND(L745&lt;L_rampe,Poussee&lt;Poids*SIN(M745)),0,(-W745+Poussee)/m*SIN(M745)+U745/m*COS(M745)-Poids/m)</f>
        <v>-2.49906420853686</v>
      </c>
      <c r="F746" s="397" t="n">
        <f aca="false">SQRT(acc_x^2+acc_z^2)</f>
        <v>2.60271257397653</v>
      </c>
      <c r="G746" s="396" t="n">
        <f aca="false">G745+acc_x*pas</f>
        <v>11.4797759136257</v>
      </c>
      <c r="H746" s="398" t="n">
        <f aca="false">H745+acc_z*pas</f>
        <v>-115.416557467207</v>
      </c>
      <c r="I746" s="397" t="n">
        <f aca="false">SQRT(vit_x^2+vit_z^2)</f>
        <v>115.986063786164</v>
      </c>
      <c r="J746" s="396" t="n">
        <f aca="false">J745+0.5*(vit_x+G745)*pas*(K745&gt;=0)</f>
        <v>690.928492655337</v>
      </c>
      <c r="K746" s="398" t="n">
        <f aca="false">K745+0.5*(vit_z+H745)*pas</f>
        <v>-11.3854171948919</v>
      </c>
      <c r="L746" s="397" t="n">
        <f aca="false">SQRT(pos_x^2+pos_z^2)</f>
        <v>691.022293191528</v>
      </c>
      <c r="M746" s="396" t="n">
        <f aca="false">IF(AND(L745&gt;L_rampe,G746&gt;0),ATAN2(G746,H746),$M$4)</f>
        <v>-1.4716585375483</v>
      </c>
      <c r="N746" s="397" t="n">
        <f aca="false">DEGREES(Beta)</f>
        <v>-84.3198230859124</v>
      </c>
      <c r="P746" s="399" t="n">
        <f aca="false">MATCH(t-pas/2-T_ini,CdP_t)</f>
        <v>23</v>
      </c>
      <c r="Q746" s="397" t="n">
        <f aca="false">(INDEX(CdP,2,i_P+1)-INDEX(CdP,2,i_P+0))/(INDEX(CdP,1,i_P+1)-INDEX(CdP,1,i_P+0))*(t-pas/2-T_ini-INDEX(CdP,1,i_P+0))+INDEX(CdP,2,i_P+0)</f>
        <v>0</v>
      </c>
      <c r="R746" s="396" t="n">
        <f aca="false">Poussee/(g*ISP)</f>
        <v>0</v>
      </c>
      <c r="S746" s="398" t="n">
        <f aca="false">S745-Débit*pas</f>
        <v>8.45</v>
      </c>
      <c r="T746" s="397" t="n">
        <f aca="false">m*g</f>
        <v>82.8945</v>
      </c>
      <c r="U746" s="400" t="n">
        <f aca="false">IF(pos_xz&lt;L_rampe,Poids*COS(Beta),0)</f>
        <v>0</v>
      </c>
      <c r="V746" s="396" t="n">
        <f aca="false">Rho_moyen*(20000-Alt_rampe-pos_z)/(20000+Alt_rampe+pos_z)</f>
        <v>1.22639550802843</v>
      </c>
      <c r="W746" s="397" t="n">
        <f aca="false">1/2*Rho*Sref*Cx*vit_xz^2</f>
        <v>62.082574457696</v>
      </c>
      <c r="Y746" s="408" t="str">
        <f aca="false">IF(AND(pos_z&lt;=0,K745&gt;0),"Impact balistique","") &amp; IF(AND(H747&lt;0,vit_z&gt;=0),"Apogée","") &amp; IF(AND(Poussee=0,Q745&gt;0),"Fin de propulsion","") &amp; IF(AND(L747&gt;L_rampe,pos_xz&lt;=L_rampe),"Sortie de rampe","")</f>
        <v/>
      </c>
      <c r="Z746" s="402" t="str">
        <f aca="false">IF(ABS(t-T_para)&lt;pas/2,"Para","")</f>
        <v/>
      </c>
      <c r="AA746" s="403" t="str">
        <f aca="false">IF(ABS(t-T_satellite)&lt;pas/2,"Satellite","")</f>
        <v/>
      </c>
      <c r="AC746" s="399" t="e">
        <f aca="false">IF(ABS(t-ROUND(t,0))&lt;0.001,t,NA())</f>
        <v>#N/A</v>
      </c>
      <c r="AD746" s="404" t="e">
        <f aca="false">IF(ABS(t-ROUND(t,0))&lt;0.001,pos_x,NA())</f>
        <v>#N/A</v>
      </c>
      <c r="AE746" s="405" t="e">
        <f aca="false">IF(t&lt;T_para, pos_z, NA())</f>
        <v>#N/A</v>
      </c>
      <c r="AG746" s="396" t="n">
        <f aca="false">IF(AND(L745&lt;L_rampe,Poussee&lt;Poids*SIN(M745)),0,(-W745+Poussee)/m-Poids*SIN(M745)/m)</f>
        <v>2.41481968094616</v>
      </c>
      <c r="AH746" s="397" t="n">
        <f aca="false">IF(AND(L745&lt;L_rampe,Poussee&lt;Poids*SIN(M745)), g*SIN(M745), (-W745+Poussee)/m)</f>
        <v>-7.34701115905253</v>
      </c>
    </row>
    <row r="747" customFormat="false" ht="12.75" hidden="false" customHeight="false" outlineLevel="0" collapsed="false">
      <c r="A747" s="396" t="n">
        <f aca="false">IF(B746+0.01&lt;=T_ini+ROUNDUP(Temps_fin_propu,0), 0.01, IF(K746&gt;0, 0.1, 0.0001))</f>
        <v>0.0001</v>
      </c>
      <c r="B747" s="397" t="n">
        <f aca="false">B746+pas</f>
        <v>32.124200000001</v>
      </c>
      <c r="D747" s="396" t="n">
        <f aca="false">IF(AND(L746&lt;L_rampe,Poussee&lt;Poids*SIN(M746)),0,(-W746+Poussee)/m*COS(M746)-U746/m*SIN(M746))</f>
        <v>-0.727177796475055</v>
      </c>
      <c r="E747" s="398" t="n">
        <f aca="false">IF(AND(L746&lt;L_rampe,Poussee&lt;Poids*SIN(M746)),0,(-W746+Poussee)/m*SIN(M746)+U746/m*COS(M746)-Poids/m)</f>
        <v>-2.49902471901711</v>
      </c>
      <c r="F747" s="397" t="n">
        <f aca="false">SQRT(acc_x^2+acc_z^2)</f>
        <v>2.60267402760024</v>
      </c>
      <c r="G747" s="396" t="n">
        <f aca="false">G746+acc_x*pas</f>
        <v>11.4797031958461</v>
      </c>
      <c r="H747" s="398" t="n">
        <f aca="false">H746+acc_z*pas</f>
        <v>-115.416807369679</v>
      </c>
      <c r="I747" s="397" t="n">
        <f aca="false">SQRT(vit_x^2+vit_z^2)</f>
        <v>115.986305264347</v>
      </c>
      <c r="J747" s="396" t="n">
        <f aca="false">J746+0.5*(vit_x+G746)*pas*(K746&gt;=0)</f>
        <v>690.928492655337</v>
      </c>
      <c r="K747" s="398" t="n">
        <f aca="false">K746+0.5*(vit_z+H746)*pas</f>
        <v>-11.3969588631337</v>
      </c>
      <c r="L747" s="397" t="n">
        <f aca="false">SQRT(pos_x^2+pos_z^2)</f>
        <v>691.02248345065</v>
      </c>
      <c r="M747" s="396" t="n">
        <f aca="false">IF(AND(L746&gt;L_rampe,G747&gt;0),ATAN2(G747,H747),$M$4)</f>
        <v>-1.47165937467249</v>
      </c>
      <c r="N747" s="397" t="n">
        <f aca="false">DEGREES(Beta)</f>
        <v>-84.3198710495957</v>
      </c>
      <c r="P747" s="399" t="n">
        <f aca="false">MATCH(t-pas/2-T_ini,CdP_t)</f>
        <v>23</v>
      </c>
      <c r="Q747" s="397" t="n">
        <f aca="false">(INDEX(CdP,2,i_P+1)-INDEX(CdP,2,i_P+0))/(INDEX(CdP,1,i_P+1)-INDEX(CdP,1,i_P+0))*(t-pas/2-T_ini-INDEX(CdP,1,i_P+0))+INDEX(CdP,2,i_P+0)</f>
        <v>0</v>
      </c>
      <c r="R747" s="396" t="n">
        <f aca="false">Poussee/(g*ISP)</f>
        <v>0</v>
      </c>
      <c r="S747" s="398" t="n">
        <f aca="false">S746-Débit*pas</f>
        <v>8.45</v>
      </c>
      <c r="T747" s="397" t="n">
        <f aca="false">m*g</f>
        <v>82.8945</v>
      </c>
      <c r="U747" s="400" t="n">
        <f aca="false">IF(pos_xz&lt;L_rampe,Poids*COS(Beta),0)</f>
        <v>0</v>
      </c>
      <c r="V747" s="396" t="n">
        <f aca="false">Rho_moyen*(20000-Alt_rampe-pos_z)/(20000+Alt_rampe+pos_z)</f>
        <v>1.22639692349471</v>
      </c>
      <c r="W747" s="397" t="n">
        <f aca="false">1/2*Rho*Sref*Cx*vit_xz^2</f>
        <v>62.0829046186752</v>
      </c>
      <c r="Y747" s="408" t="str">
        <f aca="false">IF(AND(pos_z&lt;=0,K746&gt;0),"Impact balistique","") &amp; IF(AND(H748&lt;0,vit_z&gt;=0),"Apogée","") &amp; IF(AND(Poussee=0,Q746&gt;0),"Fin de propulsion","") &amp; IF(AND(L748&gt;L_rampe,pos_xz&lt;=L_rampe),"Sortie de rampe","")</f>
        <v/>
      </c>
      <c r="Z747" s="402" t="str">
        <f aca="false">IF(ABS(t-T_para)&lt;pas/2,"Para","")</f>
        <v/>
      </c>
      <c r="AA747" s="403" t="str">
        <f aca="false">IF(ABS(t-T_satellite)&lt;pas/2,"Satellite","")</f>
        <v/>
      </c>
      <c r="AC747" s="399" t="e">
        <f aca="false">IF(ABS(t-ROUND(t,0))&lt;0.001,t,NA())</f>
        <v>#N/A</v>
      </c>
      <c r="AD747" s="404" t="e">
        <f aca="false">IF(ABS(t-ROUND(t,0))&lt;0.001,pos_x,NA())</f>
        <v>#N/A</v>
      </c>
      <c r="AE747" s="405" t="e">
        <f aca="false">IF(t&lt;T_para, pos_z, NA())</f>
        <v>#N/A</v>
      </c>
      <c r="AG747" s="396" t="n">
        <f aca="false">IF(AND(L746&lt;L_rampe,Poussee&lt;Poids*SIN(M746)),0,(-W746+Poussee)/m-Poids*SIN(M746)/m)</f>
        <v>2.41478142113589</v>
      </c>
      <c r="AH747" s="397" t="n">
        <f aca="false">IF(AND(L746&lt;L_rampe,Poussee&lt;Poids*SIN(M746)), g*SIN(M746), (-W746+Poussee)/m)</f>
        <v>-7.34705023168</v>
      </c>
    </row>
    <row r="748" customFormat="false" ht="12.75" hidden="false" customHeight="false" outlineLevel="0" collapsed="false">
      <c r="A748" s="396" t="n">
        <f aca="false">IF(B747+0.01&lt;=T_ini+ROUNDUP(Temps_fin_propu,0), 0.01, IF(K747&gt;0, 0.1, 0.0001))</f>
        <v>0.0001</v>
      </c>
      <c r="B748" s="397" t="n">
        <f aca="false">B747+pas</f>
        <v>32.124300000001</v>
      </c>
      <c r="D748" s="396" t="n">
        <f aca="false">IF(AND(L747&lt;L_rampe,Poussee&lt;Poids*SIN(M747)),0,(-W747+Poussee)/m*COS(M747)-U747/m*SIN(M747))</f>
        <v>-0.727175543447987</v>
      </c>
      <c r="E748" s="398" t="n">
        <f aca="false">IF(AND(L747&lt;L_rampe,Poussee&lt;Poids*SIN(M747)),0,(-W747+Poussee)/m*SIN(M747)+U747/m*COS(M747)-Poids/m)</f>
        <v>-2.49898522982306</v>
      </c>
      <c r="F748" s="397" t="n">
        <f aca="false">SQRT(acc_x^2+acc_z^2)</f>
        <v>2.60263548155763</v>
      </c>
      <c r="G748" s="396" t="n">
        <f aca="false">G747+acc_x*pas</f>
        <v>11.4796304782917</v>
      </c>
      <c r="H748" s="398" t="n">
        <f aca="false">H747+acc_z*pas</f>
        <v>-115.417057268202</v>
      </c>
      <c r="I748" s="397" t="n">
        <f aca="false">SQRT(vit_x^2+vit_z^2)</f>
        <v>115.986546738704</v>
      </c>
      <c r="J748" s="396" t="n">
        <f aca="false">J747+0.5*(vit_x+G747)*pas*(K747&gt;=0)</f>
        <v>690.928492655337</v>
      </c>
      <c r="K748" s="398" t="n">
        <f aca="false">K747+0.5*(vit_z+H747)*pas</f>
        <v>-11.4085005563656</v>
      </c>
      <c r="L748" s="397" t="n">
        <f aca="false">SQRT(pos_x^2+pos_z^2)</f>
        <v>691.022673902905</v>
      </c>
      <c r="M748" s="396" t="n">
        <f aca="false">IF(AND(L747&gt;L_rampe,G748&gt;0),ATAN2(G748,H748),$M$4)</f>
        <v>-1.4716602117879</v>
      </c>
      <c r="N748" s="397" t="n">
        <f aca="false">DEGREES(Beta)</f>
        <v>-84.3199190127754</v>
      </c>
      <c r="P748" s="399" t="n">
        <f aca="false">MATCH(t-pas/2-T_ini,CdP_t)</f>
        <v>23</v>
      </c>
      <c r="Q748" s="397" t="n">
        <f aca="false">(INDEX(CdP,2,i_P+1)-INDEX(CdP,2,i_P+0))/(INDEX(CdP,1,i_P+1)-INDEX(CdP,1,i_P+0))*(t-pas/2-T_ini-INDEX(CdP,1,i_P+0))+INDEX(CdP,2,i_P+0)</f>
        <v>0</v>
      </c>
      <c r="R748" s="396" t="n">
        <f aca="false">Poussee/(g*ISP)</f>
        <v>0</v>
      </c>
      <c r="S748" s="398" t="n">
        <f aca="false">S747-Débit*pas</f>
        <v>8.45</v>
      </c>
      <c r="T748" s="397" t="n">
        <f aca="false">m*g</f>
        <v>82.8945</v>
      </c>
      <c r="U748" s="400" t="n">
        <f aca="false">IF(pos_xz&lt;L_rampe,Poids*COS(Beta),0)</f>
        <v>0</v>
      </c>
      <c r="V748" s="396" t="n">
        <f aca="false">Rho_moyen*(20000-Alt_rampe-pos_z)/(20000+Alt_rampe+pos_z)</f>
        <v>1.2263983389657</v>
      </c>
      <c r="W748" s="397" t="n">
        <f aca="false">1/2*Rho*Sref*Cx*vit_xz^2</f>
        <v>62.0832347769315</v>
      </c>
      <c r="Y748" s="408" t="str">
        <f aca="false">IF(AND(pos_z&lt;=0,K747&gt;0),"Impact balistique","") &amp; IF(AND(H749&lt;0,vit_z&gt;=0),"Apogée","") &amp; IF(AND(Poussee=0,Q747&gt;0),"Fin de propulsion","") &amp; IF(AND(L749&gt;L_rampe,pos_xz&lt;=L_rampe),"Sortie de rampe","")</f>
        <v/>
      </c>
      <c r="Z748" s="402" t="str">
        <f aca="false">IF(ABS(t-T_para)&lt;pas/2,"Para","")</f>
        <v/>
      </c>
      <c r="AA748" s="403" t="str">
        <f aca="false">IF(ABS(t-T_satellite)&lt;pas/2,"Satellite","")</f>
        <v/>
      </c>
      <c r="AC748" s="399" t="e">
        <f aca="false">IF(ABS(t-ROUND(t,0))&lt;0.001,t,NA())</f>
        <v>#N/A</v>
      </c>
      <c r="AD748" s="404" t="e">
        <f aca="false">IF(ABS(t-ROUND(t,0))&lt;0.001,pos_x,NA())</f>
        <v>#N/A</v>
      </c>
      <c r="AE748" s="405" t="e">
        <f aca="false">IF(t&lt;T_para, pos_z, NA())</f>
        <v>#N/A</v>
      </c>
      <c r="AG748" s="396" t="n">
        <f aca="false">IF(AND(L747&lt;L_rampe,Poussee&lt;Poids*SIN(M747)),0,(-W747+Poussee)/m-Poids*SIN(M747)/m)</f>
        <v>2.41474316163249</v>
      </c>
      <c r="AH748" s="397" t="n">
        <f aca="false">IF(AND(L747&lt;L_rampe,Poussee&lt;Poids*SIN(M747)), g*SIN(M747), (-W747+Poussee)/m)</f>
        <v>-7.34708930398523</v>
      </c>
    </row>
    <row r="749" customFormat="false" ht="12.75" hidden="false" customHeight="false" outlineLevel="0" collapsed="false">
      <c r="A749" s="396" t="n">
        <f aca="false">IF(B748+0.01&lt;=T_ini+ROUNDUP(Temps_fin_propu,0), 0.01, IF(K748&gt;0, 0.1, 0.0001))</f>
        <v>0.0001</v>
      </c>
      <c r="B749" s="397" t="n">
        <f aca="false">B748+pas</f>
        <v>32.124400000001</v>
      </c>
      <c r="D749" s="396" t="n">
        <f aca="false">IF(AND(L748&lt;L_rampe,Poussee&lt;Poids*SIN(M748)),0,(-W748+Poussee)/m*COS(M748)-U748/m*SIN(M748))</f>
        <v>-0.727173290387671</v>
      </c>
      <c r="E749" s="398" t="n">
        <f aca="false">IF(AND(L748&lt;L_rampe,Poussee&lt;Poids*SIN(M748)),0,(-W748+Poussee)/m*SIN(M748)+U748/m*COS(M748)-Poids/m)</f>
        <v>-2.49894574095471</v>
      </c>
      <c r="F749" s="397" t="n">
        <f aca="false">SQRT(acc_x^2+acc_z^2)</f>
        <v>2.60259693584868</v>
      </c>
      <c r="G749" s="396" t="n">
        <f aca="false">G748+acc_x*pas</f>
        <v>11.4795577609627</v>
      </c>
      <c r="H749" s="398" t="n">
        <f aca="false">H748+acc_z*pas</f>
        <v>-115.417307162776</v>
      </c>
      <c r="I749" s="397" t="n">
        <f aca="false">SQRT(vit_x^2+vit_z^2)</f>
        <v>115.986788209235</v>
      </c>
      <c r="J749" s="396" t="n">
        <f aca="false">J748+0.5*(vit_x+G748)*pas*(K748&gt;=0)</f>
        <v>690.928492655337</v>
      </c>
      <c r="K749" s="398" t="n">
        <f aca="false">K748+0.5*(vit_z+H748)*pas</f>
        <v>-11.4200422745872</v>
      </c>
      <c r="L749" s="397" t="n">
        <f aca="false">SQRT(pos_x^2+pos_z^2)</f>
        <v>691.022864548294</v>
      </c>
      <c r="M749" s="396" t="n">
        <f aca="false">IF(AND(L748&gt;L_rampe,G749&gt;0),ATAN2(G749,H749),$M$4)</f>
        <v>-1.47166104889451</v>
      </c>
      <c r="N749" s="397" t="n">
        <f aca="false">DEGREES(Beta)</f>
        <v>-84.3199669754515</v>
      </c>
      <c r="P749" s="399" t="n">
        <f aca="false">MATCH(t-pas/2-T_ini,CdP_t)</f>
        <v>23</v>
      </c>
      <c r="Q749" s="397" t="n">
        <f aca="false">(INDEX(CdP,2,i_P+1)-INDEX(CdP,2,i_P+0))/(INDEX(CdP,1,i_P+1)-INDEX(CdP,1,i_P+0))*(t-pas/2-T_ini-INDEX(CdP,1,i_P+0))+INDEX(CdP,2,i_P+0)</f>
        <v>0</v>
      </c>
      <c r="R749" s="396" t="n">
        <f aca="false">Poussee/(g*ISP)</f>
        <v>0</v>
      </c>
      <c r="S749" s="398" t="n">
        <f aca="false">S748-Débit*pas</f>
        <v>8.45</v>
      </c>
      <c r="T749" s="397" t="n">
        <f aca="false">m*g</f>
        <v>82.8945</v>
      </c>
      <c r="U749" s="400" t="n">
        <f aca="false">IF(pos_xz&lt;L_rampe,Poids*COS(Beta),0)</f>
        <v>0</v>
      </c>
      <c r="V749" s="396" t="n">
        <f aca="false">Rho_moyen*(20000-Alt_rampe-pos_z)/(20000+Alt_rampe+pos_z)</f>
        <v>1.22639975444138</v>
      </c>
      <c r="W749" s="397" t="n">
        <f aca="false">1/2*Rho*Sref*Cx*vit_xz^2</f>
        <v>62.0835649324648</v>
      </c>
      <c r="Y749" s="408" t="str">
        <f aca="false">IF(AND(pos_z&lt;=0,K748&gt;0),"Impact balistique","") &amp; IF(AND(H750&lt;0,vit_z&gt;=0),"Apogée","") &amp; IF(AND(Poussee=0,Q748&gt;0),"Fin de propulsion","") &amp; IF(AND(L750&gt;L_rampe,pos_xz&lt;=L_rampe),"Sortie de rampe","")</f>
        <v/>
      </c>
      <c r="Z749" s="402" t="str">
        <f aca="false">IF(ABS(t-T_para)&lt;pas/2,"Para","")</f>
        <v/>
      </c>
      <c r="AA749" s="403" t="str">
        <f aca="false">IF(ABS(t-T_satellite)&lt;pas/2,"Satellite","")</f>
        <v/>
      </c>
      <c r="AC749" s="399" t="e">
        <f aca="false">IF(ABS(t-ROUND(t,0))&lt;0.001,t,NA())</f>
        <v>#N/A</v>
      </c>
      <c r="AD749" s="404" t="e">
        <f aca="false">IF(ABS(t-ROUND(t,0))&lt;0.001,pos_x,NA())</f>
        <v>#N/A</v>
      </c>
      <c r="AE749" s="405" t="e">
        <f aca="false">IF(t&lt;T_para, pos_z, NA())</f>
        <v>#N/A</v>
      </c>
      <c r="AG749" s="396" t="n">
        <f aca="false">IF(AND(L748&lt;L_rampe,Poussee&lt;Poids*SIN(M748)),0,(-W748+Poussee)/m-Poids*SIN(M748)/m)</f>
        <v>2.41470490243596</v>
      </c>
      <c r="AH749" s="397" t="n">
        <f aca="false">IF(AND(L748&lt;L_rampe,Poussee&lt;Poids*SIN(M748)), g*SIN(M748), (-W748+Poussee)/m)</f>
        <v>-7.34712837596822</v>
      </c>
    </row>
    <row r="750" customFormat="false" ht="12.75" hidden="false" customHeight="false" outlineLevel="0" collapsed="false">
      <c r="A750" s="396" t="n">
        <f aca="false">IF(B749+0.01&lt;=T_ini+ROUNDUP(Temps_fin_propu,0), 0.01, IF(K749&gt;0, 0.1, 0.0001))</f>
        <v>0.0001</v>
      </c>
      <c r="B750" s="397" t="n">
        <f aca="false">B749+pas</f>
        <v>32.124500000001</v>
      </c>
      <c r="D750" s="396" t="n">
        <f aca="false">IF(AND(L749&lt;L_rampe,Poussee&lt;Poids*SIN(M749)),0,(-W749+Poussee)/m*COS(M749)-U749/m*SIN(M749))</f>
        <v>-0.72717103729411</v>
      </c>
      <c r="E750" s="398" t="n">
        <f aca="false">IF(AND(L749&lt;L_rampe,Poussee&lt;Poids*SIN(M749)),0,(-W749+Poussee)/m*SIN(M749)+U749/m*COS(M749)-Poids/m)</f>
        <v>-2.49890625241206</v>
      </c>
      <c r="F750" s="397" t="n">
        <f aca="false">SQRT(acc_x^2+acc_z^2)</f>
        <v>2.6025583904734</v>
      </c>
      <c r="G750" s="396" t="n">
        <f aca="false">G749+acc_x*pas</f>
        <v>11.479485043859</v>
      </c>
      <c r="H750" s="398" t="n">
        <f aca="false">H749+acc_z*pas</f>
        <v>-115.417557053401</v>
      </c>
      <c r="I750" s="397" t="n">
        <f aca="false">SQRT(vit_x^2+vit_z^2)</f>
        <v>115.98702967594</v>
      </c>
      <c r="J750" s="396" t="n">
        <f aca="false">J749+0.5*(vit_x+G749)*pas*(K749&gt;=0)</f>
        <v>690.928492655337</v>
      </c>
      <c r="K750" s="398" t="n">
        <f aca="false">K749+0.5*(vit_z+H749)*pas</f>
        <v>-11.431584017798</v>
      </c>
      <c r="L750" s="397" t="n">
        <f aca="false">SQRT(pos_x^2+pos_z^2)</f>
        <v>691.023055386817</v>
      </c>
      <c r="M750" s="396" t="n">
        <f aca="false">IF(AND(L749&gt;L_rampe,G750&gt;0),ATAN2(G750,H750),$M$4)</f>
        <v>-1.47166188599234</v>
      </c>
      <c r="N750" s="397" t="n">
        <f aca="false">DEGREES(Beta)</f>
        <v>-84.3200149376242</v>
      </c>
      <c r="P750" s="399" t="n">
        <f aca="false">MATCH(t-pas/2-T_ini,CdP_t)</f>
        <v>23</v>
      </c>
      <c r="Q750" s="397" t="n">
        <f aca="false">(INDEX(CdP,2,i_P+1)-INDEX(CdP,2,i_P+0))/(INDEX(CdP,1,i_P+1)-INDEX(CdP,1,i_P+0))*(t-pas/2-T_ini-INDEX(CdP,1,i_P+0))+INDEX(CdP,2,i_P+0)</f>
        <v>0</v>
      </c>
      <c r="R750" s="396" t="n">
        <f aca="false">Poussee/(g*ISP)</f>
        <v>0</v>
      </c>
      <c r="S750" s="398" t="n">
        <f aca="false">S749-Débit*pas</f>
        <v>8.45</v>
      </c>
      <c r="T750" s="397" t="n">
        <f aca="false">m*g</f>
        <v>82.8945</v>
      </c>
      <c r="U750" s="400" t="n">
        <f aca="false">IF(pos_xz&lt;L_rampe,Poids*COS(Beta),0)</f>
        <v>0</v>
      </c>
      <c r="V750" s="396" t="n">
        <f aca="false">Rho_moyen*(20000-Alt_rampe-pos_z)/(20000+Alt_rampe+pos_z)</f>
        <v>1.22640116992176</v>
      </c>
      <c r="W750" s="397" t="n">
        <f aca="false">1/2*Rho*Sref*Cx*vit_xz^2</f>
        <v>62.0838950852751</v>
      </c>
      <c r="Y750" s="408" t="str">
        <f aca="false">IF(AND(pos_z&lt;=0,K749&gt;0),"Impact balistique","") &amp; IF(AND(H751&lt;0,vit_z&gt;=0),"Apogée","") &amp; IF(AND(Poussee=0,Q749&gt;0),"Fin de propulsion","") &amp; IF(AND(L751&gt;L_rampe,pos_xz&lt;=L_rampe),"Sortie de rampe","")</f>
        <v/>
      </c>
      <c r="Z750" s="402" t="str">
        <f aca="false">IF(ABS(t-T_para)&lt;pas/2,"Para","")</f>
        <v/>
      </c>
      <c r="AA750" s="403" t="str">
        <f aca="false">IF(ABS(t-T_satellite)&lt;pas/2,"Satellite","")</f>
        <v/>
      </c>
      <c r="AC750" s="399" t="e">
        <f aca="false">IF(ABS(t-ROUND(t,0))&lt;0.001,t,NA())</f>
        <v>#N/A</v>
      </c>
      <c r="AD750" s="404" t="e">
        <f aca="false">IF(ABS(t-ROUND(t,0))&lt;0.001,pos_x,NA())</f>
        <v>#N/A</v>
      </c>
      <c r="AE750" s="405" t="e">
        <f aca="false">IF(t&lt;T_para, pos_z, NA())</f>
        <v>#N/A</v>
      </c>
      <c r="AG750" s="396" t="n">
        <f aca="false">IF(AND(L749&lt;L_rampe,Poussee&lt;Poids*SIN(M749)),0,(-W749+Poussee)/m-Poids*SIN(M749)/m)</f>
        <v>2.41466664354629</v>
      </c>
      <c r="AH750" s="397" t="n">
        <f aca="false">IF(AND(L749&lt;L_rampe,Poussee&lt;Poids*SIN(M749)), g*SIN(M749), (-W749+Poussee)/m)</f>
        <v>-7.34716744762897</v>
      </c>
    </row>
    <row r="751" customFormat="false" ht="12.75" hidden="false" customHeight="false" outlineLevel="0" collapsed="false">
      <c r="A751" s="396" t="n">
        <f aca="false">IF(B750+0.01&lt;=T_ini+ROUNDUP(Temps_fin_propu,0), 0.01, IF(K750&gt;0, 0.1, 0.0001))</f>
        <v>0.0001</v>
      </c>
      <c r="B751" s="397" t="n">
        <f aca="false">B750+pas</f>
        <v>32.124600000001</v>
      </c>
      <c r="D751" s="396" t="n">
        <f aca="false">IF(AND(L750&lt;L_rampe,Poussee&lt;Poids*SIN(M750)),0,(-W750+Poussee)/m*COS(M750)-U750/m*SIN(M750))</f>
        <v>-0.727168784167304</v>
      </c>
      <c r="E751" s="398" t="n">
        <f aca="false">IF(AND(L750&lt;L_rampe,Poussee&lt;Poids*SIN(M750)),0,(-W750+Poussee)/m*SIN(M750)+U750/m*COS(M750)-Poids/m)</f>
        <v>-2.49886676419512</v>
      </c>
      <c r="F751" s="397" t="n">
        <f aca="false">SQRT(acc_x^2+acc_z^2)</f>
        <v>2.6025198454318</v>
      </c>
      <c r="G751" s="396" t="n">
        <f aca="false">G750+acc_x*pas</f>
        <v>11.4794123269805</v>
      </c>
      <c r="H751" s="398" t="n">
        <f aca="false">H750+acc_z*pas</f>
        <v>-115.417806940078</v>
      </c>
      <c r="I751" s="397" t="n">
        <f aca="false">SQRT(vit_x^2+vit_z^2)</f>
        <v>115.987271138819</v>
      </c>
      <c r="J751" s="396" t="n">
        <f aca="false">J750+0.5*(vit_x+G750)*pas*(K750&gt;=0)</f>
        <v>690.928492655337</v>
      </c>
      <c r="K751" s="398" t="n">
        <f aca="false">K750+0.5*(vit_z+H750)*pas</f>
        <v>-11.4431257859977</v>
      </c>
      <c r="L751" s="397" t="n">
        <f aca="false">SQRT(pos_x^2+pos_z^2)</f>
        <v>691.023246418476</v>
      </c>
      <c r="M751" s="396" t="n">
        <f aca="false">IF(AND(L750&gt;L_rampe,G751&gt;0),ATAN2(G751,H751),$M$4)</f>
        <v>-1.47166272308138</v>
      </c>
      <c r="N751" s="397" t="n">
        <f aca="false">DEGREES(Beta)</f>
        <v>-84.3200628992934</v>
      </c>
      <c r="P751" s="399" t="n">
        <f aca="false">MATCH(t-pas/2-T_ini,CdP_t)</f>
        <v>23</v>
      </c>
      <c r="Q751" s="397" t="n">
        <f aca="false">(INDEX(CdP,2,i_P+1)-INDEX(CdP,2,i_P+0))/(INDEX(CdP,1,i_P+1)-INDEX(CdP,1,i_P+0))*(t-pas/2-T_ini-INDEX(CdP,1,i_P+0))+INDEX(CdP,2,i_P+0)</f>
        <v>0</v>
      </c>
      <c r="R751" s="396" t="n">
        <f aca="false">Poussee/(g*ISP)</f>
        <v>0</v>
      </c>
      <c r="S751" s="398" t="n">
        <f aca="false">S750-Débit*pas</f>
        <v>8.45</v>
      </c>
      <c r="T751" s="397" t="n">
        <f aca="false">m*g</f>
        <v>82.8945</v>
      </c>
      <c r="U751" s="400" t="n">
        <f aca="false">IF(pos_xz&lt;L_rampe,Poids*COS(Beta),0)</f>
        <v>0</v>
      </c>
      <c r="V751" s="396" t="n">
        <f aca="false">Rho_moyen*(20000-Alt_rampe-pos_z)/(20000+Alt_rampe+pos_z)</f>
        <v>1.22640258540685</v>
      </c>
      <c r="W751" s="397" t="n">
        <f aca="false">1/2*Rho*Sref*Cx*vit_xz^2</f>
        <v>62.0842252353625</v>
      </c>
      <c r="Y751" s="408" t="str">
        <f aca="false">IF(AND(pos_z&lt;=0,K750&gt;0),"Impact balistique","") &amp; IF(AND(H752&lt;0,vit_z&gt;=0),"Apogée","") &amp; IF(AND(Poussee=0,Q750&gt;0),"Fin de propulsion","") &amp; IF(AND(L752&gt;L_rampe,pos_xz&lt;=L_rampe),"Sortie de rampe","")</f>
        <v/>
      </c>
      <c r="Z751" s="402" t="str">
        <f aca="false">IF(ABS(t-T_para)&lt;pas/2,"Para","")</f>
        <v/>
      </c>
      <c r="AA751" s="403" t="str">
        <f aca="false">IF(ABS(t-T_satellite)&lt;pas/2,"Satellite","")</f>
        <v/>
      </c>
      <c r="AC751" s="399" t="e">
        <f aca="false">IF(ABS(t-ROUND(t,0))&lt;0.001,t,NA())</f>
        <v>#N/A</v>
      </c>
      <c r="AD751" s="404" t="e">
        <f aca="false">IF(ABS(t-ROUND(t,0))&lt;0.001,pos_x,NA())</f>
        <v>#N/A</v>
      </c>
      <c r="AE751" s="405" t="e">
        <f aca="false">IF(t&lt;T_para, pos_z, NA())</f>
        <v>#N/A</v>
      </c>
      <c r="AG751" s="396" t="n">
        <f aca="false">IF(AND(L750&lt;L_rampe,Poussee&lt;Poids*SIN(M750)),0,(-W750+Poussee)/m-Poids*SIN(M750)/m)</f>
        <v>2.41462838496351</v>
      </c>
      <c r="AH751" s="397" t="n">
        <f aca="false">IF(AND(L750&lt;L_rampe,Poussee&lt;Poids*SIN(M750)), g*SIN(M750), (-W750+Poussee)/m)</f>
        <v>-7.34720651896747</v>
      </c>
    </row>
    <row r="752" customFormat="false" ht="12.75" hidden="false" customHeight="false" outlineLevel="0" collapsed="false">
      <c r="A752" s="396" t="n">
        <f aca="false">IF(B751+0.01&lt;=T_ini+ROUNDUP(Temps_fin_propu,0), 0.01, IF(K751&gt;0, 0.1, 0.0001))</f>
        <v>0.0001</v>
      </c>
      <c r="B752" s="397" t="n">
        <f aca="false">B751+pas</f>
        <v>32.124700000001</v>
      </c>
      <c r="D752" s="396" t="n">
        <f aca="false">IF(AND(L751&lt;L_rampe,Poussee&lt;Poids*SIN(M751)),0,(-W751+Poussee)/m*COS(M751)-U751/m*SIN(M751))</f>
        <v>-0.727166531007252</v>
      </c>
      <c r="E752" s="398" t="n">
        <f aca="false">IF(AND(L751&lt;L_rampe,Poussee&lt;Poids*SIN(M751)),0,(-W751+Poussee)/m*SIN(M751)+U751/m*COS(M751)-Poids/m)</f>
        <v>-2.49882727630388</v>
      </c>
      <c r="F752" s="397" t="n">
        <f aca="false">SQRT(acc_x^2+acc_z^2)</f>
        <v>2.60248130072386</v>
      </c>
      <c r="G752" s="396" t="n">
        <f aca="false">G751+acc_x*pas</f>
        <v>11.4793396103274</v>
      </c>
      <c r="H752" s="398" t="n">
        <f aca="false">H751+acc_z*pas</f>
        <v>-115.418056822806</v>
      </c>
      <c r="I752" s="397" t="n">
        <f aca="false">SQRT(vit_x^2+vit_z^2)</f>
        <v>115.987512597872</v>
      </c>
      <c r="J752" s="396" t="n">
        <f aca="false">J751+0.5*(vit_x+G751)*pas*(K751&gt;=0)</f>
        <v>690.928492655337</v>
      </c>
      <c r="K752" s="398" t="n">
        <f aca="false">K751+0.5*(vit_z+H751)*pas</f>
        <v>-11.4546675791858</v>
      </c>
      <c r="L752" s="397" t="n">
        <f aca="false">SQRT(pos_x^2+pos_z^2)</f>
        <v>691.023437643272</v>
      </c>
      <c r="M752" s="396" t="n">
        <f aca="false">IF(AND(L751&gt;L_rampe,G752&gt;0),ATAN2(G752,H752),$M$4)</f>
        <v>-1.47166356016164</v>
      </c>
      <c r="N752" s="397" t="n">
        <f aca="false">DEGREES(Beta)</f>
        <v>-84.320110860459</v>
      </c>
      <c r="P752" s="399" t="n">
        <f aca="false">MATCH(t-pas/2-T_ini,CdP_t)</f>
        <v>23</v>
      </c>
      <c r="Q752" s="397" t="n">
        <f aca="false">(INDEX(CdP,2,i_P+1)-INDEX(CdP,2,i_P+0))/(INDEX(CdP,1,i_P+1)-INDEX(CdP,1,i_P+0))*(t-pas/2-T_ini-INDEX(CdP,1,i_P+0))+INDEX(CdP,2,i_P+0)</f>
        <v>0</v>
      </c>
      <c r="R752" s="396" t="n">
        <f aca="false">Poussee/(g*ISP)</f>
        <v>0</v>
      </c>
      <c r="S752" s="398" t="n">
        <f aca="false">S751-Débit*pas</f>
        <v>8.45</v>
      </c>
      <c r="T752" s="397" t="n">
        <f aca="false">m*g</f>
        <v>82.8945</v>
      </c>
      <c r="U752" s="400" t="n">
        <f aca="false">IF(pos_xz&lt;L_rampe,Poids*COS(Beta),0)</f>
        <v>0</v>
      </c>
      <c r="V752" s="396" t="n">
        <f aca="false">Rho_moyen*(20000-Alt_rampe-pos_z)/(20000+Alt_rampe+pos_z)</f>
        <v>1.22640400089663</v>
      </c>
      <c r="W752" s="397" t="n">
        <f aca="false">1/2*Rho*Sref*Cx*vit_xz^2</f>
        <v>62.0845553827269</v>
      </c>
      <c r="Y752" s="408" t="str">
        <f aca="false">IF(AND(pos_z&lt;=0,K751&gt;0),"Impact balistique","") &amp; IF(AND(H753&lt;0,vit_z&gt;=0),"Apogée","") &amp; IF(AND(Poussee=0,Q751&gt;0),"Fin de propulsion","") &amp; IF(AND(L753&gt;L_rampe,pos_xz&lt;=L_rampe),"Sortie de rampe","")</f>
        <v/>
      </c>
      <c r="Z752" s="402" t="str">
        <f aca="false">IF(ABS(t-T_para)&lt;pas/2,"Para","")</f>
        <v/>
      </c>
      <c r="AA752" s="403" t="str">
        <f aca="false">IF(ABS(t-T_satellite)&lt;pas/2,"Satellite","")</f>
        <v/>
      </c>
      <c r="AC752" s="399" t="e">
        <f aca="false">IF(ABS(t-ROUND(t,0))&lt;0.001,t,NA())</f>
        <v>#N/A</v>
      </c>
      <c r="AD752" s="404" t="e">
        <f aca="false">IF(ABS(t-ROUND(t,0))&lt;0.001,pos_x,NA())</f>
        <v>#N/A</v>
      </c>
      <c r="AE752" s="405" t="e">
        <f aca="false">IF(t&lt;T_para, pos_z, NA())</f>
        <v>#N/A</v>
      </c>
      <c r="AG752" s="396" t="n">
        <f aca="false">IF(AND(L751&lt;L_rampe,Poussee&lt;Poids*SIN(M751)),0,(-W751+Poussee)/m-Poids*SIN(M751)/m)</f>
        <v>2.41459012668759</v>
      </c>
      <c r="AH752" s="397" t="n">
        <f aca="false">IF(AND(L751&lt;L_rampe,Poussee&lt;Poids*SIN(M751)), g*SIN(M751), (-W751+Poussee)/m)</f>
        <v>-7.34724558998373</v>
      </c>
    </row>
    <row r="753" customFormat="false" ht="12.75" hidden="false" customHeight="false" outlineLevel="0" collapsed="false">
      <c r="A753" s="396" t="n">
        <f aca="false">IF(B752+0.01&lt;=T_ini+ROUNDUP(Temps_fin_propu,0), 0.01, IF(K752&gt;0, 0.1, 0.0001))</f>
        <v>0.0001</v>
      </c>
      <c r="B753" s="397" t="n">
        <f aca="false">B752+pas</f>
        <v>32.124800000001</v>
      </c>
      <c r="D753" s="396" t="n">
        <f aca="false">IF(AND(L752&lt;L_rampe,Poussee&lt;Poids*SIN(M752)),0,(-W752+Poussee)/m*COS(M752)-U752/m*SIN(M752))</f>
        <v>-0.727164277813957</v>
      </c>
      <c r="E753" s="398" t="n">
        <f aca="false">IF(AND(L752&lt;L_rampe,Poussee&lt;Poids*SIN(M752)),0,(-W752+Poussee)/m*SIN(M752)+U752/m*COS(M752)-Poids/m)</f>
        <v>-2.49878778873834</v>
      </c>
      <c r="F753" s="397" t="n">
        <f aca="false">SQRT(acc_x^2+acc_z^2)</f>
        <v>2.60244275634961</v>
      </c>
      <c r="G753" s="396" t="n">
        <f aca="false">G752+acc_x*pas</f>
        <v>11.4792668938997</v>
      </c>
      <c r="H753" s="398" t="n">
        <f aca="false">H752+acc_z*pas</f>
        <v>-115.418306701584</v>
      </c>
      <c r="I753" s="397" t="n">
        <f aca="false">SQRT(vit_x^2+vit_z^2)</f>
        <v>115.9877540531</v>
      </c>
      <c r="J753" s="396" t="n">
        <f aca="false">J752+0.5*(vit_x+G752)*pas*(K752&gt;=0)</f>
        <v>690.928492655337</v>
      </c>
      <c r="K753" s="398" t="n">
        <f aca="false">K752+0.5*(vit_z+H752)*pas</f>
        <v>-11.466209397362</v>
      </c>
      <c r="L753" s="397" t="n">
        <f aca="false">SQRT(pos_x^2+pos_z^2)</f>
        <v>691.023629061206</v>
      </c>
      <c r="M753" s="396" t="n">
        <f aca="false">IF(AND(L752&gt;L_rampe,G753&gt;0),ATAN2(G753,H753),$M$4)</f>
        <v>-1.4716643972331</v>
      </c>
      <c r="N753" s="397" t="n">
        <f aca="false">DEGREES(Beta)</f>
        <v>-84.3201588211211</v>
      </c>
      <c r="P753" s="399" t="n">
        <f aca="false">MATCH(t-pas/2-T_ini,CdP_t)</f>
        <v>23</v>
      </c>
      <c r="Q753" s="397" t="n">
        <f aca="false">(INDEX(CdP,2,i_P+1)-INDEX(CdP,2,i_P+0))/(INDEX(CdP,1,i_P+1)-INDEX(CdP,1,i_P+0))*(t-pas/2-T_ini-INDEX(CdP,1,i_P+0))+INDEX(CdP,2,i_P+0)</f>
        <v>0</v>
      </c>
      <c r="R753" s="396" t="n">
        <f aca="false">Poussee/(g*ISP)</f>
        <v>0</v>
      </c>
      <c r="S753" s="398" t="n">
        <f aca="false">S752-Débit*pas</f>
        <v>8.45</v>
      </c>
      <c r="T753" s="397" t="n">
        <f aca="false">m*g</f>
        <v>82.8945</v>
      </c>
      <c r="U753" s="400" t="n">
        <f aca="false">IF(pos_xz&lt;L_rampe,Poids*COS(Beta),0)</f>
        <v>0</v>
      </c>
      <c r="V753" s="396" t="n">
        <f aca="false">Rho_moyen*(20000-Alt_rampe-pos_z)/(20000+Alt_rampe+pos_z)</f>
        <v>1.22640541639111</v>
      </c>
      <c r="W753" s="397" t="n">
        <f aca="false">1/2*Rho*Sref*Cx*vit_xz^2</f>
        <v>62.0848855273683</v>
      </c>
      <c r="Y753" s="408" t="str">
        <f aca="false">IF(AND(pos_z&lt;=0,K752&gt;0),"Impact balistique","") &amp; IF(AND(H754&lt;0,vit_z&gt;=0),"Apogée","") &amp; IF(AND(Poussee=0,Q752&gt;0),"Fin de propulsion","") &amp; IF(AND(L754&gt;L_rampe,pos_xz&lt;=L_rampe),"Sortie de rampe","")</f>
        <v/>
      </c>
      <c r="Z753" s="402" t="str">
        <f aca="false">IF(ABS(t-T_para)&lt;pas/2,"Para","")</f>
        <v/>
      </c>
      <c r="AA753" s="403" t="str">
        <f aca="false">IF(ABS(t-T_satellite)&lt;pas/2,"Satellite","")</f>
        <v/>
      </c>
      <c r="AC753" s="399" t="e">
        <f aca="false">IF(ABS(t-ROUND(t,0))&lt;0.001,t,NA())</f>
        <v>#N/A</v>
      </c>
      <c r="AD753" s="404" t="e">
        <f aca="false">IF(ABS(t-ROUND(t,0))&lt;0.001,pos_x,NA())</f>
        <v>#N/A</v>
      </c>
      <c r="AE753" s="405" t="e">
        <f aca="false">IF(t&lt;T_para, pos_z, NA())</f>
        <v>#N/A</v>
      </c>
      <c r="AG753" s="396" t="n">
        <f aca="false">IF(AND(L752&lt;L_rampe,Poussee&lt;Poids*SIN(M752)),0,(-W752+Poussee)/m-Poids*SIN(M752)/m)</f>
        <v>2.41455186871855</v>
      </c>
      <c r="AH753" s="397" t="n">
        <f aca="false">IF(AND(L752&lt;L_rampe,Poussee&lt;Poids*SIN(M752)), g*SIN(M752), (-W752+Poussee)/m)</f>
        <v>-7.34728466067773</v>
      </c>
    </row>
    <row r="754" customFormat="false" ht="12.75" hidden="false" customHeight="false" outlineLevel="0" collapsed="false">
      <c r="A754" s="396" t="n">
        <f aca="false">IF(B753+0.01&lt;=T_ini+ROUNDUP(Temps_fin_propu,0), 0.01, IF(K753&gt;0, 0.1, 0.0001))</f>
        <v>0.0001</v>
      </c>
      <c r="B754" s="397" t="n">
        <f aca="false">B753+pas</f>
        <v>32.124900000001</v>
      </c>
      <c r="D754" s="396" t="n">
        <f aca="false">IF(AND(L753&lt;L_rampe,Poussee&lt;Poids*SIN(M753)),0,(-W753+Poussee)/m*COS(M753)-U753/m*SIN(M753))</f>
        <v>-0.72716202458742</v>
      </c>
      <c r="E754" s="398" t="n">
        <f aca="false">IF(AND(L753&lt;L_rampe,Poussee&lt;Poids*SIN(M753)),0,(-W753+Poussee)/m*SIN(M753)+U753/m*COS(M753)-Poids/m)</f>
        <v>-2.4987483014985</v>
      </c>
      <c r="F754" s="397" t="n">
        <f aca="false">SQRT(acc_x^2+acc_z^2)</f>
        <v>2.60240421230902</v>
      </c>
      <c r="G754" s="396" t="n">
        <f aca="false">G753+acc_x*pas</f>
        <v>11.4791941776972</v>
      </c>
      <c r="H754" s="398" t="n">
        <f aca="false">H753+acc_z*pas</f>
        <v>-115.418556576415</v>
      </c>
      <c r="I754" s="397" t="n">
        <f aca="false">SQRT(vit_x^2+vit_z^2)</f>
        <v>115.987995504502</v>
      </c>
      <c r="J754" s="396" t="n">
        <f aca="false">J753+0.5*(vit_x+G753)*pas*(K753&gt;=0)</f>
        <v>690.928492655337</v>
      </c>
      <c r="K754" s="398" t="n">
        <f aca="false">K753+0.5*(vit_z+H753)*pas</f>
        <v>-11.4777512405259</v>
      </c>
      <c r="L754" s="397" t="n">
        <f aca="false">SQRT(pos_x^2+pos_z^2)</f>
        <v>691.02382067228</v>
      </c>
      <c r="M754" s="396" t="n">
        <f aca="false">IF(AND(L753&gt;L_rampe,G754&gt;0),ATAN2(G754,H754),$M$4)</f>
        <v>-1.47166523429578</v>
      </c>
      <c r="N754" s="397" t="n">
        <f aca="false">DEGREES(Beta)</f>
        <v>-84.3202067812798</v>
      </c>
      <c r="P754" s="399" t="n">
        <f aca="false">MATCH(t-pas/2-T_ini,CdP_t)</f>
        <v>23</v>
      </c>
      <c r="Q754" s="397" t="n">
        <f aca="false">(INDEX(CdP,2,i_P+1)-INDEX(CdP,2,i_P+0))/(INDEX(CdP,1,i_P+1)-INDEX(CdP,1,i_P+0))*(t-pas/2-T_ini-INDEX(CdP,1,i_P+0))+INDEX(CdP,2,i_P+0)</f>
        <v>0</v>
      </c>
      <c r="R754" s="396" t="n">
        <f aca="false">Poussee/(g*ISP)</f>
        <v>0</v>
      </c>
      <c r="S754" s="398" t="n">
        <f aca="false">S753-Débit*pas</f>
        <v>8.45</v>
      </c>
      <c r="T754" s="397" t="n">
        <f aca="false">m*g</f>
        <v>82.8945</v>
      </c>
      <c r="U754" s="400" t="n">
        <f aca="false">IF(pos_xz&lt;L_rampe,Poids*COS(Beta),0)</f>
        <v>0</v>
      </c>
      <c r="V754" s="396" t="n">
        <f aca="false">Rho_moyen*(20000-Alt_rampe-pos_z)/(20000+Alt_rampe+pos_z)</f>
        <v>1.22640683189029</v>
      </c>
      <c r="W754" s="397" t="n">
        <f aca="false">1/2*Rho*Sref*Cx*vit_xz^2</f>
        <v>62.0852156692867</v>
      </c>
      <c r="Y754" s="408" t="str">
        <f aca="false">IF(AND(pos_z&lt;=0,K753&gt;0),"Impact balistique","") &amp; IF(AND(H755&lt;0,vit_z&gt;=0),"Apogée","") &amp; IF(AND(Poussee=0,Q753&gt;0),"Fin de propulsion","") &amp; IF(AND(L755&gt;L_rampe,pos_xz&lt;=L_rampe),"Sortie de rampe","")</f>
        <v/>
      </c>
      <c r="Z754" s="402" t="str">
        <f aca="false">IF(ABS(t-T_para)&lt;pas/2,"Para","")</f>
        <v/>
      </c>
      <c r="AA754" s="403" t="str">
        <f aca="false">IF(ABS(t-T_satellite)&lt;pas/2,"Satellite","")</f>
        <v/>
      </c>
      <c r="AC754" s="399" t="e">
        <f aca="false">IF(ABS(t-ROUND(t,0))&lt;0.001,t,NA())</f>
        <v>#N/A</v>
      </c>
      <c r="AD754" s="404" t="e">
        <f aca="false">IF(ABS(t-ROUND(t,0))&lt;0.001,pos_x,NA())</f>
        <v>#N/A</v>
      </c>
      <c r="AE754" s="405" t="e">
        <f aca="false">IF(t&lt;T_para, pos_z, NA())</f>
        <v>#N/A</v>
      </c>
      <c r="AG754" s="396" t="n">
        <f aca="false">IF(AND(L753&lt;L_rampe,Poussee&lt;Poids*SIN(M753)),0,(-W753+Poussee)/m-Poids*SIN(M753)/m)</f>
        <v>2.41451361105638</v>
      </c>
      <c r="AH754" s="397" t="n">
        <f aca="false">IF(AND(L753&lt;L_rampe,Poussee&lt;Poids*SIN(M753)), g*SIN(M753), (-W753+Poussee)/m)</f>
        <v>-7.3473237310495</v>
      </c>
    </row>
    <row r="755" customFormat="false" ht="12.75" hidden="false" customHeight="false" outlineLevel="0" collapsed="false">
      <c r="A755" s="396" t="n">
        <f aca="false">IF(B754+0.01&lt;=T_ini+ROUNDUP(Temps_fin_propu,0), 0.01, IF(K754&gt;0, 0.1, 0.0001))</f>
        <v>0.0001</v>
      </c>
      <c r="B755" s="397" t="n">
        <f aca="false">B754+pas</f>
        <v>32.125000000001</v>
      </c>
      <c r="D755" s="396" t="n">
        <f aca="false">IF(AND(L754&lt;L_rampe,Poussee&lt;Poids*SIN(M754)),0,(-W754+Poussee)/m*COS(M754)-U754/m*SIN(M754))</f>
        <v>-0.727159771327641</v>
      </c>
      <c r="E755" s="398" t="n">
        <f aca="false">IF(AND(L754&lt;L_rampe,Poussee&lt;Poids*SIN(M754)),0,(-W754+Poussee)/m*SIN(M754)+U754/m*COS(M754)-Poids/m)</f>
        <v>-2.49870881458437</v>
      </c>
      <c r="F755" s="397" t="n">
        <f aca="false">SQRT(acc_x^2+acc_z^2)</f>
        <v>2.60236566860211</v>
      </c>
      <c r="G755" s="396" t="n">
        <f aca="false">G754+acc_x*pas</f>
        <v>11.4791214617201</v>
      </c>
      <c r="H755" s="398" t="n">
        <f aca="false">H754+acc_z*pas</f>
        <v>-115.418806447296</v>
      </c>
      <c r="I755" s="397" t="n">
        <f aca="false">SQRT(vit_x^2+vit_z^2)</f>
        <v>115.988236952078</v>
      </c>
      <c r="J755" s="396" t="n">
        <f aca="false">J754+0.5*(vit_x+G754)*pas*(K754&gt;=0)</f>
        <v>690.928492655337</v>
      </c>
      <c r="K755" s="398" t="n">
        <f aca="false">K754+0.5*(vit_z+H754)*pas</f>
        <v>-11.4892931086771</v>
      </c>
      <c r="L755" s="397" t="n">
        <f aca="false">SQRT(pos_x^2+pos_z^2)</f>
        <v>691.024012476493</v>
      </c>
      <c r="M755" s="396" t="n">
        <f aca="false">IF(AND(L754&gt;L_rampe,G755&gt;0),ATAN2(G755,H755),$M$4)</f>
        <v>-1.47166607134967</v>
      </c>
      <c r="N755" s="397" t="n">
        <f aca="false">DEGREES(Beta)</f>
        <v>-84.320254740935</v>
      </c>
      <c r="P755" s="399" t="n">
        <f aca="false">MATCH(t-pas/2-T_ini,CdP_t)</f>
        <v>23</v>
      </c>
      <c r="Q755" s="397" t="n">
        <f aca="false">(INDEX(CdP,2,i_P+1)-INDEX(CdP,2,i_P+0))/(INDEX(CdP,1,i_P+1)-INDEX(CdP,1,i_P+0))*(t-pas/2-T_ini-INDEX(CdP,1,i_P+0))+INDEX(CdP,2,i_P+0)</f>
        <v>0</v>
      </c>
      <c r="R755" s="396" t="n">
        <f aca="false">Poussee/(g*ISP)</f>
        <v>0</v>
      </c>
      <c r="S755" s="398" t="n">
        <f aca="false">S754-Débit*pas</f>
        <v>8.45</v>
      </c>
      <c r="T755" s="397" t="n">
        <f aca="false">m*g</f>
        <v>82.8945</v>
      </c>
      <c r="U755" s="400" t="n">
        <f aca="false">IF(pos_xz&lt;L_rampe,Poids*COS(Beta),0)</f>
        <v>0</v>
      </c>
      <c r="V755" s="396" t="n">
        <f aca="false">Rho_moyen*(20000-Alt_rampe-pos_z)/(20000+Alt_rampe+pos_z)</f>
        <v>1.22640824739417</v>
      </c>
      <c r="W755" s="397" t="n">
        <f aca="false">1/2*Rho*Sref*Cx*vit_xz^2</f>
        <v>62.0855458084821</v>
      </c>
      <c r="Y755" s="408" t="str">
        <f aca="false">IF(AND(pos_z&lt;=0,K754&gt;0),"Impact balistique","") &amp; IF(AND(H756&lt;0,vit_z&gt;=0),"Apogée","") &amp; IF(AND(Poussee=0,Q754&gt;0),"Fin de propulsion","") &amp; IF(AND(L756&gt;L_rampe,pos_xz&lt;=L_rampe),"Sortie de rampe","")</f>
        <v/>
      </c>
      <c r="Z755" s="402" t="str">
        <f aca="false">IF(ABS(t-T_para)&lt;pas/2,"Para","")</f>
        <v/>
      </c>
      <c r="AA755" s="403" t="str">
        <f aca="false">IF(ABS(t-T_satellite)&lt;pas/2,"Satellite","")</f>
        <v/>
      </c>
      <c r="AC755" s="399" t="e">
        <f aca="false">IF(ABS(t-ROUND(t,0))&lt;0.001,t,NA())</f>
        <v>#N/A</v>
      </c>
      <c r="AD755" s="404" t="e">
        <f aca="false">IF(ABS(t-ROUND(t,0))&lt;0.001,pos_x,NA())</f>
        <v>#N/A</v>
      </c>
      <c r="AE755" s="405" t="e">
        <f aca="false">IF(t&lt;T_para, pos_z, NA())</f>
        <v>#N/A</v>
      </c>
      <c r="AG755" s="396" t="n">
        <f aca="false">IF(AND(L754&lt;L_rampe,Poussee&lt;Poids*SIN(M754)),0,(-W754+Poussee)/m-Poids*SIN(M754)/m)</f>
        <v>2.41447535370109</v>
      </c>
      <c r="AH755" s="397" t="n">
        <f aca="false">IF(AND(L754&lt;L_rampe,Poussee&lt;Poids*SIN(M754)), g*SIN(M754), (-W754+Poussee)/m)</f>
        <v>-7.34736280109902</v>
      </c>
    </row>
    <row r="756" customFormat="false" ht="12.75" hidden="false" customHeight="false" outlineLevel="0" collapsed="false">
      <c r="A756" s="396" t="n">
        <f aca="false">IF(B755+0.01&lt;=T_ini+ROUNDUP(Temps_fin_propu,0), 0.01, IF(K755&gt;0, 0.1, 0.0001))</f>
        <v>0.0001</v>
      </c>
      <c r="B756" s="397" t="n">
        <f aca="false">B755+pas</f>
        <v>32.125100000001</v>
      </c>
      <c r="D756" s="396" t="n">
        <f aca="false">IF(AND(L755&lt;L_rampe,Poussee&lt;Poids*SIN(M755)),0,(-W755+Poussee)/m*COS(M755)-U755/m*SIN(M755))</f>
        <v>-0.72715751803462</v>
      </c>
      <c r="E756" s="398" t="n">
        <f aca="false">IF(AND(L755&lt;L_rampe,Poussee&lt;Poids*SIN(M755)),0,(-W755+Poussee)/m*SIN(M755)+U755/m*COS(M755)-Poids/m)</f>
        <v>-2.49866932799594</v>
      </c>
      <c r="F756" s="397" t="n">
        <f aca="false">SQRT(acc_x^2+acc_z^2)</f>
        <v>2.60232712522887</v>
      </c>
      <c r="G756" s="396" t="n">
        <f aca="false">G755+acc_x*pas</f>
        <v>11.4790487459683</v>
      </c>
      <c r="H756" s="398" t="n">
        <f aca="false">H755+acc_z*pas</f>
        <v>-115.419056314229</v>
      </c>
      <c r="I756" s="397" t="n">
        <f aca="false">SQRT(vit_x^2+vit_z^2)</f>
        <v>115.988478395828</v>
      </c>
      <c r="J756" s="396" t="n">
        <f aca="false">J755+0.5*(vit_x+G755)*pas*(K755&gt;=0)</f>
        <v>690.928492655337</v>
      </c>
      <c r="K756" s="398" t="n">
        <f aca="false">K755+0.5*(vit_z+H755)*pas</f>
        <v>-11.5008350018152</v>
      </c>
      <c r="L756" s="397" t="n">
        <f aca="false">SQRT(pos_x^2+pos_z^2)</f>
        <v>691.024204473848</v>
      </c>
      <c r="M756" s="396" t="n">
        <f aca="false">IF(AND(L755&gt;L_rampe,G756&gt;0),ATAN2(G756,H756),$M$4)</f>
        <v>-1.47166690839478</v>
      </c>
      <c r="N756" s="397" t="n">
        <f aca="false">DEGREES(Beta)</f>
        <v>-84.3203027000867</v>
      </c>
      <c r="P756" s="399" t="n">
        <f aca="false">MATCH(t-pas/2-T_ini,CdP_t)</f>
        <v>23</v>
      </c>
      <c r="Q756" s="397" t="n">
        <f aca="false">(INDEX(CdP,2,i_P+1)-INDEX(CdP,2,i_P+0))/(INDEX(CdP,1,i_P+1)-INDEX(CdP,1,i_P+0))*(t-pas/2-T_ini-INDEX(CdP,1,i_P+0))+INDEX(CdP,2,i_P+0)</f>
        <v>0</v>
      </c>
      <c r="R756" s="396" t="n">
        <f aca="false">Poussee/(g*ISP)</f>
        <v>0</v>
      </c>
      <c r="S756" s="398" t="n">
        <f aca="false">S755-Débit*pas</f>
        <v>8.45</v>
      </c>
      <c r="T756" s="397" t="n">
        <f aca="false">m*g</f>
        <v>82.8945</v>
      </c>
      <c r="U756" s="400" t="n">
        <f aca="false">IF(pos_xz&lt;L_rampe,Poids*COS(Beta),0)</f>
        <v>0</v>
      </c>
      <c r="V756" s="396" t="n">
        <f aca="false">Rho_moyen*(20000-Alt_rampe-pos_z)/(20000+Alt_rampe+pos_z)</f>
        <v>1.22640966290275</v>
      </c>
      <c r="W756" s="397" t="n">
        <f aca="false">1/2*Rho*Sref*Cx*vit_xz^2</f>
        <v>62.0858759449546</v>
      </c>
      <c r="Y756" s="408" t="str">
        <f aca="false">IF(AND(pos_z&lt;=0,K755&gt;0),"Impact balistique","") &amp; IF(AND(H757&lt;0,vit_z&gt;=0),"Apogée","") &amp; IF(AND(Poussee=0,Q755&gt;0),"Fin de propulsion","") &amp; IF(AND(L757&gt;L_rampe,pos_xz&lt;=L_rampe),"Sortie de rampe","")</f>
        <v/>
      </c>
      <c r="Z756" s="402" t="str">
        <f aca="false">IF(ABS(t-T_para)&lt;pas/2,"Para","")</f>
        <v/>
      </c>
      <c r="AA756" s="403" t="str">
        <f aca="false">IF(ABS(t-T_satellite)&lt;pas/2,"Satellite","")</f>
        <v/>
      </c>
      <c r="AC756" s="399" t="e">
        <f aca="false">IF(ABS(t-ROUND(t,0))&lt;0.001,t,NA())</f>
        <v>#N/A</v>
      </c>
      <c r="AD756" s="404" t="e">
        <f aca="false">IF(ABS(t-ROUND(t,0))&lt;0.001,pos_x,NA())</f>
        <v>#N/A</v>
      </c>
      <c r="AE756" s="405" t="e">
        <f aca="false">IF(t&lt;T_para, pos_z, NA())</f>
        <v>#N/A</v>
      </c>
      <c r="AG756" s="396" t="n">
        <f aca="false">IF(AND(L755&lt;L_rampe,Poussee&lt;Poids*SIN(M755)),0,(-W755+Poussee)/m-Poids*SIN(M755)/m)</f>
        <v>2.41443709665267</v>
      </c>
      <c r="AH756" s="397" t="n">
        <f aca="false">IF(AND(L755&lt;L_rampe,Poussee&lt;Poids*SIN(M755)), g*SIN(M755), (-W755+Poussee)/m)</f>
        <v>-7.34740187082629</v>
      </c>
    </row>
    <row r="757" customFormat="false" ht="12.75" hidden="false" customHeight="false" outlineLevel="0" collapsed="false">
      <c r="A757" s="396" t="n">
        <f aca="false">IF(B756+0.01&lt;=T_ini+ROUNDUP(Temps_fin_propu,0), 0.01, IF(K756&gt;0, 0.1, 0.0001))</f>
        <v>0.0001</v>
      </c>
      <c r="B757" s="397" t="n">
        <f aca="false">B756+pas</f>
        <v>32.125200000001</v>
      </c>
      <c r="D757" s="396" t="n">
        <f aca="false">IF(AND(L756&lt;L_rampe,Poussee&lt;Poids*SIN(M756)),0,(-W756+Poussee)/m*COS(M756)-U756/m*SIN(M756))</f>
        <v>-0.72715526470836</v>
      </c>
      <c r="E757" s="398" t="n">
        <f aca="false">IF(AND(L756&lt;L_rampe,Poussee&lt;Poids*SIN(M756)),0,(-W756+Poussee)/m*SIN(M756)+U756/m*COS(M756)-Poids/m)</f>
        <v>-2.49862984173321</v>
      </c>
      <c r="F757" s="397" t="n">
        <f aca="false">SQRT(acc_x^2+acc_z^2)</f>
        <v>2.60228858218931</v>
      </c>
      <c r="G757" s="396" t="n">
        <f aca="false">G756+acc_x*pas</f>
        <v>11.4789760304418</v>
      </c>
      <c r="H757" s="398" t="n">
        <f aca="false">H756+acc_z*pas</f>
        <v>-115.419306177213</v>
      </c>
      <c r="I757" s="397" t="n">
        <f aca="false">SQRT(vit_x^2+vit_z^2)</f>
        <v>115.988719835753</v>
      </c>
      <c r="J757" s="396" t="n">
        <f aca="false">J756+0.5*(vit_x+G756)*pas*(K756&gt;=0)</f>
        <v>690.928492655337</v>
      </c>
      <c r="K757" s="398" t="n">
        <f aca="false">K756+0.5*(vit_z+H756)*pas</f>
        <v>-11.5123769199398</v>
      </c>
      <c r="L757" s="397" t="n">
        <f aca="false">SQRT(pos_x^2+pos_z^2)</f>
        <v>691.024396664345</v>
      </c>
      <c r="M757" s="396" t="n">
        <f aca="false">IF(AND(L756&gt;L_rampe,G757&gt;0),ATAN2(G757,H757),$M$4)</f>
        <v>-1.47166774543109</v>
      </c>
      <c r="N757" s="397" t="n">
        <f aca="false">DEGREES(Beta)</f>
        <v>-84.3203506587349</v>
      </c>
      <c r="P757" s="399" t="n">
        <f aca="false">MATCH(t-pas/2-T_ini,CdP_t)</f>
        <v>23</v>
      </c>
      <c r="Q757" s="397" t="n">
        <f aca="false">(INDEX(CdP,2,i_P+1)-INDEX(CdP,2,i_P+0))/(INDEX(CdP,1,i_P+1)-INDEX(CdP,1,i_P+0))*(t-pas/2-T_ini-INDEX(CdP,1,i_P+0))+INDEX(CdP,2,i_P+0)</f>
        <v>0</v>
      </c>
      <c r="R757" s="396" t="n">
        <f aca="false">Poussee/(g*ISP)</f>
        <v>0</v>
      </c>
      <c r="S757" s="398" t="n">
        <f aca="false">S756-Débit*pas</f>
        <v>8.45</v>
      </c>
      <c r="T757" s="397" t="n">
        <f aca="false">m*g</f>
        <v>82.8945</v>
      </c>
      <c r="U757" s="400" t="n">
        <f aca="false">IF(pos_xz&lt;L_rampe,Poids*COS(Beta),0)</f>
        <v>0</v>
      </c>
      <c r="V757" s="396" t="n">
        <f aca="false">Rho_moyen*(20000-Alt_rampe-pos_z)/(20000+Alt_rampe+pos_z)</f>
        <v>1.22641107841602</v>
      </c>
      <c r="W757" s="397" t="n">
        <f aca="false">1/2*Rho*Sref*Cx*vit_xz^2</f>
        <v>62.086206078704</v>
      </c>
      <c r="Y757" s="408" t="str">
        <f aca="false">IF(AND(pos_z&lt;=0,K756&gt;0),"Impact balistique","") &amp; IF(AND(H758&lt;0,vit_z&gt;=0),"Apogée","") &amp; IF(AND(Poussee=0,Q756&gt;0),"Fin de propulsion","") &amp; IF(AND(L758&gt;L_rampe,pos_xz&lt;=L_rampe),"Sortie de rampe","")</f>
        <v/>
      </c>
      <c r="Z757" s="402" t="str">
        <f aca="false">IF(ABS(t-T_para)&lt;pas/2,"Para","")</f>
        <v/>
      </c>
      <c r="AA757" s="403" t="str">
        <f aca="false">IF(ABS(t-T_satellite)&lt;pas/2,"Satellite","")</f>
        <v/>
      </c>
      <c r="AC757" s="399" t="e">
        <f aca="false">IF(ABS(t-ROUND(t,0))&lt;0.001,t,NA())</f>
        <v>#N/A</v>
      </c>
      <c r="AD757" s="404" t="e">
        <f aca="false">IF(ABS(t-ROUND(t,0))&lt;0.001,pos_x,NA())</f>
        <v>#N/A</v>
      </c>
      <c r="AE757" s="405" t="e">
        <f aca="false">IF(t&lt;T_para, pos_z, NA())</f>
        <v>#N/A</v>
      </c>
      <c r="AG757" s="396" t="n">
        <f aca="false">IF(AND(L756&lt;L_rampe,Poussee&lt;Poids*SIN(M756)),0,(-W756+Poussee)/m-Poids*SIN(M756)/m)</f>
        <v>2.41439883991113</v>
      </c>
      <c r="AH757" s="397" t="n">
        <f aca="false">IF(AND(L756&lt;L_rampe,Poussee&lt;Poids*SIN(M756)), g*SIN(M756), (-W756+Poussee)/m)</f>
        <v>-7.34744094023131</v>
      </c>
    </row>
    <row r="758" customFormat="false" ht="12.75" hidden="false" customHeight="false" outlineLevel="0" collapsed="false">
      <c r="A758" s="396" t="n">
        <f aca="false">IF(B757+0.01&lt;=T_ini+ROUNDUP(Temps_fin_propu,0), 0.01, IF(K757&gt;0, 0.1, 0.0001))</f>
        <v>0.0001</v>
      </c>
      <c r="B758" s="397" t="n">
        <f aca="false">B757+pas</f>
        <v>32.125300000001</v>
      </c>
      <c r="D758" s="396" t="n">
        <f aca="false">IF(AND(L757&lt;L_rampe,Poussee&lt;Poids*SIN(M757)),0,(-W757+Poussee)/m*COS(M757)-U757/m*SIN(M757))</f>
        <v>-0.727153011348859</v>
      </c>
      <c r="E758" s="398" t="n">
        <f aca="false">IF(AND(L757&lt;L_rampe,Poussee&lt;Poids*SIN(M757)),0,(-W757+Poussee)/m*SIN(M757)+U757/m*COS(M757)-Poids/m)</f>
        <v>-2.49859035579619</v>
      </c>
      <c r="F758" s="397" t="n">
        <f aca="false">SQRT(acc_x^2+acc_z^2)</f>
        <v>2.60225003948342</v>
      </c>
      <c r="G758" s="396" t="n">
        <f aca="false">G757+acc_x*pas</f>
        <v>11.4789033151407</v>
      </c>
      <c r="H758" s="398" t="n">
        <f aca="false">H757+acc_z*pas</f>
        <v>-115.419556036249</v>
      </c>
      <c r="I758" s="397" t="n">
        <f aca="false">SQRT(vit_x^2+vit_z^2)</f>
        <v>115.988961271851</v>
      </c>
      <c r="J758" s="396" t="n">
        <f aca="false">J757+0.5*(vit_x+G757)*pas*(K757&gt;=0)</f>
        <v>690.928492655337</v>
      </c>
      <c r="K758" s="398" t="n">
        <f aca="false">K757+0.5*(vit_z+H757)*pas</f>
        <v>-11.5239188630504</v>
      </c>
      <c r="L758" s="397" t="n">
        <f aca="false">SQRT(pos_x^2+pos_z^2)</f>
        <v>691.024589047986</v>
      </c>
      <c r="M758" s="396" t="n">
        <f aca="false">IF(AND(L757&gt;L_rampe,G758&gt;0),ATAN2(G758,H758),$M$4)</f>
        <v>-1.47166858245862</v>
      </c>
      <c r="N758" s="397" t="n">
        <f aca="false">DEGREES(Beta)</f>
        <v>-84.3203986168797</v>
      </c>
      <c r="P758" s="399" t="n">
        <f aca="false">MATCH(t-pas/2-T_ini,CdP_t)</f>
        <v>23</v>
      </c>
      <c r="Q758" s="397" t="n">
        <f aca="false">(INDEX(CdP,2,i_P+1)-INDEX(CdP,2,i_P+0))/(INDEX(CdP,1,i_P+1)-INDEX(CdP,1,i_P+0))*(t-pas/2-T_ini-INDEX(CdP,1,i_P+0))+INDEX(CdP,2,i_P+0)</f>
        <v>0</v>
      </c>
      <c r="R758" s="396" t="n">
        <f aca="false">Poussee/(g*ISP)</f>
        <v>0</v>
      </c>
      <c r="S758" s="398" t="n">
        <f aca="false">S757-Débit*pas</f>
        <v>8.45</v>
      </c>
      <c r="T758" s="397" t="n">
        <f aca="false">m*g</f>
        <v>82.8945</v>
      </c>
      <c r="U758" s="400" t="n">
        <f aca="false">IF(pos_xz&lt;L_rampe,Poids*COS(Beta),0)</f>
        <v>0</v>
      </c>
      <c r="V758" s="396" t="n">
        <f aca="false">Rho_moyen*(20000-Alt_rampe-pos_z)/(20000+Alt_rampe+pos_z)</f>
        <v>1.226412493934</v>
      </c>
      <c r="W758" s="397" t="n">
        <f aca="false">1/2*Rho*Sref*Cx*vit_xz^2</f>
        <v>62.0865362097305</v>
      </c>
      <c r="Y758" s="408" t="str">
        <f aca="false">IF(AND(pos_z&lt;=0,K757&gt;0),"Impact balistique","") &amp; IF(AND(H759&lt;0,vit_z&gt;=0),"Apogée","") &amp; IF(AND(Poussee=0,Q757&gt;0),"Fin de propulsion","") &amp; IF(AND(L759&gt;L_rampe,pos_xz&lt;=L_rampe),"Sortie de rampe","")</f>
        <v/>
      </c>
      <c r="Z758" s="402" t="str">
        <f aca="false">IF(ABS(t-T_para)&lt;pas/2,"Para","")</f>
        <v/>
      </c>
      <c r="AA758" s="403" t="str">
        <f aca="false">IF(ABS(t-T_satellite)&lt;pas/2,"Satellite","")</f>
        <v/>
      </c>
      <c r="AC758" s="399" t="e">
        <f aca="false">IF(ABS(t-ROUND(t,0))&lt;0.001,t,NA())</f>
        <v>#N/A</v>
      </c>
      <c r="AD758" s="404" t="e">
        <f aca="false">IF(ABS(t-ROUND(t,0))&lt;0.001,pos_x,NA())</f>
        <v>#N/A</v>
      </c>
      <c r="AE758" s="405" t="e">
        <f aca="false">IF(t&lt;T_para, pos_z, NA())</f>
        <v>#N/A</v>
      </c>
      <c r="AG758" s="396" t="n">
        <f aca="false">IF(AND(L757&lt;L_rampe,Poussee&lt;Poids*SIN(M757)),0,(-W757+Poussee)/m-Poids*SIN(M757)/m)</f>
        <v>2.41436058347646</v>
      </c>
      <c r="AH758" s="397" t="n">
        <f aca="false">IF(AND(L757&lt;L_rampe,Poussee&lt;Poids*SIN(M757)), g*SIN(M757), (-W757+Poussee)/m)</f>
        <v>-7.34748000931409</v>
      </c>
    </row>
    <row r="759" customFormat="false" ht="12.75" hidden="false" customHeight="false" outlineLevel="0" collapsed="false">
      <c r="A759" s="396" t="n">
        <f aca="false">IF(B758+0.01&lt;=T_ini+ROUNDUP(Temps_fin_propu,0), 0.01, IF(K758&gt;0, 0.1, 0.0001))</f>
        <v>0.0001</v>
      </c>
      <c r="B759" s="397" t="n">
        <f aca="false">B758+pas</f>
        <v>32.125400000001</v>
      </c>
      <c r="D759" s="396" t="n">
        <f aca="false">IF(AND(L758&lt;L_rampe,Poussee&lt;Poids*SIN(M758)),0,(-W758+Poussee)/m*COS(M758)-U758/m*SIN(M758))</f>
        <v>-0.727150757956121</v>
      </c>
      <c r="E759" s="398" t="n">
        <f aca="false">IF(AND(L758&lt;L_rampe,Poussee&lt;Poids*SIN(M758)),0,(-W758+Poussee)/m*SIN(M758)+U758/m*COS(M758)-Poids/m)</f>
        <v>-2.49855087018488</v>
      </c>
      <c r="F759" s="397" t="n">
        <f aca="false">SQRT(acc_x^2+acc_z^2)</f>
        <v>2.60221149711121</v>
      </c>
      <c r="G759" s="396" t="n">
        <f aca="false">G758+acc_x*pas</f>
        <v>11.4788306000649</v>
      </c>
      <c r="H759" s="398" t="n">
        <f aca="false">H758+acc_z*pas</f>
        <v>-115.419805891336</v>
      </c>
      <c r="I759" s="397" t="n">
        <f aca="false">SQRT(vit_x^2+vit_z^2)</f>
        <v>115.989202704125</v>
      </c>
      <c r="J759" s="396" t="n">
        <f aca="false">J758+0.5*(vit_x+G758)*pas*(K758&gt;=0)</f>
        <v>690.928492655337</v>
      </c>
      <c r="K759" s="398" t="n">
        <f aca="false">K758+0.5*(vit_z+H758)*pas</f>
        <v>-11.5354608311468</v>
      </c>
      <c r="L759" s="397" t="n">
        <f aca="false">SQRT(pos_x^2+pos_z^2)</f>
        <v>691.024781624771</v>
      </c>
      <c r="M759" s="396" t="n">
        <f aca="false">IF(AND(L758&gt;L_rampe,G759&gt;0),ATAN2(G759,H759),$M$4)</f>
        <v>-1.47166941947737</v>
      </c>
      <c r="N759" s="397" t="n">
        <f aca="false">DEGREES(Beta)</f>
        <v>-84.320446574521</v>
      </c>
      <c r="P759" s="399" t="n">
        <f aca="false">MATCH(t-pas/2-T_ini,CdP_t)</f>
        <v>23</v>
      </c>
      <c r="Q759" s="397" t="n">
        <f aca="false">(INDEX(CdP,2,i_P+1)-INDEX(CdP,2,i_P+0))/(INDEX(CdP,1,i_P+1)-INDEX(CdP,1,i_P+0))*(t-pas/2-T_ini-INDEX(CdP,1,i_P+0))+INDEX(CdP,2,i_P+0)</f>
        <v>0</v>
      </c>
      <c r="R759" s="396" t="n">
        <f aca="false">Poussee/(g*ISP)</f>
        <v>0</v>
      </c>
      <c r="S759" s="398" t="n">
        <f aca="false">S758-Débit*pas</f>
        <v>8.45</v>
      </c>
      <c r="T759" s="397" t="n">
        <f aca="false">m*g</f>
        <v>82.8945</v>
      </c>
      <c r="U759" s="400" t="n">
        <f aca="false">IF(pos_xz&lt;L_rampe,Poids*COS(Beta),0)</f>
        <v>0</v>
      </c>
      <c r="V759" s="396" t="n">
        <f aca="false">Rho_moyen*(20000-Alt_rampe-pos_z)/(20000+Alt_rampe+pos_z)</f>
        <v>1.22641390945667</v>
      </c>
      <c r="W759" s="397" t="n">
        <f aca="false">1/2*Rho*Sref*Cx*vit_xz^2</f>
        <v>62.086866338034</v>
      </c>
      <c r="Y759" s="408" t="str">
        <f aca="false">IF(AND(pos_z&lt;=0,K758&gt;0),"Impact balistique","") &amp; IF(AND(H760&lt;0,vit_z&gt;=0),"Apogée","") &amp; IF(AND(Poussee=0,Q758&gt;0),"Fin de propulsion","") &amp; IF(AND(L760&gt;L_rampe,pos_xz&lt;=L_rampe),"Sortie de rampe","")</f>
        <v/>
      </c>
      <c r="Z759" s="402" t="str">
        <f aca="false">IF(ABS(t-T_para)&lt;pas/2,"Para","")</f>
        <v/>
      </c>
      <c r="AA759" s="403" t="str">
        <f aca="false">IF(ABS(t-T_satellite)&lt;pas/2,"Satellite","")</f>
        <v/>
      </c>
      <c r="AC759" s="399" t="e">
        <f aca="false">IF(ABS(t-ROUND(t,0))&lt;0.001,t,NA())</f>
        <v>#N/A</v>
      </c>
      <c r="AD759" s="404" t="e">
        <f aca="false">IF(ABS(t-ROUND(t,0))&lt;0.001,pos_x,NA())</f>
        <v>#N/A</v>
      </c>
      <c r="AE759" s="405" t="e">
        <f aca="false">IF(t&lt;T_para, pos_z, NA())</f>
        <v>#N/A</v>
      </c>
      <c r="AG759" s="396" t="n">
        <f aca="false">IF(AND(L758&lt;L_rampe,Poussee&lt;Poids*SIN(M758)),0,(-W758+Poussee)/m-Poids*SIN(M758)/m)</f>
        <v>2.41432232734867</v>
      </c>
      <c r="AH759" s="397" t="n">
        <f aca="false">IF(AND(L758&lt;L_rampe,Poussee&lt;Poids*SIN(M758)), g*SIN(M758), (-W758+Poussee)/m)</f>
        <v>-7.34751907807462</v>
      </c>
    </row>
    <row r="760" customFormat="false" ht="12.75" hidden="false" customHeight="false" outlineLevel="0" collapsed="false">
      <c r="A760" s="396" t="n">
        <f aca="false">IF(B759+0.01&lt;=T_ini+ROUNDUP(Temps_fin_propu,0), 0.01, IF(K759&gt;0, 0.1, 0.0001))</f>
        <v>0.0001</v>
      </c>
      <c r="B760" s="397" t="n">
        <f aca="false">B759+pas</f>
        <v>32.125500000001</v>
      </c>
      <c r="D760" s="396" t="n">
        <f aca="false">IF(AND(L759&lt;L_rampe,Poussee&lt;Poids*SIN(M759)),0,(-W759+Poussee)/m*COS(M759)-U759/m*SIN(M759))</f>
        <v>-0.727148504530143</v>
      </c>
      <c r="E760" s="398" t="n">
        <f aca="false">IF(AND(L759&lt;L_rampe,Poussee&lt;Poids*SIN(M759)),0,(-W759+Poussee)/m*SIN(M759)+U759/m*COS(M759)-Poids/m)</f>
        <v>-2.49851138489927</v>
      </c>
      <c r="F760" s="397" t="n">
        <f aca="false">SQRT(acc_x^2+acc_z^2)</f>
        <v>2.60217295507268</v>
      </c>
      <c r="G760" s="396" t="n">
        <f aca="false">G759+acc_x*pas</f>
        <v>11.4787578852144</v>
      </c>
      <c r="H760" s="398" t="n">
        <f aca="false">H759+acc_z*pas</f>
        <v>-115.420055742474</v>
      </c>
      <c r="I760" s="397" t="n">
        <f aca="false">SQRT(vit_x^2+vit_z^2)</f>
        <v>115.989444132573</v>
      </c>
      <c r="J760" s="396" t="n">
        <f aca="false">J759+0.5*(vit_x+G759)*pas*(K759&gt;=0)</f>
        <v>690.928492655337</v>
      </c>
      <c r="K760" s="398" t="n">
        <f aca="false">K759+0.5*(vit_z+H759)*pas</f>
        <v>-11.5470028242285</v>
      </c>
      <c r="L760" s="397" t="n">
        <f aca="false">SQRT(pos_x^2+pos_z^2)</f>
        <v>691.024974394702</v>
      </c>
      <c r="M760" s="396" t="n">
        <f aca="false">IF(AND(L759&gt;L_rampe,G760&gt;0),ATAN2(G760,H760),$M$4)</f>
        <v>-1.47167025648732</v>
      </c>
      <c r="N760" s="397" t="n">
        <f aca="false">DEGREES(Beta)</f>
        <v>-84.3204945316589</v>
      </c>
      <c r="P760" s="399" t="n">
        <f aca="false">MATCH(t-pas/2-T_ini,CdP_t)</f>
        <v>23</v>
      </c>
      <c r="Q760" s="397" t="n">
        <f aca="false">(INDEX(CdP,2,i_P+1)-INDEX(CdP,2,i_P+0))/(INDEX(CdP,1,i_P+1)-INDEX(CdP,1,i_P+0))*(t-pas/2-T_ini-INDEX(CdP,1,i_P+0))+INDEX(CdP,2,i_P+0)</f>
        <v>0</v>
      </c>
      <c r="R760" s="396" t="n">
        <f aca="false">Poussee/(g*ISP)</f>
        <v>0</v>
      </c>
      <c r="S760" s="398" t="n">
        <f aca="false">S759-Débit*pas</f>
        <v>8.45</v>
      </c>
      <c r="T760" s="397" t="n">
        <f aca="false">m*g</f>
        <v>82.8945</v>
      </c>
      <c r="U760" s="400" t="n">
        <f aca="false">IF(pos_xz&lt;L_rampe,Poids*COS(Beta),0)</f>
        <v>0</v>
      </c>
      <c r="V760" s="396" t="n">
        <f aca="false">Rho_moyen*(20000-Alt_rampe-pos_z)/(20000+Alt_rampe+pos_z)</f>
        <v>1.22641532498405</v>
      </c>
      <c r="W760" s="397" t="n">
        <f aca="false">1/2*Rho*Sref*Cx*vit_xz^2</f>
        <v>62.0871964636144</v>
      </c>
      <c r="Y760" s="408" t="str">
        <f aca="false">IF(AND(pos_z&lt;=0,K759&gt;0),"Impact balistique","") &amp; IF(AND(H761&lt;0,vit_z&gt;=0),"Apogée","") &amp; IF(AND(Poussee=0,Q759&gt;0),"Fin de propulsion","") &amp; IF(AND(L761&gt;L_rampe,pos_xz&lt;=L_rampe),"Sortie de rampe","")</f>
        <v/>
      </c>
      <c r="Z760" s="402" t="str">
        <f aca="false">IF(ABS(t-T_para)&lt;pas/2,"Para","")</f>
        <v/>
      </c>
      <c r="AA760" s="403" t="str">
        <f aca="false">IF(ABS(t-T_satellite)&lt;pas/2,"Satellite","")</f>
        <v/>
      </c>
      <c r="AC760" s="399" t="e">
        <f aca="false">IF(ABS(t-ROUND(t,0))&lt;0.001,t,NA())</f>
        <v>#N/A</v>
      </c>
      <c r="AD760" s="404" t="e">
        <f aca="false">IF(ABS(t-ROUND(t,0))&lt;0.001,pos_x,NA())</f>
        <v>#N/A</v>
      </c>
      <c r="AE760" s="405" t="e">
        <f aca="false">IF(t&lt;T_para, pos_z, NA())</f>
        <v>#N/A</v>
      </c>
      <c r="AG760" s="396" t="n">
        <f aca="false">IF(AND(L759&lt;L_rampe,Poussee&lt;Poids*SIN(M759)),0,(-W759+Poussee)/m-Poids*SIN(M759)/m)</f>
        <v>2.41428407152777</v>
      </c>
      <c r="AH760" s="397" t="n">
        <f aca="false">IF(AND(L759&lt;L_rampe,Poussee&lt;Poids*SIN(M759)), g*SIN(M759), (-W759+Poussee)/m)</f>
        <v>-7.34755814651289</v>
      </c>
    </row>
    <row r="761" customFormat="false" ht="12.75" hidden="false" customHeight="false" outlineLevel="0" collapsed="false">
      <c r="A761" s="396" t="n">
        <f aca="false">IF(B760+0.01&lt;=T_ini+ROUNDUP(Temps_fin_propu,0), 0.01, IF(K760&gt;0, 0.1, 0.0001))</f>
        <v>0.0001</v>
      </c>
      <c r="B761" s="397" t="n">
        <f aca="false">B760+pas</f>
        <v>32.125600000001</v>
      </c>
      <c r="D761" s="396" t="n">
        <f aca="false">IF(AND(L760&lt;L_rampe,Poussee&lt;Poids*SIN(M760)),0,(-W760+Poussee)/m*COS(M760)-U760/m*SIN(M760))</f>
        <v>-0.727146251070929</v>
      </c>
      <c r="E761" s="398" t="n">
        <f aca="false">IF(AND(L760&lt;L_rampe,Poussee&lt;Poids*SIN(M760)),0,(-W760+Poussee)/m*SIN(M760)+U760/m*COS(M760)-Poids/m)</f>
        <v>-2.49847189993937</v>
      </c>
      <c r="F761" s="397" t="n">
        <f aca="false">SQRT(acc_x^2+acc_z^2)</f>
        <v>2.60213441336783</v>
      </c>
      <c r="G761" s="396" t="n">
        <f aca="false">G760+acc_x*pas</f>
        <v>11.4786851705893</v>
      </c>
      <c r="H761" s="398" t="n">
        <f aca="false">H760+acc_z*pas</f>
        <v>-115.420305589664</v>
      </c>
      <c r="I761" s="397" t="n">
        <f aca="false">SQRT(vit_x^2+vit_z^2)</f>
        <v>115.989685557195</v>
      </c>
      <c r="J761" s="396" t="n">
        <f aca="false">J760+0.5*(vit_x+G760)*pas*(K760&gt;=0)</f>
        <v>690.928492655337</v>
      </c>
      <c r="K761" s="398" t="n">
        <f aca="false">K760+0.5*(vit_z+H760)*pas</f>
        <v>-11.5585448422951</v>
      </c>
      <c r="L761" s="397" t="n">
        <f aca="false">SQRT(pos_x^2+pos_z^2)</f>
        <v>691.025167357779</v>
      </c>
      <c r="M761" s="396" t="n">
        <f aca="false">IF(AND(L760&gt;L_rampe,G761&gt;0),ATAN2(G761,H761),$M$4)</f>
        <v>-1.47167109348849</v>
      </c>
      <c r="N761" s="397" t="n">
        <f aca="false">DEGREES(Beta)</f>
        <v>-84.3205424882934</v>
      </c>
      <c r="P761" s="399" t="n">
        <f aca="false">MATCH(t-pas/2-T_ini,CdP_t)</f>
        <v>23</v>
      </c>
      <c r="Q761" s="397" t="n">
        <f aca="false">(INDEX(CdP,2,i_P+1)-INDEX(CdP,2,i_P+0))/(INDEX(CdP,1,i_P+1)-INDEX(CdP,1,i_P+0))*(t-pas/2-T_ini-INDEX(CdP,1,i_P+0))+INDEX(CdP,2,i_P+0)</f>
        <v>0</v>
      </c>
      <c r="R761" s="396" t="n">
        <f aca="false">Poussee/(g*ISP)</f>
        <v>0</v>
      </c>
      <c r="S761" s="398" t="n">
        <f aca="false">S760-Débit*pas</f>
        <v>8.45</v>
      </c>
      <c r="T761" s="397" t="n">
        <f aca="false">m*g</f>
        <v>82.8945</v>
      </c>
      <c r="U761" s="400" t="n">
        <f aca="false">IF(pos_xz&lt;L_rampe,Poids*COS(Beta),0)</f>
        <v>0</v>
      </c>
      <c r="V761" s="396" t="n">
        <f aca="false">Rho_moyen*(20000-Alt_rampe-pos_z)/(20000+Alt_rampe+pos_z)</f>
        <v>1.22641674051612</v>
      </c>
      <c r="W761" s="397" t="n">
        <f aca="false">1/2*Rho*Sref*Cx*vit_xz^2</f>
        <v>62.0875265864719</v>
      </c>
      <c r="Y761" s="408" t="str">
        <f aca="false">IF(AND(pos_z&lt;=0,K760&gt;0),"Impact balistique","") &amp; IF(AND(H762&lt;0,vit_z&gt;=0),"Apogée","") &amp; IF(AND(Poussee=0,Q760&gt;0),"Fin de propulsion","") &amp; IF(AND(L762&gt;L_rampe,pos_xz&lt;=L_rampe),"Sortie de rampe","")</f>
        <v/>
      </c>
      <c r="Z761" s="402" t="str">
        <f aca="false">IF(ABS(t-T_para)&lt;pas/2,"Para","")</f>
        <v/>
      </c>
      <c r="AA761" s="403" t="str">
        <f aca="false">IF(ABS(t-T_satellite)&lt;pas/2,"Satellite","")</f>
        <v/>
      </c>
      <c r="AC761" s="399" t="e">
        <f aca="false">IF(ABS(t-ROUND(t,0))&lt;0.001,t,NA())</f>
        <v>#N/A</v>
      </c>
      <c r="AD761" s="404" t="e">
        <f aca="false">IF(ABS(t-ROUND(t,0))&lt;0.001,pos_x,NA())</f>
        <v>#N/A</v>
      </c>
      <c r="AE761" s="405" t="e">
        <f aca="false">IF(t&lt;T_para, pos_z, NA())</f>
        <v>#N/A</v>
      </c>
      <c r="AG761" s="396" t="n">
        <f aca="false">IF(AND(L760&lt;L_rampe,Poussee&lt;Poids*SIN(M760)),0,(-W760+Poussee)/m-Poids*SIN(M760)/m)</f>
        <v>2.41424581601374</v>
      </c>
      <c r="AH761" s="397" t="n">
        <f aca="false">IF(AND(L760&lt;L_rampe,Poussee&lt;Poids*SIN(M760)), g*SIN(M760), (-W760+Poussee)/m)</f>
        <v>-7.34759721462893</v>
      </c>
    </row>
    <row r="762" customFormat="false" ht="12.75" hidden="false" customHeight="false" outlineLevel="0" collapsed="false">
      <c r="A762" s="396" t="n">
        <f aca="false">IF(B761+0.01&lt;=T_ini+ROUNDUP(Temps_fin_propu,0), 0.01, IF(K761&gt;0, 0.1, 0.0001))</f>
        <v>0.0001</v>
      </c>
      <c r="B762" s="397" t="n">
        <f aca="false">B761+pas</f>
        <v>32.125700000001</v>
      </c>
      <c r="D762" s="396" t="n">
        <f aca="false">IF(AND(L761&lt;L_rampe,Poussee&lt;Poids*SIN(M761)),0,(-W761+Poussee)/m*COS(M761)-U761/m*SIN(M761))</f>
        <v>-0.727143997578479</v>
      </c>
      <c r="E762" s="398" t="n">
        <f aca="false">IF(AND(L761&lt;L_rampe,Poussee&lt;Poids*SIN(M761)),0,(-W761+Poussee)/m*SIN(M761)+U761/m*COS(M761)-Poids/m)</f>
        <v>-2.49843241530517</v>
      </c>
      <c r="F762" s="397" t="n">
        <f aca="false">SQRT(acc_x^2+acc_z^2)</f>
        <v>2.60209587199666</v>
      </c>
      <c r="G762" s="396" t="n">
        <f aca="false">G761+acc_x*pas</f>
        <v>11.4786124561895</v>
      </c>
      <c r="H762" s="398" t="n">
        <f aca="false">H761+acc_z*pas</f>
        <v>-115.420555432906</v>
      </c>
      <c r="I762" s="397" t="n">
        <f aca="false">SQRT(vit_x^2+vit_z^2)</f>
        <v>115.989926977992</v>
      </c>
      <c r="J762" s="396" t="n">
        <f aca="false">J761+0.5*(vit_x+G761)*pas*(K761&gt;=0)</f>
        <v>690.928492655337</v>
      </c>
      <c r="K762" s="398" t="n">
        <f aca="false">K761+0.5*(vit_z+H761)*pas</f>
        <v>-11.5700868853462</v>
      </c>
      <c r="L762" s="397" t="n">
        <f aca="false">SQRT(pos_x^2+pos_z^2)</f>
        <v>691.025360514005</v>
      </c>
      <c r="M762" s="396" t="n">
        <f aca="false">IF(AND(L761&gt;L_rampe,G762&gt;0),ATAN2(G762,H762),$M$4)</f>
        <v>-1.47167193048088</v>
      </c>
      <c r="N762" s="397" t="n">
        <f aca="false">DEGREES(Beta)</f>
        <v>-84.3205904444244</v>
      </c>
      <c r="P762" s="399" t="n">
        <f aca="false">MATCH(t-pas/2-T_ini,CdP_t)</f>
        <v>23</v>
      </c>
      <c r="Q762" s="397" t="n">
        <f aca="false">(INDEX(CdP,2,i_P+1)-INDEX(CdP,2,i_P+0))/(INDEX(CdP,1,i_P+1)-INDEX(CdP,1,i_P+0))*(t-pas/2-T_ini-INDEX(CdP,1,i_P+0))+INDEX(CdP,2,i_P+0)</f>
        <v>0</v>
      </c>
      <c r="R762" s="396" t="n">
        <f aca="false">Poussee/(g*ISP)</f>
        <v>0</v>
      </c>
      <c r="S762" s="398" t="n">
        <f aca="false">S761-Débit*pas</f>
        <v>8.45</v>
      </c>
      <c r="T762" s="397" t="n">
        <f aca="false">m*g</f>
        <v>82.8945</v>
      </c>
      <c r="U762" s="400" t="n">
        <f aca="false">IF(pos_xz&lt;L_rampe,Poids*COS(Beta),0)</f>
        <v>0</v>
      </c>
      <c r="V762" s="396" t="n">
        <f aca="false">Rho_moyen*(20000-Alt_rampe-pos_z)/(20000+Alt_rampe+pos_z)</f>
        <v>1.22641815605289</v>
      </c>
      <c r="W762" s="397" t="n">
        <f aca="false">1/2*Rho*Sref*Cx*vit_xz^2</f>
        <v>62.0878567066063</v>
      </c>
      <c r="Y762" s="408" t="str">
        <f aca="false">IF(AND(pos_z&lt;=0,K761&gt;0),"Impact balistique","") &amp; IF(AND(H763&lt;0,vit_z&gt;=0),"Apogée","") &amp; IF(AND(Poussee=0,Q761&gt;0),"Fin de propulsion","") &amp; IF(AND(L763&gt;L_rampe,pos_xz&lt;=L_rampe),"Sortie de rampe","")</f>
        <v/>
      </c>
      <c r="Z762" s="402" t="str">
        <f aca="false">IF(ABS(t-T_para)&lt;pas/2,"Para","")</f>
        <v/>
      </c>
      <c r="AA762" s="403" t="str">
        <f aca="false">IF(ABS(t-T_satellite)&lt;pas/2,"Satellite","")</f>
        <v/>
      </c>
      <c r="AC762" s="399" t="e">
        <f aca="false">IF(ABS(t-ROUND(t,0))&lt;0.001,t,NA())</f>
        <v>#N/A</v>
      </c>
      <c r="AD762" s="404" t="e">
        <f aca="false">IF(ABS(t-ROUND(t,0))&lt;0.001,pos_x,NA())</f>
        <v>#N/A</v>
      </c>
      <c r="AE762" s="405" t="e">
        <f aca="false">IF(t&lt;T_para, pos_z, NA())</f>
        <v>#N/A</v>
      </c>
      <c r="AG762" s="396" t="n">
        <f aca="false">IF(AND(L761&lt;L_rampe,Poussee&lt;Poids*SIN(M761)),0,(-W761+Poussee)/m-Poids*SIN(M761)/m)</f>
        <v>2.41420756080659</v>
      </c>
      <c r="AH762" s="397" t="n">
        <f aca="false">IF(AND(L761&lt;L_rampe,Poussee&lt;Poids*SIN(M761)), g*SIN(M761), (-W761+Poussee)/m)</f>
        <v>-7.34763628242271</v>
      </c>
    </row>
    <row r="763" customFormat="false" ht="12.75" hidden="false" customHeight="false" outlineLevel="0" collapsed="false">
      <c r="A763" s="396" t="n">
        <f aca="false">IF(B762+0.01&lt;=T_ini+ROUNDUP(Temps_fin_propu,0), 0.01, IF(K762&gt;0, 0.1, 0.0001))</f>
        <v>0.0001</v>
      </c>
      <c r="B763" s="397" t="n">
        <f aca="false">B762+pas</f>
        <v>32.125800000001</v>
      </c>
      <c r="D763" s="396" t="n">
        <f aca="false">IF(AND(L762&lt;L_rampe,Poussee&lt;Poids*SIN(M762)),0,(-W762+Poussee)/m*COS(M762)-U762/m*SIN(M762))</f>
        <v>-0.727141744052792</v>
      </c>
      <c r="E763" s="398" t="n">
        <f aca="false">IF(AND(L762&lt;L_rampe,Poussee&lt;Poids*SIN(M762)),0,(-W762+Poussee)/m*SIN(M762)+U762/m*COS(M762)-Poids/m)</f>
        <v>-2.49839293099668</v>
      </c>
      <c r="F763" s="397" t="n">
        <f aca="false">SQRT(acc_x^2+acc_z^2)</f>
        <v>2.60205733095916</v>
      </c>
      <c r="G763" s="396" t="n">
        <f aca="false">G762+acc_x*pas</f>
        <v>11.4785397420151</v>
      </c>
      <c r="H763" s="398" t="n">
        <f aca="false">H762+acc_z*pas</f>
        <v>-115.420805272199</v>
      </c>
      <c r="I763" s="397" t="n">
        <f aca="false">SQRT(vit_x^2+vit_z^2)</f>
        <v>115.990168394963</v>
      </c>
      <c r="J763" s="396" t="n">
        <f aca="false">J762+0.5*(vit_x+G762)*pas*(K762&gt;=0)</f>
        <v>690.928492655337</v>
      </c>
      <c r="K763" s="398" t="n">
        <f aca="false">K762+0.5*(vit_z+H762)*pas</f>
        <v>-11.5816289533815</v>
      </c>
      <c r="L763" s="397" t="n">
        <f aca="false">SQRT(pos_x^2+pos_z^2)</f>
        <v>691.025553863379</v>
      </c>
      <c r="M763" s="396" t="n">
        <f aca="false">IF(AND(L762&gt;L_rampe,G763&gt;0),ATAN2(G763,H763),$M$4)</f>
        <v>-1.47167276746447</v>
      </c>
      <c r="N763" s="397" t="n">
        <f aca="false">DEGREES(Beta)</f>
        <v>-84.3206384000521</v>
      </c>
      <c r="P763" s="399" t="n">
        <f aca="false">MATCH(t-pas/2-T_ini,CdP_t)</f>
        <v>23</v>
      </c>
      <c r="Q763" s="397" t="n">
        <f aca="false">(INDEX(CdP,2,i_P+1)-INDEX(CdP,2,i_P+0))/(INDEX(CdP,1,i_P+1)-INDEX(CdP,1,i_P+0))*(t-pas/2-T_ini-INDEX(CdP,1,i_P+0))+INDEX(CdP,2,i_P+0)</f>
        <v>0</v>
      </c>
      <c r="R763" s="396" t="n">
        <f aca="false">Poussee/(g*ISP)</f>
        <v>0</v>
      </c>
      <c r="S763" s="398" t="n">
        <f aca="false">S762-Débit*pas</f>
        <v>8.45</v>
      </c>
      <c r="T763" s="397" t="n">
        <f aca="false">m*g</f>
        <v>82.8945</v>
      </c>
      <c r="U763" s="400" t="n">
        <f aca="false">IF(pos_xz&lt;L_rampe,Poids*COS(Beta),0)</f>
        <v>0</v>
      </c>
      <c r="V763" s="396" t="n">
        <f aca="false">Rho_moyen*(20000-Alt_rampe-pos_z)/(20000+Alt_rampe+pos_z)</f>
        <v>1.22641957159436</v>
      </c>
      <c r="W763" s="397" t="n">
        <f aca="false">1/2*Rho*Sref*Cx*vit_xz^2</f>
        <v>62.0881868240178</v>
      </c>
      <c r="Y763" s="408" t="str">
        <f aca="false">IF(AND(pos_z&lt;=0,K762&gt;0),"Impact balistique","") &amp; IF(AND(H764&lt;0,vit_z&gt;=0),"Apogée","") &amp; IF(AND(Poussee=0,Q762&gt;0),"Fin de propulsion","") &amp; IF(AND(L764&gt;L_rampe,pos_xz&lt;=L_rampe),"Sortie de rampe","")</f>
        <v/>
      </c>
      <c r="Z763" s="402" t="str">
        <f aca="false">IF(ABS(t-T_para)&lt;pas/2,"Para","")</f>
        <v/>
      </c>
      <c r="AA763" s="403" t="str">
        <f aca="false">IF(ABS(t-T_satellite)&lt;pas/2,"Satellite","")</f>
        <v/>
      </c>
      <c r="AC763" s="399" t="e">
        <f aca="false">IF(ABS(t-ROUND(t,0))&lt;0.001,t,NA())</f>
        <v>#N/A</v>
      </c>
      <c r="AD763" s="404" t="e">
        <f aca="false">IF(ABS(t-ROUND(t,0))&lt;0.001,pos_x,NA())</f>
        <v>#N/A</v>
      </c>
      <c r="AE763" s="405" t="e">
        <f aca="false">IF(t&lt;T_para, pos_z, NA())</f>
        <v>#N/A</v>
      </c>
      <c r="AG763" s="396" t="n">
        <f aca="false">IF(AND(L762&lt;L_rampe,Poussee&lt;Poids*SIN(M762)),0,(-W762+Poussee)/m-Poids*SIN(M762)/m)</f>
        <v>2.41416930590631</v>
      </c>
      <c r="AH763" s="397" t="n">
        <f aca="false">IF(AND(L762&lt;L_rampe,Poussee&lt;Poids*SIN(M762)), g*SIN(M762), (-W762+Poussee)/m)</f>
        <v>-7.34767534989424</v>
      </c>
    </row>
    <row r="764" customFormat="false" ht="12.75" hidden="false" customHeight="false" outlineLevel="0" collapsed="false">
      <c r="A764" s="396" t="n">
        <f aca="false">IF(B763+0.01&lt;=T_ini+ROUNDUP(Temps_fin_propu,0), 0.01, IF(K763&gt;0, 0.1, 0.0001))</f>
        <v>0.0001</v>
      </c>
      <c r="B764" s="397" t="n">
        <f aca="false">B763+pas</f>
        <v>32.125900000001</v>
      </c>
      <c r="D764" s="396" t="n">
        <f aca="false">IF(AND(L763&lt;L_rampe,Poussee&lt;Poids*SIN(M763)),0,(-W763+Poussee)/m*COS(M763)-U763/m*SIN(M763))</f>
        <v>-0.727139490493871</v>
      </c>
      <c r="E764" s="398" t="n">
        <f aca="false">IF(AND(L763&lt;L_rampe,Poussee&lt;Poids*SIN(M763)),0,(-W763+Poussee)/m*SIN(M763)+U763/m*COS(M763)-Poids/m)</f>
        <v>-2.4983534470139</v>
      </c>
      <c r="F764" s="397" t="n">
        <f aca="false">SQRT(acc_x^2+acc_z^2)</f>
        <v>2.60201879025535</v>
      </c>
      <c r="G764" s="396" t="n">
        <f aca="false">G763+acc_x*pas</f>
        <v>11.4784670280661</v>
      </c>
      <c r="H764" s="398" t="n">
        <f aca="false">H763+acc_z*pas</f>
        <v>-115.421055107543</v>
      </c>
      <c r="I764" s="397" t="n">
        <f aca="false">SQRT(vit_x^2+vit_z^2)</f>
        <v>115.990409808109</v>
      </c>
      <c r="J764" s="396" t="n">
        <f aca="false">J763+0.5*(vit_x+G763)*pas*(K763&gt;=0)</f>
        <v>690.928492655337</v>
      </c>
      <c r="K764" s="398" t="n">
        <f aca="false">K763+0.5*(vit_z+H763)*pas</f>
        <v>-11.5931710464005</v>
      </c>
      <c r="L764" s="397" t="n">
        <f aca="false">SQRT(pos_x^2+pos_z^2)</f>
        <v>691.025747405903</v>
      </c>
      <c r="M764" s="396" t="n">
        <f aca="false">IF(AND(L763&gt;L_rampe,G764&gt;0),ATAN2(G764,H764),$M$4)</f>
        <v>-1.47167360443928</v>
      </c>
      <c r="N764" s="397" t="n">
        <f aca="false">DEGREES(Beta)</f>
        <v>-84.3206863551763</v>
      </c>
      <c r="P764" s="399" t="n">
        <f aca="false">MATCH(t-pas/2-T_ini,CdP_t)</f>
        <v>23</v>
      </c>
      <c r="Q764" s="397" t="n">
        <f aca="false">(INDEX(CdP,2,i_P+1)-INDEX(CdP,2,i_P+0))/(INDEX(CdP,1,i_P+1)-INDEX(CdP,1,i_P+0))*(t-pas/2-T_ini-INDEX(CdP,1,i_P+0))+INDEX(CdP,2,i_P+0)</f>
        <v>0</v>
      </c>
      <c r="R764" s="396" t="n">
        <f aca="false">Poussee/(g*ISP)</f>
        <v>0</v>
      </c>
      <c r="S764" s="398" t="n">
        <f aca="false">S763-Débit*pas</f>
        <v>8.45</v>
      </c>
      <c r="T764" s="397" t="n">
        <f aca="false">m*g</f>
        <v>82.8945</v>
      </c>
      <c r="U764" s="400" t="n">
        <f aca="false">IF(pos_xz&lt;L_rampe,Poids*COS(Beta),0)</f>
        <v>0</v>
      </c>
      <c r="V764" s="396" t="n">
        <f aca="false">Rho_moyen*(20000-Alt_rampe-pos_z)/(20000+Alt_rampe+pos_z)</f>
        <v>1.22642098714053</v>
      </c>
      <c r="W764" s="397" t="n">
        <f aca="false">1/2*Rho*Sref*Cx*vit_xz^2</f>
        <v>62.0885169387062</v>
      </c>
      <c r="Y764" s="408" t="str">
        <f aca="false">IF(AND(pos_z&lt;=0,K763&gt;0),"Impact balistique","") &amp; IF(AND(H765&lt;0,vit_z&gt;=0),"Apogée","") &amp; IF(AND(Poussee=0,Q763&gt;0),"Fin de propulsion","") &amp; IF(AND(L765&gt;L_rampe,pos_xz&lt;=L_rampe),"Sortie de rampe","")</f>
        <v/>
      </c>
      <c r="Z764" s="402" t="str">
        <f aca="false">IF(ABS(t-T_para)&lt;pas/2,"Para","")</f>
        <v/>
      </c>
      <c r="AA764" s="403" t="str">
        <f aca="false">IF(ABS(t-T_satellite)&lt;pas/2,"Satellite","")</f>
        <v/>
      </c>
      <c r="AC764" s="399" t="e">
        <f aca="false">IF(ABS(t-ROUND(t,0))&lt;0.001,t,NA())</f>
        <v>#N/A</v>
      </c>
      <c r="AD764" s="404" t="e">
        <f aca="false">IF(ABS(t-ROUND(t,0))&lt;0.001,pos_x,NA())</f>
        <v>#N/A</v>
      </c>
      <c r="AE764" s="405" t="e">
        <f aca="false">IF(t&lt;T_para, pos_z, NA())</f>
        <v>#N/A</v>
      </c>
      <c r="AG764" s="396" t="n">
        <f aca="false">IF(AND(L763&lt;L_rampe,Poussee&lt;Poids*SIN(M763)),0,(-W763+Poussee)/m-Poids*SIN(M763)/m)</f>
        <v>2.41413105131293</v>
      </c>
      <c r="AH764" s="397" t="n">
        <f aca="false">IF(AND(L763&lt;L_rampe,Poussee&lt;Poids*SIN(M763)), g*SIN(M763), (-W763+Poussee)/m)</f>
        <v>-7.34771441704352</v>
      </c>
    </row>
    <row r="765" customFormat="false" ht="12.75" hidden="false" customHeight="false" outlineLevel="0" collapsed="false">
      <c r="A765" s="396" t="n">
        <f aca="false">IF(B764+0.01&lt;=T_ini+ROUNDUP(Temps_fin_propu,0), 0.01, IF(K764&gt;0, 0.1, 0.0001))</f>
        <v>0.0001</v>
      </c>
      <c r="B765" s="397" t="n">
        <f aca="false">B764+pas</f>
        <v>32.1260000000011</v>
      </c>
      <c r="D765" s="396" t="n">
        <f aca="false">IF(AND(L764&lt;L_rampe,Poussee&lt;Poids*SIN(M764)),0,(-W764+Poussee)/m*COS(M764)-U764/m*SIN(M764))</f>
        <v>-0.727137236901717</v>
      </c>
      <c r="E765" s="398" t="n">
        <f aca="false">IF(AND(L764&lt;L_rampe,Poussee&lt;Poids*SIN(M764)),0,(-W764+Poussee)/m*SIN(M764)+U764/m*COS(M764)-Poids/m)</f>
        <v>-2.49831396335683</v>
      </c>
      <c r="F765" s="397" t="n">
        <f aca="false">SQRT(acc_x^2+acc_z^2)</f>
        <v>2.60198024988522</v>
      </c>
      <c r="G765" s="396" t="n">
        <f aca="false">G764+acc_x*pas</f>
        <v>11.4783943143424</v>
      </c>
      <c r="H765" s="398" t="n">
        <f aca="false">H764+acc_z*pas</f>
        <v>-115.42130493894</v>
      </c>
      <c r="I765" s="397" t="n">
        <f aca="false">SQRT(vit_x^2+vit_z^2)</f>
        <v>115.990651217429</v>
      </c>
      <c r="J765" s="396" t="n">
        <f aca="false">J764+0.5*(vit_x+G764)*pas*(K764&gt;=0)</f>
        <v>690.928492655337</v>
      </c>
      <c r="K765" s="398" t="n">
        <f aca="false">K764+0.5*(vit_z+H764)*pas</f>
        <v>-11.6047131644028</v>
      </c>
      <c r="L765" s="397" t="n">
        <f aca="false">SQRT(pos_x^2+pos_z^2)</f>
        <v>691.025941141578</v>
      </c>
      <c r="M765" s="396" t="n">
        <f aca="false">IF(AND(L764&gt;L_rampe,G765&gt;0),ATAN2(G765,H765),$M$4)</f>
        <v>-1.47167444140531</v>
      </c>
      <c r="N765" s="397" t="n">
        <f aca="false">DEGREES(Beta)</f>
        <v>-84.3207343097971</v>
      </c>
      <c r="P765" s="399" t="n">
        <f aca="false">MATCH(t-pas/2-T_ini,CdP_t)</f>
        <v>23</v>
      </c>
      <c r="Q765" s="397" t="n">
        <f aca="false">(INDEX(CdP,2,i_P+1)-INDEX(CdP,2,i_P+0))/(INDEX(CdP,1,i_P+1)-INDEX(CdP,1,i_P+0))*(t-pas/2-T_ini-INDEX(CdP,1,i_P+0))+INDEX(CdP,2,i_P+0)</f>
        <v>0</v>
      </c>
      <c r="R765" s="396" t="n">
        <f aca="false">Poussee/(g*ISP)</f>
        <v>0</v>
      </c>
      <c r="S765" s="398" t="n">
        <f aca="false">S764-Débit*pas</f>
        <v>8.45</v>
      </c>
      <c r="T765" s="397" t="n">
        <f aca="false">m*g</f>
        <v>82.8945</v>
      </c>
      <c r="U765" s="400" t="n">
        <f aca="false">IF(pos_xz&lt;L_rampe,Poids*COS(Beta),0)</f>
        <v>0</v>
      </c>
      <c r="V765" s="396" t="n">
        <f aca="false">Rho_moyen*(20000-Alt_rampe-pos_z)/(20000+Alt_rampe+pos_z)</f>
        <v>1.2264224026914</v>
      </c>
      <c r="W765" s="397" t="n">
        <f aca="false">1/2*Rho*Sref*Cx*vit_xz^2</f>
        <v>62.0888470506715</v>
      </c>
      <c r="Y765" s="408" t="str">
        <f aca="false">IF(AND(pos_z&lt;=0,K764&gt;0),"Impact balistique","") &amp; IF(AND(H766&lt;0,vit_z&gt;=0),"Apogée","") &amp; IF(AND(Poussee=0,Q764&gt;0),"Fin de propulsion","") &amp; IF(AND(L766&gt;L_rampe,pos_xz&lt;=L_rampe),"Sortie de rampe","")</f>
        <v/>
      </c>
      <c r="Z765" s="402" t="str">
        <f aca="false">IF(ABS(t-T_para)&lt;pas/2,"Para","")</f>
        <v/>
      </c>
      <c r="AA765" s="403" t="str">
        <f aca="false">IF(ABS(t-T_satellite)&lt;pas/2,"Satellite","")</f>
        <v/>
      </c>
      <c r="AC765" s="399" t="e">
        <f aca="false">IF(ABS(t-ROUND(t,0))&lt;0.001,t,NA())</f>
        <v>#N/A</v>
      </c>
      <c r="AD765" s="404" t="e">
        <f aca="false">IF(ABS(t-ROUND(t,0))&lt;0.001,pos_x,NA())</f>
        <v>#N/A</v>
      </c>
      <c r="AE765" s="405" t="e">
        <f aca="false">IF(t&lt;T_para, pos_z, NA())</f>
        <v>#N/A</v>
      </c>
      <c r="AG765" s="396" t="n">
        <f aca="false">IF(AND(L764&lt;L_rampe,Poussee&lt;Poids*SIN(M764)),0,(-W764+Poussee)/m-Poids*SIN(M764)/m)</f>
        <v>2.41409279702642</v>
      </c>
      <c r="AH765" s="397" t="n">
        <f aca="false">IF(AND(L764&lt;L_rampe,Poussee&lt;Poids*SIN(M764)), g*SIN(M764), (-W764+Poussee)/m)</f>
        <v>-7.34775348387055</v>
      </c>
    </row>
    <row r="766" customFormat="false" ht="12.75" hidden="false" customHeight="false" outlineLevel="0" collapsed="false">
      <c r="A766" s="396" t="n">
        <f aca="false">IF(B765+0.01&lt;=T_ini+ROUNDUP(Temps_fin_propu,0), 0.01, IF(K765&gt;0, 0.1, 0.0001))</f>
        <v>0.0001</v>
      </c>
      <c r="B766" s="397" t="n">
        <f aca="false">B765+pas</f>
        <v>32.1261000000011</v>
      </c>
      <c r="D766" s="396" t="n">
        <f aca="false">IF(AND(L765&lt;L_rampe,Poussee&lt;Poids*SIN(M765)),0,(-W765+Poussee)/m*COS(M765)-U765/m*SIN(M765))</f>
        <v>-0.727134983276328</v>
      </c>
      <c r="E766" s="398" t="n">
        <f aca="false">IF(AND(L765&lt;L_rampe,Poussee&lt;Poids*SIN(M765)),0,(-W765+Poussee)/m*SIN(M765)+U765/m*COS(M765)-Poids/m)</f>
        <v>-2.49827448002546</v>
      </c>
      <c r="F766" s="397" t="n">
        <f aca="false">SQRT(acc_x^2+acc_z^2)</f>
        <v>2.60194170984877</v>
      </c>
      <c r="G766" s="396" t="n">
        <f aca="false">G765+acc_x*pas</f>
        <v>11.4783216008441</v>
      </c>
      <c r="H766" s="398" t="n">
        <f aca="false">H765+acc_z*pas</f>
        <v>-115.421554766388</v>
      </c>
      <c r="I766" s="397" t="n">
        <f aca="false">SQRT(vit_x^2+vit_z^2)</f>
        <v>115.990892622924</v>
      </c>
      <c r="J766" s="396" t="n">
        <f aca="false">J765+0.5*(vit_x+G765)*pas*(K765&gt;=0)</f>
        <v>690.928492655337</v>
      </c>
      <c r="K766" s="398" t="n">
        <f aca="false">K765+0.5*(vit_z+H765)*pas</f>
        <v>-11.6162553073881</v>
      </c>
      <c r="L766" s="397" t="n">
        <f aca="false">SQRT(pos_x^2+pos_z^2)</f>
        <v>691.026135070405</v>
      </c>
      <c r="M766" s="396" t="n">
        <f aca="false">IF(AND(L765&gt;L_rampe,G766&gt;0),ATAN2(G766,H766),$M$4)</f>
        <v>-1.47167527836255</v>
      </c>
      <c r="N766" s="397" t="n">
        <f aca="false">DEGREES(Beta)</f>
        <v>-84.3207822639145</v>
      </c>
      <c r="P766" s="399" t="n">
        <f aca="false">MATCH(t-pas/2-T_ini,CdP_t)</f>
        <v>23</v>
      </c>
      <c r="Q766" s="397" t="n">
        <f aca="false">(INDEX(CdP,2,i_P+1)-INDEX(CdP,2,i_P+0))/(INDEX(CdP,1,i_P+1)-INDEX(CdP,1,i_P+0))*(t-pas/2-T_ini-INDEX(CdP,1,i_P+0))+INDEX(CdP,2,i_P+0)</f>
        <v>0</v>
      </c>
      <c r="R766" s="396" t="n">
        <f aca="false">Poussee/(g*ISP)</f>
        <v>0</v>
      </c>
      <c r="S766" s="398" t="n">
        <f aca="false">S765-Débit*pas</f>
        <v>8.45</v>
      </c>
      <c r="T766" s="397" t="n">
        <f aca="false">m*g</f>
        <v>82.8945</v>
      </c>
      <c r="U766" s="400" t="n">
        <f aca="false">IF(pos_xz&lt;L_rampe,Poids*COS(Beta),0)</f>
        <v>0</v>
      </c>
      <c r="V766" s="396" t="n">
        <f aca="false">Rho_moyen*(20000-Alt_rampe-pos_z)/(20000+Alt_rampe+pos_z)</f>
        <v>1.22642381824697</v>
      </c>
      <c r="W766" s="397" t="n">
        <f aca="false">1/2*Rho*Sref*Cx*vit_xz^2</f>
        <v>62.0891771599139</v>
      </c>
      <c r="Y766" s="408" t="str">
        <f aca="false">IF(AND(pos_z&lt;=0,K765&gt;0),"Impact balistique","") &amp; IF(AND(H767&lt;0,vit_z&gt;=0),"Apogée","") &amp; IF(AND(Poussee=0,Q765&gt;0),"Fin de propulsion","") &amp; IF(AND(L767&gt;L_rampe,pos_xz&lt;=L_rampe),"Sortie de rampe","")</f>
        <v/>
      </c>
      <c r="Z766" s="402" t="str">
        <f aca="false">IF(ABS(t-T_para)&lt;pas/2,"Para","")</f>
        <v/>
      </c>
      <c r="AA766" s="403" t="str">
        <f aca="false">IF(ABS(t-T_satellite)&lt;pas/2,"Satellite","")</f>
        <v/>
      </c>
      <c r="AC766" s="399" t="e">
        <f aca="false">IF(ABS(t-ROUND(t,0))&lt;0.001,t,NA())</f>
        <v>#N/A</v>
      </c>
      <c r="AD766" s="404" t="e">
        <f aca="false">IF(ABS(t-ROUND(t,0))&lt;0.001,pos_x,NA())</f>
        <v>#N/A</v>
      </c>
      <c r="AE766" s="405" t="e">
        <f aca="false">IF(t&lt;T_para, pos_z, NA())</f>
        <v>#N/A</v>
      </c>
      <c r="AG766" s="396" t="n">
        <f aca="false">IF(AND(L765&lt;L_rampe,Poussee&lt;Poids*SIN(M765)),0,(-W765+Poussee)/m-Poids*SIN(M765)/m)</f>
        <v>2.4140545430468</v>
      </c>
      <c r="AH766" s="397" t="n">
        <f aca="false">IF(AND(L765&lt;L_rampe,Poussee&lt;Poids*SIN(M765)), g*SIN(M765), (-W765+Poussee)/m)</f>
        <v>-7.34779255037533</v>
      </c>
    </row>
    <row r="767" customFormat="false" ht="12.75" hidden="false" customHeight="false" outlineLevel="0" collapsed="false">
      <c r="A767" s="396" t="n">
        <f aca="false">IF(B766+0.01&lt;=T_ini+ROUNDUP(Temps_fin_propu,0), 0.01, IF(K766&gt;0, 0.1, 0.0001))</f>
        <v>0.0001</v>
      </c>
      <c r="B767" s="397" t="n">
        <f aca="false">B766+pas</f>
        <v>32.1262000000011</v>
      </c>
      <c r="D767" s="396" t="n">
        <f aca="false">IF(AND(L766&lt;L_rampe,Poussee&lt;Poids*SIN(M766)),0,(-W766+Poussee)/m*COS(M766)-U766/m*SIN(M766))</f>
        <v>-0.727132729617707</v>
      </c>
      <c r="E767" s="398" t="n">
        <f aca="false">IF(AND(L766&lt;L_rampe,Poussee&lt;Poids*SIN(M766)),0,(-W766+Poussee)/m*SIN(M766)+U766/m*COS(M766)-Poids/m)</f>
        <v>-2.49823499701981</v>
      </c>
      <c r="F767" s="397" t="n">
        <f aca="false">SQRT(acc_x^2+acc_z^2)</f>
        <v>2.60190317014601</v>
      </c>
      <c r="G767" s="396" t="n">
        <f aca="false">G766+acc_x*pas</f>
        <v>11.4782488875711</v>
      </c>
      <c r="H767" s="398" t="n">
        <f aca="false">H766+acc_z*pas</f>
        <v>-115.421804589887</v>
      </c>
      <c r="I767" s="397" t="n">
        <f aca="false">SQRT(vit_x^2+vit_z^2)</f>
        <v>115.991134024593</v>
      </c>
      <c r="J767" s="396" t="n">
        <f aca="false">J766+0.5*(vit_x+G766)*pas*(K766&gt;=0)</f>
        <v>690.928492655337</v>
      </c>
      <c r="K767" s="398" t="n">
        <f aca="false">K766+0.5*(vit_z+H766)*pas</f>
        <v>-11.6277974753559</v>
      </c>
      <c r="L767" s="397" t="n">
        <f aca="false">SQRT(pos_x^2+pos_z^2)</f>
        <v>691.026329192386</v>
      </c>
      <c r="M767" s="396" t="n">
        <f aca="false">IF(AND(L766&gt;L_rampe,G767&gt;0),ATAN2(G767,H767),$M$4)</f>
        <v>-1.471676115311</v>
      </c>
      <c r="N767" s="397" t="n">
        <f aca="false">DEGREES(Beta)</f>
        <v>-84.3208302175285</v>
      </c>
      <c r="P767" s="399" t="n">
        <f aca="false">MATCH(t-pas/2-T_ini,CdP_t)</f>
        <v>23</v>
      </c>
      <c r="Q767" s="397" t="n">
        <f aca="false">(INDEX(CdP,2,i_P+1)-INDEX(CdP,2,i_P+0))/(INDEX(CdP,1,i_P+1)-INDEX(CdP,1,i_P+0))*(t-pas/2-T_ini-INDEX(CdP,1,i_P+0))+INDEX(CdP,2,i_P+0)</f>
        <v>0</v>
      </c>
      <c r="R767" s="396" t="n">
        <f aca="false">Poussee/(g*ISP)</f>
        <v>0</v>
      </c>
      <c r="S767" s="398" t="n">
        <f aca="false">S766-Débit*pas</f>
        <v>8.45</v>
      </c>
      <c r="T767" s="397" t="n">
        <f aca="false">m*g</f>
        <v>82.8945</v>
      </c>
      <c r="U767" s="400" t="n">
        <f aca="false">IF(pos_xz&lt;L_rampe,Poids*COS(Beta),0)</f>
        <v>0</v>
      </c>
      <c r="V767" s="396" t="n">
        <f aca="false">Rho_moyen*(20000-Alt_rampe-pos_z)/(20000+Alt_rampe+pos_z)</f>
        <v>1.22642523380723</v>
      </c>
      <c r="W767" s="397" t="n">
        <f aca="false">1/2*Rho*Sref*Cx*vit_xz^2</f>
        <v>62.0895072664332</v>
      </c>
      <c r="Y767" s="408" t="str">
        <f aca="false">IF(AND(pos_z&lt;=0,K766&gt;0),"Impact balistique","") &amp; IF(AND(H768&lt;0,vit_z&gt;=0),"Apogée","") &amp; IF(AND(Poussee=0,Q766&gt;0),"Fin de propulsion","") &amp; IF(AND(L768&gt;L_rampe,pos_xz&lt;=L_rampe),"Sortie de rampe","")</f>
        <v/>
      </c>
      <c r="Z767" s="402" t="str">
        <f aca="false">IF(ABS(t-T_para)&lt;pas/2,"Para","")</f>
        <v/>
      </c>
      <c r="AA767" s="403" t="str">
        <f aca="false">IF(ABS(t-T_satellite)&lt;pas/2,"Satellite","")</f>
        <v/>
      </c>
      <c r="AC767" s="399" t="e">
        <f aca="false">IF(ABS(t-ROUND(t,0))&lt;0.001,t,NA())</f>
        <v>#N/A</v>
      </c>
      <c r="AD767" s="404" t="e">
        <f aca="false">IF(ABS(t-ROUND(t,0))&lt;0.001,pos_x,NA())</f>
        <v>#N/A</v>
      </c>
      <c r="AE767" s="405" t="e">
        <f aca="false">IF(t&lt;T_para, pos_z, NA())</f>
        <v>#N/A</v>
      </c>
      <c r="AG767" s="396" t="n">
        <f aca="false">IF(AND(L766&lt;L_rampe,Poussee&lt;Poids*SIN(M766)),0,(-W766+Poussee)/m-Poids*SIN(M766)/m)</f>
        <v>2.41401628937407</v>
      </c>
      <c r="AH767" s="397" t="n">
        <f aca="false">IF(AND(L766&lt;L_rampe,Poussee&lt;Poids*SIN(M766)), g*SIN(M766), (-W766+Poussee)/m)</f>
        <v>-7.34783161655785</v>
      </c>
    </row>
    <row r="768" customFormat="false" ht="12.75" hidden="false" customHeight="false" outlineLevel="0" collapsed="false">
      <c r="A768" s="396" t="n">
        <f aca="false">IF(B767+0.01&lt;=T_ini+ROUNDUP(Temps_fin_propu,0), 0.01, IF(K767&gt;0, 0.1, 0.0001))</f>
        <v>0.0001</v>
      </c>
      <c r="B768" s="397" t="n">
        <f aca="false">B767+pas</f>
        <v>32.1263000000011</v>
      </c>
      <c r="D768" s="396" t="n">
        <f aca="false">IF(AND(L767&lt;L_rampe,Poussee&lt;Poids*SIN(M767)),0,(-W767+Poussee)/m*COS(M767)-U767/m*SIN(M767))</f>
        <v>-0.727130475925855</v>
      </c>
      <c r="E768" s="398" t="n">
        <f aca="false">IF(AND(L767&lt;L_rampe,Poussee&lt;Poids*SIN(M767)),0,(-W767+Poussee)/m*SIN(M767)+U767/m*COS(M767)-Poids/m)</f>
        <v>-2.49819551433986</v>
      </c>
      <c r="F768" s="397" t="n">
        <f aca="false">SQRT(acc_x^2+acc_z^2)</f>
        <v>2.60186463077693</v>
      </c>
      <c r="G768" s="396" t="n">
        <f aca="false">G767+acc_x*pas</f>
        <v>11.4781761745235</v>
      </c>
      <c r="H768" s="398" t="n">
        <f aca="false">H767+acc_z*pas</f>
        <v>-115.422054409439</v>
      </c>
      <c r="I768" s="397" t="n">
        <f aca="false">SQRT(vit_x^2+vit_z^2)</f>
        <v>115.991375422438</v>
      </c>
      <c r="J768" s="396" t="n">
        <f aca="false">J767+0.5*(vit_x+G767)*pas*(K767&gt;=0)</f>
        <v>690.928492655337</v>
      </c>
      <c r="K768" s="398" t="n">
        <f aca="false">K767+0.5*(vit_z+H767)*pas</f>
        <v>-11.6393396683059</v>
      </c>
      <c r="L768" s="397" t="n">
        <f aca="false">SQRT(pos_x^2+pos_z^2)</f>
        <v>691.026523507521</v>
      </c>
      <c r="M768" s="396" t="n">
        <f aca="false">IF(AND(L767&gt;L_rampe,G768&gt;0),ATAN2(G768,H768),$M$4)</f>
        <v>-1.47167695225067</v>
      </c>
      <c r="N768" s="397" t="n">
        <f aca="false">DEGREES(Beta)</f>
        <v>-84.3208781706392</v>
      </c>
      <c r="P768" s="399" t="n">
        <f aca="false">MATCH(t-pas/2-T_ini,CdP_t)</f>
        <v>23</v>
      </c>
      <c r="Q768" s="397" t="n">
        <f aca="false">(INDEX(CdP,2,i_P+1)-INDEX(CdP,2,i_P+0))/(INDEX(CdP,1,i_P+1)-INDEX(CdP,1,i_P+0))*(t-pas/2-T_ini-INDEX(CdP,1,i_P+0))+INDEX(CdP,2,i_P+0)</f>
        <v>0</v>
      </c>
      <c r="R768" s="396" t="n">
        <f aca="false">Poussee/(g*ISP)</f>
        <v>0</v>
      </c>
      <c r="S768" s="398" t="n">
        <f aca="false">S767-Débit*pas</f>
        <v>8.45</v>
      </c>
      <c r="T768" s="397" t="n">
        <f aca="false">m*g</f>
        <v>82.8945</v>
      </c>
      <c r="U768" s="400" t="n">
        <f aca="false">IF(pos_xz&lt;L_rampe,Poids*COS(Beta),0)</f>
        <v>0</v>
      </c>
      <c r="V768" s="396" t="n">
        <f aca="false">Rho_moyen*(20000-Alt_rampe-pos_z)/(20000+Alt_rampe+pos_z)</f>
        <v>1.2264266493722</v>
      </c>
      <c r="W768" s="397" t="n">
        <f aca="false">1/2*Rho*Sref*Cx*vit_xz^2</f>
        <v>62.0898373702295</v>
      </c>
      <c r="Y768" s="408" t="str">
        <f aca="false">IF(AND(pos_z&lt;=0,K767&gt;0),"Impact balistique","") &amp; IF(AND(H769&lt;0,vit_z&gt;=0),"Apogée","") &amp; IF(AND(Poussee=0,Q767&gt;0),"Fin de propulsion","") &amp; IF(AND(L769&gt;L_rampe,pos_xz&lt;=L_rampe),"Sortie de rampe","")</f>
        <v/>
      </c>
      <c r="Z768" s="402" t="str">
        <f aca="false">IF(ABS(t-T_para)&lt;pas/2,"Para","")</f>
        <v/>
      </c>
      <c r="AA768" s="403" t="str">
        <f aca="false">IF(ABS(t-T_satellite)&lt;pas/2,"Satellite","")</f>
        <v/>
      </c>
      <c r="AC768" s="399" t="e">
        <f aca="false">IF(ABS(t-ROUND(t,0))&lt;0.001,t,NA())</f>
        <v>#N/A</v>
      </c>
      <c r="AD768" s="404" t="e">
        <f aca="false">IF(ABS(t-ROUND(t,0))&lt;0.001,pos_x,NA())</f>
        <v>#N/A</v>
      </c>
      <c r="AE768" s="405" t="e">
        <f aca="false">IF(t&lt;T_para, pos_z, NA())</f>
        <v>#N/A</v>
      </c>
      <c r="AG768" s="396" t="n">
        <f aca="false">IF(AND(L767&lt;L_rampe,Poussee&lt;Poids*SIN(M767)),0,(-W767+Poussee)/m-Poids*SIN(M767)/m)</f>
        <v>2.41397803600822</v>
      </c>
      <c r="AH768" s="397" t="n">
        <f aca="false">IF(AND(L767&lt;L_rampe,Poussee&lt;Poids*SIN(M767)), g*SIN(M767), (-W767+Poussee)/m)</f>
        <v>-7.34787068241813</v>
      </c>
    </row>
    <row r="769" customFormat="false" ht="12.75" hidden="false" customHeight="false" outlineLevel="0" collapsed="false">
      <c r="A769" s="396" t="n">
        <f aca="false">IF(B768+0.01&lt;=T_ini+ROUNDUP(Temps_fin_propu,0), 0.01, IF(K768&gt;0, 0.1, 0.0001))</f>
        <v>0.0001</v>
      </c>
      <c r="B769" s="397" t="n">
        <f aca="false">B768+pas</f>
        <v>32.1264000000011</v>
      </c>
      <c r="D769" s="396" t="n">
        <f aca="false">IF(AND(L768&lt;L_rampe,Poussee&lt;Poids*SIN(M768)),0,(-W768+Poussee)/m*COS(M768)-U768/m*SIN(M768))</f>
        <v>-0.727128222200772</v>
      </c>
      <c r="E769" s="398" t="n">
        <f aca="false">IF(AND(L768&lt;L_rampe,Poussee&lt;Poids*SIN(M768)),0,(-W768+Poussee)/m*SIN(M768)+U768/m*COS(M768)-Poids/m)</f>
        <v>-2.49815603198563</v>
      </c>
      <c r="F769" s="397" t="n">
        <f aca="false">SQRT(acc_x^2+acc_z^2)</f>
        <v>2.60182609174154</v>
      </c>
      <c r="G769" s="396" t="n">
        <f aca="false">G768+acc_x*pas</f>
        <v>11.4781034617013</v>
      </c>
      <c r="H769" s="398" t="n">
        <f aca="false">H768+acc_z*pas</f>
        <v>-115.422304225042</v>
      </c>
      <c r="I769" s="397" t="n">
        <f aca="false">SQRT(vit_x^2+vit_z^2)</f>
        <v>115.991616816457</v>
      </c>
      <c r="J769" s="396" t="n">
        <f aca="false">J768+0.5*(vit_x+G768)*pas*(K768&gt;=0)</f>
        <v>690.928492655337</v>
      </c>
      <c r="K769" s="398" t="n">
        <f aca="false">K768+0.5*(vit_z+H768)*pas</f>
        <v>-11.6508818862376</v>
      </c>
      <c r="L769" s="397" t="n">
        <f aca="false">SQRT(pos_x^2+pos_z^2)</f>
        <v>691.026718015811</v>
      </c>
      <c r="M769" s="396" t="n">
        <f aca="false">IF(AND(L768&gt;L_rampe,G769&gt;0),ATAN2(G769,H769),$M$4)</f>
        <v>-1.47167778918155</v>
      </c>
      <c r="N769" s="397" t="n">
        <f aca="false">DEGREES(Beta)</f>
        <v>-84.3209261232464</v>
      </c>
      <c r="P769" s="399" t="n">
        <f aca="false">MATCH(t-pas/2-T_ini,CdP_t)</f>
        <v>23</v>
      </c>
      <c r="Q769" s="397" t="n">
        <f aca="false">(INDEX(CdP,2,i_P+1)-INDEX(CdP,2,i_P+0))/(INDEX(CdP,1,i_P+1)-INDEX(CdP,1,i_P+0))*(t-pas/2-T_ini-INDEX(CdP,1,i_P+0))+INDEX(CdP,2,i_P+0)</f>
        <v>0</v>
      </c>
      <c r="R769" s="396" t="n">
        <f aca="false">Poussee/(g*ISP)</f>
        <v>0</v>
      </c>
      <c r="S769" s="398" t="n">
        <f aca="false">S768-Débit*pas</f>
        <v>8.45</v>
      </c>
      <c r="T769" s="397" t="n">
        <f aca="false">m*g</f>
        <v>82.8945</v>
      </c>
      <c r="U769" s="400" t="n">
        <f aca="false">IF(pos_xz&lt;L_rampe,Poids*COS(Beta),0)</f>
        <v>0</v>
      </c>
      <c r="V769" s="396" t="n">
        <f aca="false">Rho_moyen*(20000-Alt_rampe-pos_z)/(20000+Alt_rampe+pos_z)</f>
        <v>1.22642806494186</v>
      </c>
      <c r="W769" s="397" t="n">
        <f aca="false">1/2*Rho*Sref*Cx*vit_xz^2</f>
        <v>62.0901674713027</v>
      </c>
      <c r="Y769" s="408" t="str">
        <f aca="false">IF(AND(pos_z&lt;=0,K768&gt;0),"Impact balistique","") &amp; IF(AND(H770&lt;0,vit_z&gt;=0),"Apogée","") &amp; IF(AND(Poussee=0,Q768&gt;0),"Fin de propulsion","") &amp; IF(AND(L770&gt;L_rampe,pos_xz&lt;=L_rampe),"Sortie de rampe","")</f>
        <v/>
      </c>
      <c r="Z769" s="402" t="str">
        <f aca="false">IF(ABS(t-T_para)&lt;pas/2,"Para","")</f>
        <v/>
      </c>
      <c r="AA769" s="403" t="str">
        <f aca="false">IF(ABS(t-T_satellite)&lt;pas/2,"Satellite","")</f>
        <v/>
      </c>
      <c r="AC769" s="399" t="e">
        <f aca="false">IF(ABS(t-ROUND(t,0))&lt;0.001,t,NA())</f>
        <v>#N/A</v>
      </c>
      <c r="AD769" s="404" t="e">
        <f aca="false">IF(ABS(t-ROUND(t,0))&lt;0.001,pos_x,NA())</f>
        <v>#N/A</v>
      </c>
      <c r="AE769" s="405" t="e">
        <f aca="false">IF(t&lt;T_para, pos_z, NA())</f>
        <v>#N/A</v>
      </c>
      <c r="AG769" s="396" t="n">
        <f aca="false">IF(AND(L768&lt;L_rampe,Poussee&lt;Poids*SIN(M768)),0,(-W768+Poussee)/m-Poids*SIN(M768)/m)</f>
        <v>2.41393978294925</v>
      </c>
      <c r="AH769" s="397" t="n">
        <f aca="false">IF(AND(L768&lt;L_rampe,Poussee&lt;Poids*SIN(M768)), g*SIN(M768), (-W768+Poussee)/m)</f>
        <v>-7.34790974795615</v>
      </c>
    </row>
    <row r="770" customFormat="false" ht="12.75" hidden="false" customHeight="false" outlineLevel="0" collapsed="false">
      <c r="A770" s="396" t="n">
        <f aca="false">IF(B769+0.01&lt;=T_ini+ROUNDUP(Temps_fin_propu,0), 0.01, IF(K769&gt;0, 0.1, 0.0001))</f>
        <v>0.0001</v>
      </c>
      <c r="B770" s="397" t="n">
        <f aca="false">B769+pas</f>
        <v>32.1265000000011</v>
      </c>
      <c r="D770" s="396" t="n">
        <f aca="false">IF(AND(L769&lt;L_rampe,Poussee&lt;Poids*SIN(M769)),0,(-W769+Poussee)/m*COS(M769)-U769/m*SIN(M769))</f>
        <v>-0.727125968442459</v>
      </c>
      <c r="E770" s="398" t="n">
        <f aca="false">IF(AND(L769&lt;L_rampe,Poussee&lt;Poids*SIN(M769)),0,(-W769+Poussee)/m*SIN(M769)+U769/m*COS(M769)-Poids/m)</f>
        <v>-2.4981165499571</v>
      </c>
      <c r="F770" s="397" t="n">
        <f aca="false">SQRT(acc_x^2+acc_z^2)</f>
        <v>2.60178755303983</v>
      </c>
      <c r="G770" s="396" t="n">
        <f aca="false">G769+acc_x*pas</f>
        <v>11.4780307491044</v>
      </c>
      <c r="H770" s="398" t="n">
        <f aca="false">H769+acc_z*pas</f>
        <v>-115.422554036697</v>
      </c>
      <c r="I770" s="397" t="n">
        <f aca="false">SQRT(vit_x^2+vit_z^2)</f>
        <v>115.99185820665</v>
      </c>
      <c r="J770" s="396" t="n">
        <f aca="false">J769+0.5*(vit_x+G769)*pas*(K769&gt;=0)</f>
        <v>690.928492655337</v>
      </c>
      <c r="K770" s="398" t="n">
        <f aca="false">K769+0.5*(vit_z+H769)*pas</f>
        <v>-11.6624241291507</v>
      </c>
      <c r="L770" s="397" t="n">
        <f aca="false">SQRT(pos_x^2+pos_z^2)</f>
        <v>691.026912717257</v>
      </c>
      <c r="M770" s="396" t="n">
        <f aca="false">IF(AND(L769&gt;L_rampe,G770&gt;0),ATAN2(G770,H770),$M$4)</f>
        <v>-1.47167862610365</v>
      </c>
      <c r="N770" s="397" t="n">
        <f aca="false">DEGREES(Beta)</f>
        <v>-84.3209740753504</v>
      </c>
      <c r="P770" s="399" t="n">
        <f aca="false">MATCH(t-pas/2-T_ini,CdP_t)</f>
        <v>23</v>
      </c>
      <c r="Q770" s="397" t="n">
        <f aca="false">(INDEX(CdP,2,i_P+1)-INDEX(CdP,2,i_P+0))/(INDEX(CdP,1,i_P+1)-INDEX(CdP,1,i_P+0))*(t-pas/2-T_ini-INDEX(CdP,1,i_P+0))+INDEX(CdP,2,i_P+0)</f>
        <v>0</v>
      </c>
      <c r="R770" s="396" t="n">
        <f aca="false">Poussee/(g*ISP)</f>
        <v>0</v>
      </c>
      <c r="S770" s="398" t="n">
        <f aca="false">S769-Débit*pas</f>
        <v>8.45</v>
      </c>
      <c r="T770" s="397" t="n">
        <f aca="false">m*g</f>
        <v>82.8945</v>
      </c>
      <c r="U770" s="400" t="n">
        <f aca="false">IF(pos_xz&lt;L_rampe,Poids*COS(Beta),0)</f>
        <v>0</v>
      </c>
      <c r="V770" s="396" t="n">
        <f aca="false">Rho_moyen*(20000-Alt_rampe-pos_z)/(20000+Alt_rampe+pos_z)</f>
        <v>1.22642948051622</v>
      </c>
      <c r="W770" s="397" t="n">
        <f aca="false">1/2*Rho*Sref*Cx*vit_xz^2</f>
        <v>62.0904975696529</v>
      </c>
      <c r="Y770" s="408" t="str">
        <f aca="false">IF(AND(pos_z&lt;=0,K769&gt;0),"Impact balistique","") &amp; IF(AND(H771&lt;0,vit_z&gt;=0),"Apogée","") &amp; IF(AND(Poussee=0,Q769&gt;0),"Fin de propulsion","") &amp; IF(AND(L771&gt;L_rampe,pos_xz&lt;=L_rampe),"Sortie de rampe","")</f>
        <v/>
      </c>
      <c r="Z770" s="402" t="str">
        <f aca="false">IF(ABS(t-T_para)&lt;pas/2,"Para","")</f>
        <v/>
      </c>
      <c r="AA770" s="403" t="str">
        <f aca="false">IF(ABS(t-T_satellite)&lt;pas/2,"Satellite","")</f>
        <v/>
      </c>
      <c r="AC770" s="399" t="e">
        <f aca="false">IF(ABS(t-ROUND(t,0))&lt;0.001,t,NA())</f>
        <v>#N/A</v>
      </c>
      <c r="AD770" s="404" t="e">
        <f aca="false">IF(ABS(t-ROUND(t,0))&lt;0.001,pos_x,NA())</f>
        <v>#N/A</v>
      </c>
      <c r="AE770" s="405" t="e">
        <f aca="false">IF(t&lt;T_para, pos_z, NA())</f>
        <v>#N/A</v>
      </c>
      <c r="AG770" s="396" t="n">
        <f aca="false">IF(AND(L769&lt;L_rampe,Poussee&lt;Poids*SIN(M769)),0,(-W769+Poussee)/m-Poids*SIN(M769)/m)</f>
        <v>2.41390153019718</v>
      </c>
      <c r="AH770" s="397" t="n">
        <f aca="false">IF(AND(L769&lt;L_rampe,Poussee&lt;Poids*SIN(M769)), g*SIN(M769), (-W769+Poussee)/m)</f>
        <v>-7.34794881317192</v>
      </c>
    </row>
    <row r="771" customFormat="false" ht="12.75" hidden="false" customHeight="false" outlineLevel="0" collapsed="false">
      <c r="A771" s="396" t="n">
        <f aca="false">IF(B770+0.01&lt;=T_ini+ROUNDUP(Temps_fin_propu,0), 0.01, IF(K770&gt;0, 0.1, 0.0001))</f>
        <v>0.0001</v>
      </c>
      <c r="B771" s="397" t="n">
        <f aca="false">B770+pas</f>
        <v>32.1266000000011</v>
      </c>
      <c r="D771" s="396" t="n">
        <f aca="false">IF(AND(L770&lt;L_rampe,Poussee&lt;Poids*SIN(M770)),0,(-W770+Poussee)/m*COS(M770)-U770/m*SIN(M770))</f>
        <v>-0.727123714650916</v>
      </c>
      <c r="E771" s="398" t="n">
        <f aca="false">IF(AND(L770&lt;L_rampe,Poussee&lt;Poids*SIN(M770)),0,(-W770+Poussee)/m*SIN(M770)+U770/m*COS(M770)-Poids/m)</f>
        <v>-2.49807706825429</v>
      </c>
      <c r="F771" s="397" t="n">
        <f aca="false">SQRT(acc_x^2+acc_z^2)</f>
        <v>2.6017490146718</v>
      </c>
      <c r="G771" s="396" t="n">
        <f aca="false">G770+acc_x*pas</f>
        <v>11.477958036733</v>
      </c>
      <c r="H771" s="398" t="n">
        <f aca="false">H770+acc_z*pas</f>
        <v>-115.422803844404</v>
      </c>
      <c r="I771" s="397" t="n">
        <f aca="false">SQRT(vit_x^2+vit_z^2)</f>
        <v>115.992099593019</v>
      </c>
      <c r="J771" s="396" t="n">
        <f aca="false">J770+0.5*(vit_x+G770)*pas*(K770&gt;=0)</f>
        <v>690.928492655337</v>
      </c>
      <c r="K771" s="398" t="n">
        <f aca="false">K770+0.5*(vit_z+H770)*pas</f>
        <v>-11.6739663970447</v>
      </c>
      <c r="L771" s="397" t="n">
        <f aca="false">SQRT(pos_x^2+pos_z^2)</f>
        <v>691.027107611861</v>
      </c>
      <c r="M771" s="396" t="n">
        <f aca="false">IF(AND(L770&gt;L_rampe,G771&gt;0),ATAN2(G771,H771),$M$4)</f>
        <v>-1.47167946301696</v>
      </c>
      <c r="N771" s="397" t="n">
        <f aca="false">DEGREES(Beta)</f>
        <v>-84.3210220269509</v>
      </c>
      <c r="P771" s="399" t="n">
        <f aca="false">MATCH(t-pas/2-T_ini,CdP_t)</f>
        <v>23</v>
      </c>
      <c r="Q771" s="397" t="n">
        <f aca="false">(INDEX(CdP,2,i_P+1)-INDEX(CdP,2,i_P+0))/(INDEX(CdP,1,i_P+1)-INDEX(CdP,1,i_P+0))*(t-pas/2-T_ini-INDEX(CdP,1,i_P+0))+INDEX(CdP,2,i_P+0)</f>
        <v>0</v>
      </c>
      <c r="R771" s="396" t="n">
        <f aca="false">Poussee/(g*ISP)</f>
        <v>0</v>
      </c>
      <c r="S771" s="398" t="n">
        <f aca="false">S770-Débit*pas</f>
        <v>8.45</v>
      </c>
      <c r="T771" s="397" t="n">
        <f aca="false">m*g</f>
        <v>82.8945</v>
      </c>
      <c r="U771" s="400" t="n">
        <f aca="false">IF(pos_xz&lt;L_rampe,Poids*COS(Beta),0)</f>
        <v>0</v>
      </c>
      <c r="V771" s="396" t="n">
        <f aca="false">Rho_moyen*(20000-Alt_rampe-pos_z)/(20000+Alt_rampe+pos_z)</f>
        <v>1.22643089609528</v>
      </c>
      <c r="W771" s="397" t="n">
        <f aca="false">1/2*Rho*Sref*Cx*vit_xz^2</f>
        <v>62.0908276652801</v>
      </c>
      <c r="Y771" s="408" t="str">
        <f aca="false">IF(AND(pos_z&lt;=0,K770&gt;0),"Impact balistique","") &amp; IF(AND(H772&lt;0,vit_z&gt;=0),"Apogée","") &amp; IF(AND(Poussee=0,Q770&gt;0),"Fin de propulsion","") &amp; IF(AND(L772&gt;L_rampe,pos_xz&lt;=L_rampe),"Sortie de rampe","")</f>
        <v/>
      </c>
      <c r="Z771" s="402" t="str">
        <f aca="false">IF(ABS(t-T_para)&lt;pas/2,"Para","")</f>
        <v/>
      </c>
      <c r="AA771" s="403" t="str">
        <f aca="false">IF(ABS(t-T_satellite)&lt;pas/2,"Satellite","")</f>
        <v/>
      </c>
      <c r="AC771" s="399" t="e">
        <f aca="false">IF(ABS(t-ROUND(t,0))&lt;0.001,t,NA())</f>
        <v>#N/A</v>
      </c>
      <c r="AD771" s="404" t="e">
        <f aca="false">IF(ABS(t-ROUND(t,0))&lt;0.001,pos_x,NA())</f>
        <v>#N/A</v>
      </c>
      <c r="AE771" s="405" t="e">
        <f aca="false">IF(t&lt;T_para, pos_z, NA())</f>
        <v>#N/A</v>
      </c>
      <c r="AG771" s="396" t="n">
        <f aca="false">IF(AND(L770&lt;L_rampe,Poussee&lt;Poids*SIN(M770)),0,(-W770+Poussee)/m-Poids*SIN(M770)/m)</f>
        <v>2.41386327775199</v>
      </c>
      <c r="AH771" s="397" t="n">
        <f aca="false">IF(AND(L770&lt;L_rampe,Poussee&lt;Poids*SIN(M770)), g*SIN(M770), (-W770+Poussee)/m)</f>
        <v>-7.34798787806543</v>
      </c>
    </row>
    <row r="772" customFormat="false" ht="12.75" hidden="false" customHeight="false" outlineLevel="0" collapsed="false">
      <c r="A772" s="396" t="n">
        <f aca="false">IF(B771+0.01&lt;=T_ini+ROUNDUP(Temps_fin_propu,0), 0.01, IF(K771&gt;0, 0.1, 0.0001))</f>
        <v>0.0001</v>
      </c>
      <c r="B772" s="397" t="n">
        <f aca="false">B771+pas</f>
        <v>32.1267000000011</v>
      </c>
      <c r="D772" s="396" t="n">
        <f aca="false">IF(AND(L771&lt;L_rampe,Poussee&lt;Poids*SIN(M771)),0,(-W771+Poussee)/m*COS(M771)-U771/m*SIN(M771))</f>
        <v>-0.727121460826144</v>
      </c>
      <c r="E772" s="398" t="n">
        <f aca="false">IF(AND(L771&lt;L_rampe,Poussee&lt;Poids*SIN(M771)),0,(-W771+Poussee)/m*SIN(M771)+U771/m*COS(M771)-Poids/m)</f>
        <v>-2.49803758687719</v>
      </c>
      <c r="F772" s="397" t="n">
        <f aca="false">SQRT(acc_x^2+acc_z^2)</f>
        <v>2.60171047663746</v>
      </c>
      <c r="G772" s="396" t="n">
        <f aca="false">G771+acc_x*pas</f>
        <v>11.4778853245869</v>
      </c>
      <c r="H772" s="398" t="n">
        <f aca="false">H771+acc_z*pas</f>
        <v>-115.423053648163</v>
      </c>
      <c r="I772" s="397" t="n">
        <f aca="false">SQRT(vit_x^2+vit_z^2)</f>
        <v>115.992340975562</v>
      </c>
      <c r="J772" s="396" t="n">
        <f aca="false">J771+0.5*(vit_x+G771)*pas*(K771&gt;=0)</f>
        <v>690.928492655337</v>
      </c>
      <c r="K772" s="398" t="n">
        <f aca="false">K771+0.5*(vit_z+H771)*pas</f>
        <v>-11.6855086899194</v>
      </c>
      <c r="L772" s="397" t="n">
        <f aca="false">SQRT(pos_x^2+pos_z^2)</f>
        <v>691.027302699624</v>
      </c>
      <c r="M772" s="396" t="n">
        <f aca="false">IF(AND(L771&gt;L_rampe,G772&gt;0),ATAN2(G772,H772),$M$4)</f>
        <v>-1.47168029992148</v>
      </c>
      <c r="N772" s="397" t="n">
        <f aca="false">DEGREES(Beta)</f>
        <v>-84.3210699780481</v>
      </c>
      <c r="P772" s="399" t="n">
        <f aca="false">MATCH(t-pas/2-T_ini,CdP_t)</f>
        <v>23</v>
      </c>
      <c r="Q772" s="397" t="n">
        <f aca="false">(INDEX(CdP,2,i_P+1)-INDEX(CdP,2,i_P+0))/(INDEX(CdP,1,i_P+1)-INDEX(CdP,1,i_P+0))*(t-pas/2-T_ini-INDEX(CdP,1,i_P+0))+INDEX(CdP,2,i_P+0)</f>
        <v>0</v>
      </c>
      <c r="R772" s="396" t="n">
        <f aca="false">Poussee/(g*ISP)</f>
        <v>0</v>
      </c>
      <c r="S772" s="398" t="n">
        <f aca="false">S771-Débit*pas</f>
        <v>8.45</v>
      </c>
      <c r="T772" s="397" t="n">
        <f aca="false">m*g</f>
        <v>82.8945</v>
      </c>
      <c r="U772" s="400" t="n">
        <f aca="false">IF(pos_xz&lt;L_rampe,Poids*COS(Beta),0)</f>
        <v>0</v>
      </c>
      <c r="V772" s="396" t="n">
        <f aca="false">Rho_moyen*(20000-Alt_rampe-pos_z)/(20000+Alt_rampe+pos_z)</f>
        <v>1.22643231167904</v>
      </c>
      <c r="W772" s="397" t="n">
        <f aca="false">1/2*Rho*Sref*Cx*vit_xz^2</f>
        <v>62.0911577581842</v>
      </c>
      <c r="Y772" s="408" t="str">
        <f aca="false">IF(AND(pos_z&lt;=0,K771&gt;0),"Impact balistique","") &amp; IF(AND(H773&lt;0,vit_z&gt;=0),"Apogée","") &amp; IF(AND(Poussee=0,Q771&gt;0),"Fin de propulsion","") &amp; IF(AND(L773&gt;L_rampe,pos_xz&lt;=L_rampe),"Sortie de rampe","")</f>
        <v/>
      </c>
      <c r="Z772" s="402" t="str">
        <f aca="false">IF(ABS(t-T_para)&lt;pas/2,"Para","")</f>
        <v/>
      </c>
      <c r="AA772" s="403" t="str">
        <f aca="false">IF(ABS(t-T_satellite)&lt;pas/2,"Satellite","")</f>
        <v/>
      </c>
      <c r="AC772" s="399" t="e">
        <f aca="false">IF(ABS(t-ROUND(t,0))&lt;0.001,t,NA())</f>
        <v>#N/A</v>
      </c>
      <c r="AD772" s="404" t="e">
        <f aca="false">IF(ABS(t-ROUND(t,0))&lt;0.001,pos_x,NA())</f>
        <v>#N/A</v>
      </c>
      <c r="AE772" s="405" t="e">
        <f aca="false">IF(t&lt;T_para, pos_z, NA())</f>
        <v>#N/A</v>
      </c>
      <c r="AG772" s="396" t="n">
        <f aca="false">IF(AND(L771&lt;L_rampe,Poussee&lt;Poids*SIN(M771)),0,(-W771+Poussee)/m-Poids*SIN(M771)/m)</f>
        <v>2.41382502561368</v>
      </c>
      <c r="AH772" s="397" t="n">
        <f aca="false">IF(AND(L771&lt;L_rampe,Poussee&lt;Poids*SIN(M771)), g*SIN(M771), (-W771+Poussee)/m)</f>
        <v>-7.34802694263669</v>
      </c>
    </row>
    <row r="773" customFormat="false" ht="12.75" hidden="false" customHeight="false" outlineLevel="0" collapsed="false">
      <c r="A773" s="396" t="n">
        <f aca="false">IF(B772+0.01&lt;=T_ini+ROUNDUP(Temps_fin_propu,0), 0.01, IF(K772&gt;0, 0.1, 0.0001))</f>
        <v>0.0001</v>
      </c>
      <c r="B773" s="397" t="n">
        <f aca="false">B772+pas</f>
        <v>32.1268000000011</v>
      </c>
      <c r="D773" s="396" t="n">
        <f aca="false">IF(AND(L772&lt;L_rampe,Poussee&lt;Poids*SIN(M772)),0,(-W772+Poussee)/m*COS(M772)-U772/m*SIN(M772))</f>
        <v>-0.727119206968146</v>
      </c>
      <c r="E773" s="398" t="n">
        <f aca="false">IF(AND(L772&lt;L_rampe,Poussee&lt;Poids*SIN(M772)),0,(-W772+Poussee)/m*SIN(M772)+U772/m*COS(M772)-Poids/m)</f>
        <v>-2.49799810582579</v>
      </c>
      <c r="F773" s="397" t="n">
        <f aca="false">SQRT(acc_x^2+acc_z^2)</f>
        <v>2.60167193893681</v>
      </c>
      <c r="G773" s="396" t="n">
        <f aca="false">G772+acc_x*pas</f>
        <v>11.4778126126662</v>
      </c>
      <c r="H773" s="398" t="n">
        <f aca="false">H772+acc_z*pas</f>
        <v>-115.423303447973</v>
      </c>
      <c r="I773" s="397" t="n">
        <f aca="false">SQRT(vit_x^2+vit_z^2)</f>
        <v>115.99258235428</v>
      </c>
      <c r="J773" s="396" t="n">
        <f aca="false">J772+0.5*(vit_x+G772)*pas*(K772&gt;=0)</f>
        <v>690.928492655337</v>
      </c>
      <c r="K773" s="398" t="n">
        <f aca="false">K772+0.5*(vit_z+H772)*pas</f>
        <v>-11.6970510077742</v>
      </c>
      <c r="L773" s="397" t="n">
        <f aca="false">SQRT(pos_x^2+pos_z^2)</f>
        <v>691.027497980547</v>
      </c>
      <c r="M773" s="396" t="n">
        <f aca="false">IF(AND(L772&gt;L_rampe,G773&gt;0),ATAN2(G773,H773),$M$4)</f>
        <v>-1.47168113681722</v>
      </c>
      <c r="N773" s="397" t="n">
        <f aca="false">DEGREES(Beta)</f>
        <v>-84.321117928642</v>
      </c>
      <c r="P773" s="399" t="n">
        <f aca="false">MATCH(t-pas/2-T_ini,CdP_t)</f>
        <v>23</v>
      </c>
      <c r="Q773" s="397" t="n">
        <f aca="false">(INDEX(CdP,2,i_P+1)-INDEX(CdP,2,i_P+0))/(INDEX(CdP,1,i_P+1)-INDEX(CdP,1,i_P+0))*(t-pas/2-T_ini-INDEX(CdP,1,i_P+0))+INDEX(CdP,2,i_P+0)</f>
        <v>0</v>
      </c>
      <c r="R773" s="396" t="n">
        <f aca="false">Poussee/(g*ISP)</f>
        <v>0</v>
      </c>
      <c r="S773" s="398" t="n">
        <f aca="false">S772-Débit*pas</f>
        <v>8.45</v>
      </c>
      <c r="T773" s="397" t="n">
        <f aca="false">m*g</f>
        <v>82.8945</v>
      </c>
      <c r="U773" s="400" t="n">
        <f aca="false">IF(pos_xz&lt;L_rampe,Poids*COS(Beta),0)</f>
        <v>0</v>
      </c>
      <c r="V773" s="396" t="n">
        <f aca="false">Rho_moyen*(20000-Alt_rampe-pos_z)/(20000+Alt_rampe+pos_z)</f>
        <v>1.2264337272675</v>
      </c>
      <c r="W773" s="397" t="n">
        <f aca="false">1/2*Rho*Sref*Cx*vit_xz^2</f>
        <v>62.0914878483652</v>
      </c>
      <c r="Y773" s="408" t="str">
        <f aca="false">IF(AND(pos_z&lt;=0,K772&gt;0),"Impact balistique","") &amp; IF(AND(H774&lt;0,vit_z&gt;=0),"Apogée","") &amp; IF(AND(Poussee=0,Q772&gt;0),"Fin de propulsion","") &amp; IF(AND(L774&gt;L_rampe,pos_xz&lt;=L_rampe),"Sortie de rampe","")</f>
        <v/>
      </c>
      <c r="Z773" s="402" t="str">
        <f aca="false">IF(ABS(t-T_para)&lt;pas/2,"Para","")</f>
        <v/>
      </c>
      <c r="AA773" s="403" t="str">
        <f aca="false">IF(ABS(t-T_satellite)&lt;pas/2,"Satellite","")</f>
        <v/>
      </c>
      <c r="AC773" s="399" t="e">
        <f aca="false">IF(ABS(t-ROUND(t,0))&lt;0.001,t,NA())</f>
        <v>#N/A</v>
      </c>
      <c r="AD773" s="404" t="e">
        <f aca="false">IF(ABS(t-ROUND(t,0))&lt;0.001,pos_x,NA())</f>
        <v>#N/A</v>
      </c>
      <c r="AE773" s="405" t="e">
        <f aca="false">IF(t&lt;T_para, pos_z, NA())</f>
        <v>#N/A</v>
      </c>
      <c r="AG773" s="396" t="n">
        <f aca="false">IF(AND(L772&lt;L_rampe,Poussee&lt;Poids*SIN(M772)),0,(-W772+Poussee)/m-Poids*SIN(M772)/m)</f>
        <v>2.41378677378227</v>
      </c>
      <c r="AH773" s="397" t="n">
        <f aca="false">IF(AND(L772&lt;L_rampe,Poussee&lt;Poids*SIN(M772)), g*SIN(M772), (-W772+Poussee)/m)</f>
        <v>-7.3480660068857</v>
      </c>
    </row>
    <row r="774" customFormat="false" ht="12.75" hidden="false" customHeight="false" outlineLevel="0" collapsed="false">
      <c r="A774" s="396" t="n">
        <f aca="false">IF(B773+0.01&lt;=T_ini+ROUNDUP(Temps_fin_propu,0), 0.01, IF(K773&gt;0, 0.1, 0.0001))</f>
        <v>0.0001</v>
      </c>
      <c r="B774" s="397" t="n">
        <f aca="false">B773+pas</f>
        <v>32.1269000000011</v>
      </c>
      <c r="D774" s="396" t="n">
        <f aca="false">IF(AND(L773&lt;L_rampe,Poussee&lt;Poids*SIN(M773)),0,(-W773+Poussee)/m*COS(M773)-U773/m*SIN(M773))</f>
        <v>-0.727116953076921</v>
      </c>
      <c r="E774" s="398" t="n">
        <f aca="false">IF(AND(L773&lt;L_rampe,Poussee&lt;Poids*SIN(M773)),0,(-W773+Poussee)/m*SIN(M773)+U773/m*COS(M773)-Poids/m)</f>
        <v>-2.49795862510012</v>
      </c>
      <c r="F774" s="397" t="n">
        <f aca="false">SQRT(acc_x^2+acc_z^2)</f>
        <v>2.60163340156985</v>
      </c>
      <c r="G774" s="396" t="n">
        <f aca="false">G773+acc_x*pas</f>
        <v>11.4777399009709</v>
      </c>
      <c r="H774" s="398" t="n">
        <f aca="false">H773+acc_z*pas</f>
        <v>-115.423553243836</v>
      </c>
      <c r="I774" s="397" t="n">
        <f aca="false">SQRT(vit_x^2+vit_z^2)</f>
        <v>115.992823729173</v>
      </c>
      <c r="J774" s="396" t="n">
        <f aca="false">J773+0.5*(vit_x+G773)*pas*(K773&gt;=0)</f>
        <v>690.928492655337</v>
      </c>
      <c r="K774" s="398" t="n">
        <f aca="false">K773+0.5*(vit_z+H773)*pas</f>
        <v>-11.7085933506088</v>
      </c>
      <c r="L774" s="397" t="n">
        <f aca="false">SQRT(pos_x^2+pos_z^2)</f>
        <v>691.02769345463</v>
      </c>
      <c r="M774" s="396" t="n">
        <f aca="false">IF(AND(L773&gt;L_rampe,G774&gt;0),ATAN2(G774,H774),$M$4)</f>
        <v>-1.47168197370418</v>
      </c>
      <c r="N774" s="397" t="n">
        <f aca="false">DEGREES(Beta)</f>
        <v>-84.3211658787326</v>
      </c>
      <c r="P774" s="399" t="n">
        <f aca="false">MATCH(t-pas/2-T_ini,CdP_t)</f>
        <v>23</v>
      </c>
      <c r="Q774" s="397" t="n">
        <f aca="false">(INDEX(CdP,2,i_P+1)-INDEX(CdP,2,i_P+0))/(INDEX(CdP,1,i_P+1)-INDEX(CdP,1,i_P+0))*(t-pas/2-T_ini-INDEX(CdP,1,i_P+0))+INDEX(CdP,2,i_P+0)</f>
        <v>0</v>
      </c>
      <c r="R774" s="396" t="n">
        <f aca="false">Poussee/(g*ISP)</f>
        <v>0</v>
      </c>
      <c r="S774" s="398" t="n">
        <f aca="false">S773-Débit*pas</f>
        <v>8.45</v>
      </c>
      <c r="T774" s="397" t="n">
        <f aca="false">m*g</f>
        <v>82.8945</v>
      </c>
      <c r="U774" s="400" t="n">
        <f aca="false">IF(pos_xz&lt;L_rampe,Poids*COS(Beta),0)</f>
        <v>0</v>
      </c>
      <c r="V774" s="396" t="n">
        <f aca="false">Rho_moyen*(20000-Alt_rampe-pos_z)/(20000+Alt_rampe+pos_z)</f>
        <v>1.22643514286066</v>
      </c>
      <c r="W774" s="397" t="n">
        <f aca="false">1/2*Rho*Sref*Cx*vit_xz^2</f>
        <v>62.0918179358232</v>
      </c>
      <c r="Y774" s="408" t="str">
        <f aca="false">IF(AND(pos_z&lt;=0,K773&gt;0),"Impact balistique","") &amp; IF(AND(H775&lt;0,vit_z&gt;=0),"Apogée","") &amp; IF(AND(Poussee=0,Q773&gt;0),"Fin de propulsion","") &amp; IF(AND(L775&gt;L_rampe,pos_xz&lt;=L_rampe),"Sortie de rampe","")</f>
        <v/>
      </c>
      <c r="Z774" s="402" t="str">
        <f aca="false">IF(ABS(t-T_para)&lt;pas/2,"Para","")</f>
        <v/>
      </c>
      <c r="AA774" s="403" t="str">
        <f aca="false">IF(ABS(t-T_satellite)&lt;pas/2,"Satellite","")</f>
        <v/>
      </c>
      <c r="AC774" s="399" t="e">
        <f aca="false">IF(ABS(t-ROUND(t,0))&lt;0.001,t,NA())</f>
        <v>#N/A</v>
      </c>
      <c r="AD774" s="404" t="e">
        <f aca="false">IF(ABS(t-ROUND(t,0))&lt;0.001,pos_x,NA())</f>
        <v>#N/A</v>
      </c>
      <c r="AE774" s="405" t="e">
        <f aca="false">IF(t&lt;T_para, pos_z, NA())</f>
        <v>#N/A</v>
      </c>
      <c r="AG774" s="396" t="n">
        <f aca="false">IF(AND(L773&lt;L_rampe,Poussee&lt;Poids*SIN(M773)),0,(-W773+Poussee)/m-Poids*SIN(M773)/m)</f>
        <v>2.41374852225774</v>
      </c>
      <c r="AH774" s="397" t="n">
        <f aca="false">IF(AND(L773&lt;L_rampe,Poussee&lt;Poids*SIN(M773)), g*SIN(M773), (-W773+Poussee)/m)</f>
        <v>-7.34810507081245</v>
      </c>
    </row>
    <row r="775" customFormat="false" ht="12.75" hidden="false" customHeight="false" outlineLevel="0" collapsed="false">
      <c r="A775" s="396" t="n">
        <f aca="false">IF(B774+0.01&lt;=T_ini+ROUNDUP(Temps_fin_propu,0), 0.01, IF(K774&gt;0, 0.1, 0.0001))</f>
        <v>0.0001</v>
      </c>
      <c r="B775" s="397" t="n">
        <f aca="false">B774+pas</f>
        <v>32.1270000000011</v>
      </c>
      <c r="D775" s="396" t="n">
        <f aca="false">IF(AND(L774&lt;L_rampe,Poussee&lt;Poids*SIN(M774)),0,(-W774+Poussee)/m*COS(M774)-U774/m*SIN(M774))</f>
        <v>-0.727114699152469</v>
      </c>
      <c r="E775" s="398" t="n">
        <f aca="false">IF(AND(L774&lt;L_rampe,Poussee&lt;Poids*SIN(M774)),0,(-W774+Poussee)/m*SIN(M774)+U774/m*COS(M774)-Poids/m)</f>
        <v>-2.49791914470015</v>
      </c>
      <c r="F775" s="397" t="n">
        <f aca="false">SQRT(acc_x^2+acc_z^2)</f>
        <v>2.60159486453658</v>
      </c>
      <c r="G775" s="396" t="n">
        <f aca="false">G774+acc_x*pas</f>
        <v>11.477667189501</v>
      </c>
      <c r="H775" s="398" t="n">
        <f aca="false">H774+acc_z*pas</f>
        <v>-115.42380303575</v>
      </c>
      <c r="I775" s="397" t="n">
        <f aca="false">SQRT(vit_x^2+vit_z^2)</f>
        <v>115.99306510024</v>
      </c>
      <c r="J775" s="396" t="n">
        <f aca="false">J774+0.5*(vit_x+G774)*pas*(K774&gt;=0)</f>
        <v>690.928492655337</v>
      </c>
      <c r="K775" s="398" t="n">
        <f aca="false">K774+0.5*(vit_z+H774)*pas</f>
        <v>-11.7201357184227</v>
      </c>
      <c r="L775" s="397" t="n">
        <f aca="false">SQRT(pos_x^2+pos_z^2)</f>
        <v>691.027889121875</v>
      </c>
      <c r="M775" s="396" t="n">
        <f aca="false">IF(AND(L774&gt;L_rampe,G775&gt;0),ATAN2(G775,H775),$M$4)</f>
        <v>-1.47168281058235</v>
      </c>
      <c r="N775" s="397" t="n">
        <f aca="false">DEGREES(Beta)</f>
        <v>-84.3212138283198</v>
      </c>
      <c r="P775" s="399" t="n">
        <f aca="false">MATCH(t-pas/2-T_ini,CdP_t)</f>
        <v>23</v>
      </c>
      <c r="Q775" s="397" t="n">
        <f aca="false">(INDEX(CdP,2,i_P+1)-INDEX(CdP,2,i_P+0))/(INDEX(CdP,1,i_P+1)-INDEX(CdP,1,i_P+0))*(t-pas/2-T_ini-INDEX(CdP,1,i_P+0))+INDEX(CdP,2,i_P+0)</f>
        <v>0</v>
      </c>
      <c r="R775" s="396" t="n">
        <f aca="false">Poussee/(g*ISP)</f>
        <v>0</v>
      </c>
      <c r="S775" s="398" t="n">
        <f aca="false">S774-Débit*pas</f>
        <v>8.45</v>
      </c>
      <c r="T775" s="397" t="n">
        <f aca="false">m*g</f>
        <v>82.8945</v>
      </c>
      <c r="U775" s="400" t="n">
        <f aca="false">IF(pos_xz&lt;L_rampe,Poids*COS(Beta),0)</f>
        <v>0</v>
      </c>
      <c r="V775" s="396" t="n">
        <f aca="false">Rho_moyen*(20000-Alt_rampe-pos_z)/(20000+Alt_rampe+pos_z)</f>
        <v>1.22643655845851</v>
      </c>
      <c r="W775" s="397" t="n">
        <f aca="false">1/2*Rho*Sref*Cx*vit_xz^2</f>
        <v>62.0921480205582</v>
      </c>
      <c r="Y775" s="408" t="str">
        <f aca="false">IF(AND(pos_z&lt;=0,K774&gt;0),"Impact balistique","") &amp; IF(AND(H776&lt;0,vit_z&gt;=0),"Apogée","") &amp; IF(AND(Poussee=0,Q774&gt;0),"Fin de propulsion","") &amp; IF(AND(L776&gt;L_rampe,pos_xz&lt;=L_rampe),"Sortie de rampe","")</f>
        <v/>
      </c>
      <c r="Z775" s="402" t="str">
        <f aca="false">IF(ABS(t-T_para)&lt;pas/2,"Para","")</f>
        <v/>
      </c>
      <c r="AA775" s="403" t="str">
        <f aca="false">IF(ABS(t-T_satellite)&lt;pas/2,"Satellite","")</f>
        <v/>
      </c>
      <c r="AC775" s="399" t="e">
        <f aca="false">IF(ABS(t-ROUND(t,0))&lt;0.001,t,NA())</f>
        <v>#N/A</v>
      </c>
      <c r="AD775" s="404" t="e">
        <f aca="false">IF(ABS(t-ROUND(t,0))&lt;0.001,pos_x,NA())</f>
        <v>#N/A</v>
      </c>
      <c r="AE775" s="405" t="e">
        <f aca="false">IF(t&lt;T_para, pos_z, NA())</f>
        <v>#N/A</v>
      </c>
      <c r="AG775" s="396" t="n">
        <f aca="false">IF(AND(L774&lt;L_rampe,Poussee&lt;Poids*SIN(M774)),0,(-W774+Poussee)/m-Poids*SIN(M774)/m)</f>
        <v>2.41371027104011</v>
      </c>
      <c r="AH775" s="397" t="n">
        <f aca="false">IF(AND(L774&lt;L_rampe,Poussee&lt;Poids*SIN(M774)), g*SIN(M774), (-W774+Poussee)/m)</f>
        <v>-7.34814413441695</v>
      </c>
    </row>
    <row r="776" customFormat="false" ht="12.75" hidden="false" customHeight="false" outlineLevel="0" collapsed="false">
      <c r="A776" s="396" t="n">
        <f aca="false">IF(B775+0.01&lt;=T_ini+ROUNDUP(Temps_fin_propu,0), 0.01, IF(K775&gt;0, 0.1, 0.0001))</f>
        <v>0.0001</v>
      </c>
      <c r="B776" s="397" t="n">
        <f aca="false">B775+pas</f>
        <v>32.1271000000011</v>
      </c>
      <c r="D776" s="396" t="n">
        <f aca="false">IF(AND(L775&lt;L_rampe,Poussee&lt;Poids*SIN(M775)),0,(-W775+Poussee)/m*COS(M775)-U775/m*SIN(M775))</f>
        <v>-0.727112445194792</v>
      </c>
      <c r="E776" s="398" t="n">
        <f aca="false">IF(AND(L775&lt;L_rampe,Poussee&lt;Poids*SIN(M775)),0,(-W775+Poussee)/m*SIN(M775)+U775/m*COS(M775)-Poids/m)</f>
        <v>-2.49787966462589</v>
      </c>
      <c r="F776" s="397" t="n">
        <f aca="false">SQRT(acc_x^2+acc_z^2)</f>
        <v>2.60155632783699</v>
      </c>
      <c r="G776" s="396" t="n">
        <f aca="false">G775+acc_x*pas</f>
        <v>11.4775944782565</v>
      </c>
      <c r="H776" s="398" t="n">
        <f aca="false">H775+acc_z*pas</f>
        <v>-115.424052823717</v>
      </c>
      <c r="I776" s="397" t="n">
        <f aca="false">SQRT(vit_x^2+vit_z^2)</f>
        <v>115.993306467483</v>
      </c>
      <c r="J776" s="396" t="n">
        <f aca="false">J775+0.5*(vit_x+G775)*pas*(K775&gt;=0)</f>
        <v>690.928492655337</v>
      </c>
      <c r="K776" s="398" t="n">
        <f aca="false">K775+0.5*(vit_z+H775)*pas</f>
        <v>-11.7316781112157</v>
      </c>
      <c r="L776" s="397" t="n">
        <f aca="false">SQRT(pos_x^2+pos_z^2)</f>
        <v>691.028084982283</v>
      </c>
      <c r="M776" s="396" t="n">
        <f aca="false">IF(AND(L775&gt;L_rampe,G776&gt;0),ATAN2(G776,H776),$M$4)</f>
        <v>-1.47168364745174</v>
      </c>
      <c r="N776" s="397" t="n">
        <f aca="false">DEGREES(Beta)</f>
        <v>-84.3212617774037</v>
      </c>
      <c r="P776" s="399" t="n">
        <f aca="false">MATCH(t-pas/2-T_ini,CdP_t)</f>
        <v>23</v>
      </c>
      <c r="Q776" s="397" t="n">
        <f aca="false">(INDEX(CdP,2,i_P+1)-INDEX(CdP,2,i_P+0))/(INDEX(CdP,1,i_P+1)-INDEX(CdP,1,i_P+0))*(t-pas/2-T_ini-INDEX(CdP,1,i_P+0))+INDEX(CdP,2,i_P+0)</f>
        <v>0</v>
      </c>
      <c r="R776" s="396" t="n">
        <f aca="false">Poussee/(g*ISP)</f>
        <v>0</v>
      </c>
      <c r="S776" s="398" t="n">
        <f aca="false">S775-Débit*pas</f>
        <v>8.45</v>
      </c>
      <c r="T776" s="397" t="n">
        <f aca="false">m*g</f>
        <v>82.8945</v>
      </c>
      <c r="U776" s="400" t="n">
        <f aca="false">IF(pos_xz&lt;L_rampe,Poids*COS(Beta),0)</f>
        <v>0</v>
      </c>
      <c r="V776" s="396" t="n">
        <f aca="false">Rho_moyen*(20000-Alt_rampe-pos_z)/(20000+Alt_rampe+pos_z)</f>
        <v>1.22643797406107</v>
      </c>
      <c r="W776" s="397" t="n">
        <f aca="false">1/2*Rho*Sref*Cx*vit_xz^2</f>
        <v>62.09247810257</v>
      </c>
      <c r="Y776" s="408" t="str">
        <f aca="false">IF(AND(pos_z&lt;=0,K775&gt;0),"Impact balistique","") &amp; IF(AND(H777&lt;0,vit_z&gt;=0),"Apogée","") &amp; IF(AND(Poussee=0,Q775&gt;0),"Fin de propulsion","") &amp; IF(AND(L777&gt;L_rampe,pos_xz&lt;=L_rampe),"Sortie de rampe","")</f>
        <v/>
      </c>
      <c r="Z776" s="402" t="str">
        <f aca="false">IF(ABS(t-T_para)&lt;pas/2,"Para","")</f>
        <v/>
      </c>
      <c r="AA776" s="403" t="str">
        <f aca="false">IF(ABS(t-T_satellite)&lt;pas/2,"Satellite","")</f>
        <v/>
      </c>
      <c r="AC776" s="399" t="e">
        <f aca="false">IF(ABS(t-ROUND(t,0))&lt;0.001,t,NA())</f>
        <v>#N/A</v>
      </c>
      <c r="AD776" s="404" t="e">
        <f aca="false">IF(ABS(t-ROUND(t,0))&lt;0.001,pos_x,NA())</f>
        <v>#N/A</v>
      </c>
      <c r="AE776" s="405" t="e">
        <f aca="false">IF(t&lt;T_para, pos_z, NA())</f>
        <v>#N/A</v>
      </c>
      <c r="AG776" s="396" t="n">
        <f aca="false">IF(AND(L775&lt;L_rampe,Poussee&lt;Poids*SIN(M775)),0,(-W775+Poussee)/m-Poids*SIN(M775)/m)</f>
        <v>2.41367202012937</v>
      </c>
      <c r="AH776" s="397" t="n">
        <f aca="false">IF(AND(L775&lt;L_rampe,Poussee&lt;Poids*SIN(M775)), g*SIN(M775), (-W775+Poussee)/m)</f>
        <v>-7.34818319769919</v>
      </c>
    </row>
    <row r="777" customFormat="false" ht="12.75" hidden="false" customHeight="false" outlineLevel="0" collapsed="false">
      <c r="A777" s="396" t="n">
        <f aca="false">IF(B776+0.01&lt;=T_ini+ROUNDUP(Temps_fin_propu,0), 0.01, IF(K776&gt;0, 0.1, 0.0001))</f>
        <v>0.0001</v>
      </c>
      <c r="B777" s="397" t="n">
        <f aca="false">B776+pas</f>
        <v>32.1272000000011</v>
      </c>
      <c r="D777" s="396" t="n">
        <f aca="false">IF(AND(L776&lt;L_rampe,Poussee&lt;Poids*SIN(M776)),0,(-W776+Poussee)/m*COS(M776)-U776/m*SIN(M776))</f>
        <v>-0.72711019120389</v>
      </c>
      <c r="E777" s="398" t="n">
        <f aca="false">IF(AND(L776&lt;L_rampe,Poussee&lt;Poids*SIN(M776)),0,(-W776+Poussee)/m*SIN(M776)+U776/m*COS(M776)-Poids/m)</f>
        <v>-2.49784018487735</v>
      </c>
      <c r="F777" s="397" t="n">
        <f aca="false">SQRT(acc_x^2+acc_z^2)</f>
        <v>2.6015177914711</v>
      </c>
      <c r="G777" s="396" t="n">
        <f aca="false">G776+acc_x*pas</f>
        <v>11.4775217672373</v>
      </c>
      <c r="H777" s="398" t="n">
        <f aca="false">H776+acc_z*pas</f>
        <v>-115.424302607735</v>
      </c>
      <c r="I777" s="397" t="n">
        <f aca="false">SQRT(vit_x^2+vit_z^2)</f>
        <v>115.993547830901</v>
      </c>
      <c r="J777" s="396" t="n">
        <f aca="false">J776+0.5*(vit_x+G776)*pas*(K776&gt;=0)</f>
        <v>690.928492655337</v>
      </c>
      <c r="K777" s="398" t="n">
        <f aca="false">K776+0.5*(vit_z+H776)*pas</f>
        <v>-11.7432205289873</v>
      </c>
      <c r="L777" s="397" t="n">
        <f aca="false">SQRT(pos_x^2+pos_z^2)</f>
        <v>691.028281035855</v>
      </c>
      <c r="M777" s="396" t="n">
        <f aca="false">IF(AND(L776&gt;L_rampe,G777&gt;0),ATAN2(G777,H777),$M$4)</f>
        <v>-1.47168448431234</v>
      </c>
      <c r="N777" s="397" t="n">
        <f aca="false">DEGREES(Beta)</f>
        <v>-84.3213097259843</v>
      </c>
      <c r="P777" s="399" t="n">
        <f aca="false">MATCH(t-pas/2-T_ini,CdP_t)</f>
        <v>23</v>
      </c>
      <c r="Q777" s="397" t="n">
        <f aca="false">(INDEX(CdP,2,i_P+1)-INDEX(CdP,2,i_P+0))/(INDEX(CdP,1,i_P+1)-INDEX(CdP,1,i_P+0))*(t-pas/2-T_ini-INDEX(CdP,1,i_P+0))+INDEX(CdP,2,i_P+0)</f>
        <v>0</v>
      </c>
      <c r="R777" s="396" t="n">
        <f aca="false">Poussee/(g*ISP)</f>
        <v>0</v>
      </c>
      <c r="S777" s="398" t="n">
        <f aca="false">S776-Débit*pas</f>
        <v>8.45</v>
      </c>
      <c r="T777" s="397" t="n">
        <f aca="false">m*g</f>
        <v>82.8945</v>
      </c>
      <c r="U777" s="400" t="n">
        <f aca="false">IF(pos_xz&lt;L_rampe,Poids*COS(Beta),0)</f>
        <v>0</v>
      </c>
      <c r="V777" s="396" t="n">
        <f aca="false">Rho_moyen*(20000-Alt_rampe-pos_z)/(20000+Alt_rampe+pos_z)</f>
        <v>1.22643938966832</v>
      </c>
      <c r="W777" s="397" t="n">
        <f aca="false">1/2*Rho*Sref*Cx*vit_xz^2</f>
        <v>62.0928081818588</v>
      </c>
      <c r="Y777" s="408" t="str">
        <f aca="false">IF(AND(pos_z&lt;=0,K776&gt;0),"Impact balistique","") &amp; IF(AND(H778&lt;0,vit_z&gt;=0),"Apogée","") &amp; IF(AND(Poussee=0,Q776&gt;0),"Fin de propulsion","") &amp; IF(AND(L778&gt;L_rampe,pos_xz&lt;=L_rampe),"Sortie de rampe","")</f>
        <v/>
      </c>
      <c r="Z777" s="402" t="str">
        <f aca="false">IF(ABS(t-T_para)&lt;pas/2,"Para","")</f>
        <v/>
      </c>
      <c r="AA777" s="403" t="str">
        <f aca="false">IF(ABS(t-T_satellite)&lt;pas/2,"Satellite","")</f>
        <v/>
      </c>
      <c r="AC777" s="399" t="e">
        <f aca="false">IF(ABS(t-ROUND(t,0))&lt;0.001,t,NA())</f>
        <v>#N/A</v>
      </c>
      <c r="AD777" s="404" t="e">
        <f aca="false">IF(ABS(t-ROUND(t,0))&lt;0.001,pos_x,NA())</f>
        <v>#N/A</v>
      </c>
      <c r="AE777" s="405" t="e">
        <f aca="false">IF(t&lt;T_para, pos_z, NA())</f>
        <v>#N/A</v>
      </c>
      <c r="AG777" s="396" t="n">
        <f aca="false">IF(AND(L776&lt;L_rampe,Poussee&lt;Poids*SIN(M776)),0,(-W776+Poussee)/m-Poids*SIN(M776)/m)</f>
        <v>2.41363376952552</v>
      </c>
      <c r="AH777" s="397" t="n">
        <f aca="false">IF(AND(L776&lt;L_rampe,Poussee&lt;Poids*SIN(M776)), g*SIN(M776), (-W776+Poussee)/m)</f>
        <v>-7.34822226065918</v>
      </c>
    </row>
    <row r="778" customFormat="false" ht="12.75" hidden="false" customHeight="false" outlineLevel="0" collapsed="false">
      <c r="A778" s="396" t="n">
        <f aca="false">IF(B777+0.01&lt;=T_ini+ROUNDUP(Temps_fin_propu,0), 0.01, IF(K777&gt;0, 0.1, 0.0001))</f>
        <v>0.0001</v>
      </c>
      <c r="B778" s="397" t="n">
        <f aca="false">B777+pas</f>
        <v>32.1273000000011</v>
      </c>
      <c r="D778" s="396" t="n">
        <f aca="false">IF(AND(L777&lt;L_rampe,Poussee&lt;Poids*SIN(M777)),0,(-W777+Poussee)/m*COS(M777)-U777/m*SIN(M777))</f>
        <v>-0.727107937179765</v>
      </c>
      <c r="E778" s="398" t="n">
        <f aca="false">IF(AND(L777&lt;L_rampe,Poussee&lt;Poids*SIN(M777)),0,(-W777+Poussee)/m*SIN(M777)+U777/m*COS(M777)-Poids/m)</f>
        <v>-2.49780070545453</v>
      </c>
      <c r="F778" s="397" t="n">
        <f aca="false">SQRT(acc_x^2+acc_z^2)</f>
        <v>2.6014792554389</v>
      </c>
      <c r="G778" s="396" t="n">
        <f aca="false">G777+acc_x*pas</f>
        <v>11.4774490564436</v>
      </c>
      <c r="H778" s="398" t="n">
        <f aca="false">H777+acc_z*pas</f>
        <v>-115.424552387806</v>
      </c>
      <c r="I778" s="397" t="n">
        <f aca="false">SQRT(vit_x^2+vit_z^2)</f>
        <v>115.993789190493</v>
      </c>
      <c r="J778" s="396" t="n">
        <f aca="false">J777+0.5*(vit_x+G777)*pas*(K777&gt;=0)</f>
        <v>690.928492655337</v>
      </c>
      <c r="K778" s="398" t="n">
        <f aca="false">K777+0.5*(vit_z+H777)*pas</f>
        <v>-11.7547629717371</v>
      </c>
      <c r="L778" s="397" t="n">
        <f aca="false">SQRT(pos_x^2+pos_z^2)</f>
        <v>691.028477282592</v>
      </c>
      <c r="M778" s="396" t="n">
        <f aca="false">IF(AND(L777&gt;L_rampe,G778&gt;0),ATAN2(G778,H778),$M$4)</f>
        <v>-1.47168532116416</v>
      </c>
      <c r="N778" s="397" t="n">
        <f aca="false">DEGREES(Beta)</f>
        <v>-84.3213576740616</v>
      </c>
      <c r="P778" s="399" t="n">
        <f aca="false">MATCH(t-pas/2-T_ini,CdP_t)</f>
        <v>23</v>
      </c>
      <c r="Q778" s="397" t="n">
        <f aca="false">(INDEX(CdP,2,i_P+1)-INDEX(CdP,2,i_P+0))/(INDEX(CdP,1,i_P+1)-INDEX(CdP,1,i_P+0))*(t-pas/2-T_ini-INDEX(CdP,1,i_P+0))+INDEX(CdP,2,i_P+0)</f>
        <v>0</v>
      </c>
      <c r="R778" s="396" t="n">
        <f aca="false">Poussee/(g*ISP)</f>
        <v>0</v>
      </c>
      <c r="S778" s="398" t="n">
        <f aca="false">S777-Débit*pas</f>
        <v>8.45</v>
      </c>
      <c r="T778" s="397" t="n">
        <f aca="false">m*g</f>
        <v>82.8945</v>
      </c>
      <c r="U778" s="400" t="n">
        <f aca="false">IF(pos_xz&lt;L_rampe,Poids*COS(Beta),0)</f>
        <v>0</v>
      </c>
      <c r="V778" s="396" t="n">
        <f aca="false">Rho_moyen*(20000-Alt_rampe-pos_z)/(20000+Alt_rampe+pos_z)</f>
        <v>1.22644080528027</v>
      </c>
      <c r="W778" s="397" t="n">
        <f aca="false">1/2*Rho*Sref*Cx*vit_xz^2</f>
        <v>62.0931382584245</v>
      </c>
      <c r="Y778" s="408" t="str">
        <f aca="false">IF(AND(pos_z&lt;=0,K777&gt;0),"Impact balistique","") &amp; IF(AND(H779&lt;0,vit_z&gt;=0),"Apogée","") &amp; IF(AND(Poussee=0,Q777&gt;0),"Fin de propulsion","") &amp; IF(AND(L779&gt;L_rampe,pos_xz&lt;=L_rampe),"Sortie de rampe","")</f>
        <v/>
      </c>
      <c r="Z778" s="402" t="str">
        <f aca="false">IF(ABS(t-T_para)&lt;pas/2,"Para","")</f>
        <v/>
      </c>
      <c r="AA778" s="403" t="str">
        <f aca="false">IF(ABS(t-T_satellite)&lt;pas/2,"Satellite","")</f>
        <v/>
      </c>
      <c r="AC778" s="399" t="e">
        <f aca="false">IF(ABS(t-ROUND(t,0))&lt;0.001,t,NA())</f>
        <v>#N/A</v>
      </c>
      <c r="AD778" s="404" t="e">
        <f aca="false">IF(ABS(t-ROUND(t,0))&lt;0.001,pos_x,NA())</f>
        <v>#N/A</v>
      </c>
      <c r="AE778" s="405" t="e">
        <f aca="false">IF(t&lt;T_para, pos_z, NA())</f>
        <v>#N/A</v>
      </c>
      <c r="AG778" s="396" t="n">
        <f aca="false">IF(AND(L777&lt;L_rampe,Poussee&lt;Poids*SIN(M777)),0,(-W777+Poussee)/m-Poids*SIN(M777)/m)</f>
        <v>2.41359551922856</v>
      </c>
      <c r="AH778" s="397" t="n">
        <f aca="false">IF(AND(L777&lt;L_rampe,Poussee&lt;Poids*SIN(M777)), g*SIN(M777), (-W777+Poussee)/m)</f>
        <v>-7.3482613232969</v>
      </c>
    </row>
    <row r="779" customFormat="false" ht="12.75" hidden="false" customHeight="false" outlineLevel="0" collapsed="false">
      <c r="A779" s="396" t="n">
        <f aca="false">IF(B778+0.01&lt;=T_ini+ROUNDUP(Temps_fin_propu,0), 0.01, IF(K778&gt;0, 0.1, 0.0001))</f>
        <v>0.0001</v>
      </c>
      <c r="B779" s="397" t="n">
        <f aca="false">B778+pas</f>
        <v>32.1274000000011</v>
      </c>
      <c r="D779" s="396" t="n">
        <f aca="false">IF(AND(L778&lt;L_rampe,Poussee&lt;Poids*SIN(M778)),0,(-W778+Poussee)/m*COS(M778)-U778/m*SIN(M778))</f>
        <v>-0.727105683122417</v>
      </c>
      <c r="E779" s="398" t="n">
        <f aca="false">IF(AND(L778&lt;L_rampe,Poussee&lt;Poids*SIN(M778)),0,(-W778+Poussee)/m*SIN(M778)+U778/m*COS(M778)-Poids/m)</f>
        <v>-2.49776122635742</v>
      </c>
      <c r="F779" s="397" t="n">
        <f aca="false">SQRT(acc_x^2+acc_z^2)</f>
        <v>2.60144071974039</v>
      </c>
      <c r="G779" s="396" t="n">
        <f aca="false">G778+acc_x*pas</f>
        <v>11.4773763458753</v>
      </c>
      <c r="H779" s="398" t="n">
        <f aca="false">H778+acc_z*pas</f>
        <v>-115.424802163928</v>
      </c>
      <c r="I779" s="397" t="n">
        <f aca="false">SQRT(vit_x^2+vit_z^2)</f>
        <v>115.994030546261</v>
      </c>
      <c r="J779" s="396" t="n">
        <f aca="false">J778+0.5*(vit_x+G778)*pas*(K778&gt;=0)</f>
        <v>690.928492655337</v>
      </c>
      <c r="K779" s="398" t="n">
        <f aca="false">K778+0.5*(vit_z+H778)*pas</f>
        <v>-11.7663054394646</v>
      </c>
      <c r="L779" s="397" t="n">
        <f aca="false">SQRT(pos_x^2+pos_z^2)</f>
        <v>691.028673722495</v>
      </c>
      <c r="M779" s="396" t="n">
        <f aca="false">IF(AND(L778&gt;L_rampe,G779&gt;0),ATAN2(G779,H779),$M$4)</f>
        <v>-1.4716861580072</v>
      </c>
      <c r="N779" s="397" t="n">
        <f aca="false">DEGREES(Beta)</f>
        <v>-84.3214056216356</v>
      </c>
      <c r="P779" s="399" t="n">
        <f aca="false">MATCH(t-pas/2-T_ini,CdP_t)</f>
        <v>23</v>
      </c>
      <c r="Q779" s="397" t="n">
        <f aca="false">(INDEX(CdP,2,i_P+1)-INDEX(CdP,2,i_P+0))/(INDEX(CdP,1,i_P+1)-INDEX(CdP,1,i_P+0))*(t-pas/2-T_ini-INDEX(CdP,1,i_P+0))+INDEX(CdP,2,i_P+0)</f>
        <v>0</v>
      </c>
      <c r="R779" s="396" t="n">
        <f aca="false">Poussee/(g*ISP)</f>
        <v>0</v>
      </c>
      <c r="S779" s="398" t="n">
        <f aca="false">S778-Débit*pas</f>
        <v>8.45</v>
      </c>
      <c r="T779" s="397" t="n">
        <f aca="false">m*g</f>
        <v>82.8945</v>
      </c>
      <c r="U779" s="400" t="n">
        <f aca="false">IF(pos_xz&lt;L_rampe,Poids*COS(Beta),0)</f>
        <v>0</v>
      </c>
      <c r="V779" s="396" t="n">
        <f aca="false">Rho_moyen*(20000-Alt_rampe-pos_z)/(20000+Alt_rampe+pos_z)</f>
        <v>1.22644222089691</v>
      </c>
      <c r="W779" s="397" t="n">
        <f aca="false">1/2*Rho*Sref*Cx*vit_xz^2</f>
        <v>62.0934683322672</v>
      </c>
      <c r="Y779" s="408" t="str">
        <f aca="false">IF(AND(pos_z&lt;=0,K778&gt;0),"Impact balistique","") &amp; IF(AND(H780&lt;0,vit_z&gt;=0),"Apogée","") &amp; IF(AND(Poussee=0,Q778&gt;0),"Fin de propulsion","") &amp; IF(AND(L780&gt;L_rampe,pos_xz&lt;=L_rampe),"Sortie de rampe","")</f>
        <v/>
      </c>
      <c r="Z779" s="402" t="str">
        <f aca="false">IF(ABS(t-T_para)&lt;pas/2,"Para","")</f>
        <v/>
      </c>
      <c r="AA779" s="403" t="str">
        <f aca="false">IF(ABS(t-T_satellite)&lt;pas/2,"Satellite","")</f>
        <v/>
      </c>
      <c r="AC779" s="399" t="e">
        <f aca="false">IF(ABS(t-ROUND(t,0))&lt;0.001,t,NA())</f>
        <v>#N/A</v>
      </c>
      <c r="AD779" s="404" t="e">
        <f aca="false">IF(ABS(t-ROUND(t,0))&lt;0.001,pos_x,NA())</f>
        <v>#N/A</v>
      </c>
      <c r="AE779" s="405" t="e">
        <f aca="false">IF(t&lt;T_para, pos_z, NA())</f>
        <v>#N/A</v>
      </c>
      <c r="AG779" s="396" t="n">
        <f aca="false">IF(AND(L778&lt;L_rampe,Poussee&lt;Poids*SIN(M778)),0,(-W778+Poussee)/m-Poids*SIN(M778)/m)</f>
        <v>2.4135572692385</v>
      </c>
      <c r="AH779" s="397" t="n">
        <f aca="false">IF(AND(L778&lt;L_rampe,Poussee&lt;Poids*SIN(M778)), g*SIN(M778), (-W778+Poussee)/m)</f>
        <v>-7.34830038561237</v>
      </c>
    </row>
    <row r="780" customFormat="false" ht="12.75" hidden="false" customHeight="false" outlineLevel="0" collapsed="false">
      <c r="A780" s="396" t="n">
        <f aca="false">IF(B779+0.01&lt;=T_ini+ROUNDUP(Temps_fin_propu,0), 0.01, IF(K779&gt;0, 0.1, 0.0001))</f>
        <v>0.0001</v>
      </c>
      <c r="B780" s="397" t="n">
        <f aca="false">B779+pas</f>
        <v>32.1275000000011</v>
      </c>
      <c r="D780" s="396" t="n">
        <f aca="false">IF(AND(L779&lt;L_rampe,Poussee&lt;Poids*SIN(M779)),0,(-W779+Poussee)/m*COS(M779)-U779/m*SIN(M779))</f>
        <v>-0.727103429031847</v>
      </c>
      <c r="E780" s="398" t="n">
        <f aca="false">IF(AND(L779&lt;L_rampe,Poussee&lt;Poids*SIN(M779)),0,(-W779+Poussee)/m*SIN(M779)+U779/m*COS(M779)-Poids/m)</f>
        <v>-2.49772174758602</v>
      </c>
      <c r="F780" s="397" t="n">
        <f aca="false">SQRT(acc_x^2+acc_z^2)</f>
        <v>2.60140218437558</v>
      </c>
      <c r="G780" s="396" t="n">
        <f aca="false">G779+acc_x*pas</f>
        <v>11.4773036355324</v>
      </c>
      <c r="H780" s="398" t="n">
        <f aca="false">H779+acc_z*pas</f>
        <v>-115.425051936103</v>
      </c>
      <c r="I780" s="397" t="n">
        <f aca="false">SQRT(vit_x^2+vit_z^2)</f>
        <v>115.994271898203</v>
      </c>
      <c r="J780" s="396" t="n">
        <f aca="false">J779+0.5*(vit_x+G779)*pas*(K779&gt;=0)</f>
        <v>690.928492655337</v>
      </c>
      <c r="K780" s="398" t="n">
        <f aca="false">K779+0.5*(vit_z+H779)*pas</f>
        <v>-11.7778479321696</v>
      </c>
      <c r="L780" s="397" t="n">
        <f aca="false">SQRT(pos_x^2+pos_z^2)</f>
        <v>691.028870355566</v>
      </c>
      <c r="M780" s="396" t="n">
        <f aca="false">IF(AND(L779&gt;L_rampe,G780&gt;0),ATAN2(G780,H780),$M$4)</f>
        <v>-1.47168699484145</v>
      </c>
      <c r="N780" s="397" t="n">
        <f aca="false">DEGREES(Beta)</f>
        <v>-84.3214535687064</v>
      </c>
      <c r="P780" s="399" t="n">
        <f aca="false">MATCH(t-pas/2-T_ini,CdP_t)</f>
        <v>23</v>
      </c>
      <c r="Q780" s="397" t="n">
        <f aca="false">(INDEX(CdP,2,i_P+1)-INDEX(CdP,2,i_P+0))/(INDEX(CdP,1,i_P+1)-INDEX(CdP,1,i_P+0))*(t-pas/2-T_ini-INDEX(CdP,1,i_P+0))+INDEX(CdP,2,i_P+0)</f>
        <v>0</v>
      </c>
      <c r="R780" s="396" t="n">
        <f aca="false">Poussee/(g*ISP)</f>
        <v>0</v>
      </c>
      <c r="S780" s="398" t="n">
        <f aca="false">S779-Débit*pas</f>
        <v>8.45</v>
      </c>
      <c r="T780" s="397" t="n">
        <f aca="false">m*g</f>
        <v>82.8945</v>
      </c>
      <c r="U780" s="400" t="n">
        <f aca="false">IF(pos_xz&lt;L_rampe,Poids*COS(Beta),0)</f>
        <v>0</v>
      </c>
      <c r="V780" s="396" t="n">
        <f aca="false">Rho_moyen*(20000-Alt_rampe-pos_z)/(20000+Alt_rampe+pos_z)</f>
        <v>1.22644363651826</v>
      </c>
      <c r="W780" s="397" t="n">
        <f aca="false">1/2*Rho*Sref*Cx*vit_xz^2</f>
        <v>62.0937984033867</v>
      </c>
      <c r="Y780" s="408" t="str">
        <f aca="false">IF(AND(pos_z&lt;=0,K779&gt;0),"Impact balistique","") &amp; IF(AND(H781&lt;0,vit_z&gt;=0),"Apogée","") &amp; IF(AND(Poussee=0,Q779&gt;0),"Fin de propulsion","") &amp; IF(AND(L781&gt;L_rampe,pos_xz&lt;=L_rampe),"Sortie de rampe","")</f>
        <v/>
      </c>
      <c r="Z780" s="402" t="str">
        <f aca="false">IF(ABS(t-T_para)&lt;pas/2,"Para","")</f>
        <v/>
      </c>
      <c r="AA780" s="403" t="str">
        <f aca="false">IF(ABS(t-T_satellite)&lt;pas/2,"Satellite","")</f>
        <v/>
      </c>
      <c r="AC780" s="399" t="e">
        <f aca="false">IF(ABS(t-ROUND(t,0))&lt;0.001,t,NA())</f>
        <v>#N/A</v>
      </c>
      <c r="AD780" s="404" t="e">
        <f aca="false">IF(ABS(t-ROUND(t,0))&lt;0.001,pos_x,NA())</f>
        <v>#N/A</v>
      </c>
      <c r="AE780" s="405" t="e">
        <f aca="false">IF(t&lt;T_para, pos_z, NA())</f>
        <v>#N/A</v>
      </c>
      <c r="AG780" s="396" t="n">
        <f aca="false">IF(AND(L779&lt;L_rampe,Poussee&lt;Poids*SIN(M779)),0,(-W779+Poussee)/m-Poids*SIN(M779)/m)</f>
        <v>2.41351901955533</v>
      </c>
      <c r="AH780" s="397" t="n">
        <f aca="false">IF(AND(L779&lt;L_rampe,Poussee&lt;Poids*SIN(M779)), g*SIN(M779), (-W779+Poussee)/m)</f>
        <v>-7.34833944760559</v>
      </c>
    </row>
    <row r="781" customFormat="false" ht="12.75" hidden="false" customHeight="false" outlineLevel="0" collapsed="false">
      <c r="A781" s="396" t="n">
        <f aca="false">IF(B780+0.01&lt;=T_ini+ROUNDUP(Temps_fin_propu,0), 0.01, IF(K780&gt;0, 0.1, 0.0001))</f>
        <v>0.0001</v>
      </c>
      <c r="B781" s="397" t="n">
        <f aca="false">B780+pas</f>
        <v>32.1276000000011</v>
      </c>
      <c r="D781" s="396" t="n">
        <f aca="false">IF(AND(L780&lt;L_rampe,Poussee&lt;Poids*SIN(M780)),0,(-W780+Poussee)/m*COS(M780)-U780/m*SIN(M780))</f>
        <v>-0.727101174908054</v>
      </c>
      <c r="E781" s="398" t="n">
        <f aca="false">IF(AND(L780&lt;L_rampe,Poussee&lt;Poids*SIN(M780)),0,(-W780+Poussee)/m*SIN(M780)+U780/m*COS(M780)-Poids/m)</f>
        <v>-2.49768226914034</v>
      </c>
      <c r="F781" s="397" t="n">
        <f aca="false">SQRT(acc_x^2+acc_z^2)</f>
        <v>2.60136364934446</v>
      </c>
      <c r="G781" s="396" t="n">
        <f aca="false">G780+acc_x*pas</f>
        <v>11.4772309254149</v>
      </c>
      <c r="H781" s="398" t="n">
        <f aca="false">H780+acc_z*pas</f>
        <v>-115.42530170433</v>
      </c>
      <c r="I781" s="397" t="n">
        <f aca="false">SQRT(vit_x^2+vit_z^2)</f>
        <v>115.994513246321</v>
      </c>
      <c r="J781" s="396" t="n">
        <f aca="false">J780+0.5*(vit_x+G780)*pas*(K780&gt;=0)</f>
        <v>690.928492655337</v>
      </c>
      <c r="K781" s="398" t="n">
        <f aca="false">K780+0.5*(vit_z+H780)*pas</f>
        <v>-11.7893904498517</v>
      </c>
      <c r="L781" s="397" t="n">
        <f aca="false">SQRT(pos_x^2+pos_z^2)</f>
        <v>691.029067181804</v>
      </c>
      <c r="M781" s="396" t="n">
        <f aca="false">IF(AND(L780&gt;L_rampe,G781&gt;0),ATAN2(G781,H781),$M$4)</f>
        <v>-1.47168783166692</v>
      </c>
      <c r="N781" s="397" t="n">
        <f aca="false">DEGREES(Beta)</f>
        <v>-84.3215015152738</v>
      </c>
      <c r="P781" s="399" t="n">
        <f aca="false">MATCH(t-pas/2-T_ini,CdP_t)</f>
        <v>23</v>
      </c>
      <c r="Q781" s="397" t="n">
        <f aca="false">(INDEX(CdP,2,i_P+1)-INDEX(CdP,2,i_P+0))/(INDEX(CdP,1,i_P+1)-INDEX(CdP,1,i_P+0))*(t-pas/2-T_ini-INDEX(CdP,1,i_P+0))+INDEX(CdP,2,i_P+0)</f>
        <v>0</v>
      </c>
      <c r="R781" s="396" t="n">
        <f aca="false">Poussee/(g*ISP)</f>
        <v>0</v>
      </c>
      <c r="S781" s="398" t="n">
        <f aca="false">S780-Débit*pas</f>
        <v>8.45</v>
      </c>
      <c r="T781" s="397" t="n">
        <f aca="false">m*g</f>
        <v>82.8945</v>
      </c>
      <c r="U781" s="400" t="n">
        <f aca="false">IF(pos_xz&lt;L_rampe,Poids*COS(Beta),0)</f>
        <v>0</v>
      </c>
      <c r="V781" s="396" t="n">
        <f aca="false">Rho_moyen*(20000-Alt_rampe-pos_z)/(20000+Alt_rampe+pos_z)</f>
        <v>1.2264450521443</v>
      </c>
      <c r="W781" s="397" t="n">
        <f aca="false">1/2*Rho*Sref*Cx*vit_xz^2</f>
        <v>62.0941284717832</v>
      </c>
      <c r="Y781" s="408" t="str">
        <f aca="false">IF(AND(pos_z&lt;=0,K780&gt;0),"Impact balistique","") &amp; IF(AND(H782&lt;0,vit_z&gt;=0),"Apogée","") &amp; IF(AND(Poussee=0,Q780&gt;0),"Fin de propulsion","") &amp; IF(AND(L782&gt;L_rampe,pos_xz&lt;=L_rampe),"Sortie de rampe","")</f>
        <v/>
      </c>
      <c r="Z781" s="402" t="str">
        <f aca="false">IF(ABS(t-T_para)&lt;pas/2,"Para","")</f>
        <v/>
      </c>
      <c r="AA781" s="403" t="str">
        <f aca="false">IF(ABS(t-T_satellite)&lt;pas/2,"Satellite","")</f>
        <v/>
      </c>
      <c r="AC781" s="399" t="e">
        <f aca="false">IF(ABS(t-ROUND(t,0))&lt;0.001,t,NA())</f>
        <v>#N/A</v>
      </c>
      <c r="AD781" s="404" t="e">
        <f aca="false">IF(ABS(t-ROUND(t,0))&lt;0.001,pos_x,NA())</f>
        <v>#N/A</v>
      </c>
      <c r="AE781" s="405" t="e">
        <f aca="false">IF(t&lt;T_para, pos_z, NA())</f>
        <v>#N/A</v>
      </c>
      <c r="AG781" s="396" t="n">
        <f aca="false">IF(AND(L780&lt;L_rampe,Poussee&lt;Poids*SIN(M780)),0,(-W780+Poussee)/m-Poids*SIN(M780)/m)</f>
        <v>2.41348077017906</v>
      </c>
      <c r="AH781" s="397" t="n">
        <f aca="false">IF(AND(L780&lt;L_rampe,Poussee&lt;Poids*SIN(M780)), g*SIN(M780), (-W780+Poussee)/m)</f>
        <v>-7.34837850927654</v>
      </c>
    </row>
    <row r="782" customFormat="false" ht="12.75" hidden="false" customHeight="false" outlineLevel="0" collapsed="false">
      <c r="A782" s="396" t="n">
        <f aca="false">IF(B781+0.01&lt;=T_ini+ROUNDUP(Temps_fin_propu,0), 0.01, IF(K781&gt;0, 0.1, 0.0001))</f>
        <v>0.0001</v>
      </c>
      <c r="B782" s="397" t="n">
        <f aca="false">B781+pas</f>
        <v>32.1277000000011</v>
      </c>
      <c r="D782" s="396" t="n">
        <f aca="false">IF(AND(L781&lt;L_rampe,Poussee&lt;Poids*SIN(M781)),0,(-W781+Poussee)/m*COS(M781)-U781/m*SIN(M781))</f>
        <v>-0.727098920751042</v>
      </c>
      <c r="E782" s="398" t="n">
        <f aca="false">IF(AND(L781&lt;L_rampe,Poussee&lt;Poids*SIN(M781)),0,(-W781+Poussee)/m*SIN(M781)+U781/m*COS(M781)-Poids/m)</f>
        <v>-2.49764279102037</v>
      </c>
      <c r="F782" s="397" t="n">
        <f aca="false">SQRT(acc_x^2+acc_z^2)</f>
        <v>2.60132511464703</v>
      </c>
      <c r="G782" s="396" t="n">
        <f aca="false">G781+acc_x*pas</f>
        <v>11.4771582155228</v>
      </c>
      <c r="H782" s="398" t="n">
        <f aca="false">H781+acc_z*pas</f>
        <v>-115.425551468609</v>
      </c>
      <c r="I782" s="397" t="n">
        <f aca="false">SQRT(vit_x^2+vit_z^2)</f>
        <v>115.994754590614</v>
      </c>
      <c r="J782" s="396" t="n">
        <f aca="false">J781+0.5*(vit_x+G781)*pas*(K781&gt;=0)</f>
        <v>690.928492655337</v>
      </c>
      <c r="K782" s="398" t="n">
        <f aca="false">K781+0.5*(vit_z+H781)*pas</f>
        <v>-11.8009329925103</v>
      </c>
      <c r="L782" s="397" t="n">
        <f aca="false">SQRT(pos_x^2+pos_z^2)</f>
        <v>691.029264201213</v>
      </c>
      <c r="M782" s="396" t="n">
        <f aca="false">IF(AND(L781&gt;L_rampe,G782&gt;0),ATAN2(G782,H782),$M$4)</f>
        <v>-1.4716886684836</v>
      </c>
      <c r="N782" s="397" t="n">
        <f aca="false">DEGREES(Beta)</f>
        <v>-84.321549461338</v>
      </c>
      <c r="P782" s="399" t="n">
        <f aca="false">MATCH(t-pas/2-T_ini,CdP_t)</f>
        <v>23</v>
      </c>
      <c r="Q782" s="397" t="n">
        <f aca="false">(INDEX(CdP,2,i_P+1)-INDEX(CdP,2,i_P+0))/(INDEX(CdP,1,i_P+1)-INDEX(CdP,1,i_P+0))*(t-pas/2-T_ini-INDEX(CdP,1,i_P+0))+INDEX(CdP,2,i_P+0)</f>
        <v>0</v>
      </c>
      <c r="R782" s="396" t="n">
        <f aca="false">Poussee/(g*ISP)</f>
        <v>0</v>
      </c>
      <c r="S782" s="398" t="n">
        <f aca="false">S781-Débit*pas</f>
        <v>8.45</v>
      </c>
      <c r="T782" s="397" t="n">
        <f aca="false">m*g</f>
        <v>82.8945</v>
      </c>
      <c r="U782" s="400" t="n">
        <f aca="false">IF(pos_xz&lt;L_rampe,Poids*COS(Beta),0)</f>
        <v>0</v>
      </c>
      <c r="V782" s="396" t="n">
        <f aca="false">Rho_moyen*(20000-Alt_rampe-pos_z)/(20000+Alt_rampe+pos_z)</f>
        <v>1.22644646777505</v>
      </c>
      <c r="W782" s="397" t="n">
        <f aca="false">1/2*Rho*Sref*Cx*vit_xz^2</f>
        <v>62.0944585374566</v>
      </c>
      <c r="Y782" s="408" t="str">
        <f aca="false">IF(AND(pos_z&lt;=0,K781&gt;0),"Impact balistique","") &amp; IF(AND(H783&lt;0,vit_z&gt;=0),"Apogée","") &amp; IF(AND(Poussee=0,Q781&gt;0),"Fin de propulsion","") &amp; IF(AND(L783&gt;L_rampe,pos_xz&lt;=L_rampe),"Sortie de rampe","")</f>
        <v/>
      </c>
      <c r="Z782" s="402" t="str">
        <f aca="false">IF(ABS(t-T_para)&lt;pas/2,"Para","")</f>
        <v/>
      </c>
      <c r="AA782" s="403" t="str">
        <f aca="false">IF(ABS(t-T_satellite)&lt;pas/2,"Satellite","")</f>
        <v/>
      </c>
      <c r="AC782" s="399" t="e">
        <f aca="false">IF(ABS(t-ROUND(t,0))&lt;0.001,t,NA())</f>
        <v>#N/A</v>
      </c>
      <c r="AD782" s="404" t="e">
        <f aca="false">IF(ABS(t-ROUND(t,0))&lt;0.001,pos_x,NA())</f>
        <v>#N/A</v>
      </c>
      <c r="AE782" s="405" t="e">
        <f aca="false">IF(t&lt;T_para, pos_z, NA())</f>
        <v>#N/A</v>
      </c>
      <c r="AG782" s="396" t="n">
        <f aca="false">IF(AND(L781&lt;L_rampe,Poussee&lt;Poids*SIN(M781)),0,(-W781+Poussee)/m-Poids*SIN(M781)/m)</f>
        <v>2.41344252110969</v>
      </c>
      <c r="AH782" s="397" t="n">
        <f aca="false">IF(AND(L781&lt;L_rampe,Poussee&lt;Poids*SIN(M781)), g*SIN(M781), (-W781+Poussee)/m)</f>
        <v>-7.34841757062523</v>
      </c>
    </row>
    <row r="783" customFormat="false" ht="12.75" hidden="false" customHeight="false" outlineLevel="0" collapsed="false">
      <c r="A783" s="396" t="n">
        <f aca="false">IF(B782+0.01&lt;=T_ini+ROUNDUP(Temps_fin_propu,0), 0.01, IF(K782&gt;0, 0.1, 0.0001))</f>
        <v>0.0001</v>
      </c>
      <c r="B783" s="397" t="n">
        <f aca="false">B782+pas</f>
        <v>32.1278000000011</v>
      </c>
      <c r="D783" s="396" t="n">
        <f aca="false">IF(AND(L782&lt;L_rampe,Poussee&lt;Poids*SIN(M782)),0,(-W782+Poussee)/m*COS(M782)-U782/m*SIN(M782))</f>
        <v>-0.727096666560809</v>
      </c>
      <c r="E783" s="398" t="n">
        <f aca="false">IF(AND(L782&lt;L_rampe,Poussee&lt;Poids*SIN(M782)),0,(-W782+Poussee)/m*SIN(M782)+U782/m*COS(M782)-Poids/m)</f>
        <v>-2.49760331322613</v>
      </c>
      <c r="F783" s="397" t="n">
        <f aca="false">SQRT(acc_x^2+acc_z^2)</f>
        <v>2.60128658028329</v>
      </c>
      <c r="G783" s="396" t="n">
        <f aca="false">G782+acc_x*pas</f>
        <v>11.4770855058562</v>
      </c>
      <c r="H783" s="398" t="n">
        <f aca="false">H782+acc_z*pas</f>
        <v>-115.42580122894</v>
      </c>
      <c r="I783" s="397" t="n">
        <f aca="false">SQRT(vit_x^2+vit_z^2)</f>
        <v>115.994995931081</v>
      </c>
      <c r="J783" s="396" t="n">
        <f aca="false">J782+0.5*(vit_x+G782)*pas*(K782&gt;=0)</f>
        <v>690.928492655337</v>
      </c>
      <c r="K783" s="398" t="n">
        <f aca="false">K782+0.5*(vit_z+H782)*pas</f>
        <v>-11.8124755601452</v>
      </c>
      <c r="L783" s="397" t="n">
        <f aca="false">SQRT(pos_x^2+pos_z^2)</f>
        <v>691.029461413792</v>
      </c>
      <c r="M783" s="396" t="n">
        <f aca="false">IF(AND(L782&gt;L_rampe,G783&gt;0),ATAN2(G783,H783),$M$4)</f>
        <v>-1.4716895052915</v>
      </c>
      <c r="N783" s="397" t="n">
        <f aca="false">DEGREES(Beta)</f>
        <v>-84.321597406899</v>
      </c>
      <c r="P783" s="399" t="n">
        <f aca="false">MATCH(t-pas/2-T_ini,CdP_t)</f>
        <v>23</v>
      </c>
      <c r="Q783" s="397" t="n">
        <f aca="false">(INDEX(CdP,2,i_P+1)-INDEX(CdP,2,i_P+0))/(INDEX(CdP,1,i_P+1)-INDEX(CdP,1,i_P+0))*(t-pas/2-T_ini-INDEX(CdP,1,i_P+0))+INDEX(CdP,2,i_P+0)</f>
        <v>0</v>
      </c>
      <c r="R783" s="396" t="n">
        <f aca="false">Poussee/(g*ISP)</f>
        <v>0</v>
      </c>
      <c r="S783" s="398" t="n">
        <f aca="false">S782-Débit*pas</f>
        <v>8.45</v>
      </c>
      <c r="T783" s="397" t="n">
        <f aca="false">m*g</f>
        <v>82.8945</v>
      </c>
      <c r="U783" s="400" t="n">
        <f aca="false">IF(pos_xz&lt;L_rampe,Poids*COS(Beta),0)</f>
        <v>0</v>
      </c>
      <c r="V783" s="396" t="n">
        <f aca="false">Rho_moyen*(20000-Alt_rampe-pos_z)/(20000+Alt_rampe+pos_z)</f>
        <v>1.22644788341049</v>
      </c>
      <c r="W783" s="397" t="n">
        <f aca="false">1/2*Rho*Sref*Cx*vit_xz^2</f>
        <v>62.0947886004069</v>
      </c>
      <c r="Y783" s="408" t="str">
        <f aca="false">IF(AND(pos_z&lt;=0,K782&gt;0),"Impact balistique","") &amp; IF(AND(H784&lt;0,vit_z&gt;=0),"Apogée","") &amp; IF(AND(Poussee=0,Q782&gt;0),"Fin de propulsion","") &amp; IF(AND(L784&gt;L_rampe,pos_xz&lt;=L_rampe),"Sortie de rampe","")</f>
        <v/>
      </c>
      <c r="Z783" s="402" t="str">
        <f aca="false">IF(ABS(t-T_para)&lt;pas/2,"Para","")</f>
        <v/>
      </c>
      <c r="AA783" s="403" t="str">
        <f aca="false">IF(ABS(t-T_satellite)&lt;pas/2,"Satellite","")</f>
        <v/>
      </c>
      <c r="AC783" s="399" t="e">
        <f aca="false">IF(ABS(t-ROUND(t,0))&lt;0.001,t,NA())</f>
        <v>#N/A</v>
      </c>
      <c r="AD783" s="404" t="e">
        <f aca="false">IF(ABS(t-ROUND(t,0))&lt;0.001,pos_x,NA())</f>
        <v>#N/A</v>
      </c>
      <c r="AE783" s="405" t="e">
        <f aca="false">IF(t&lt;T_para, pos_z, NA())</f>
        <v>#N/A</v>
      </c>
      <c r="AG783" s="396" t="n">
        <f aca="false">IF(AND(L782&lt;L_rampe,Poussee&lt;Poids*SIN(M782)),0,(-W782+Poussee)/m-Poids*SIN(M782)/m)</f>
        <v>2.41340427234721</v>
      </c>
      <c r="AH783" s="397" t="n">
        <f aca="false">IF(AND(L782&lt;L_rampe,Poussee&lt;Poids*SIN(M782)), g*SIN(M782), (-W782+Poussee)/m)</f>
        <v>-7.34845663165167</v>
      </c>
    </row>
    <row r="784" customFormat="false" ht="12.75" hidden="false" customHeight="false" outlineLevel="0" collapsed="false">
      <c r="A784" s="396" t="n">
        <f aca="false">IF(B783+0.01&lt;=T_ini+ROUNDUP(Temps_fin_propu,0), 0.01, IF(K783&gt;0, 0.1, 0.0001))</f>
        <v>0.0001</v>
      </c>
      <c r="B784" s="397" t="n">
        <f aca="false">B783+pas</f>
        <v>32.1279000000011</v>
      </c>
      <c r="D784" s="396" t="n">
        <f aca="false">IF(AND(L783&lt;L_rampe,Poussee&lt;Poids*SIN(M783)),0,(-W783+Poussee)/m*COS(M783)-U783/m*SIN(M783))</f>
        <v>-0.727094412337359</v>
      </c>
      <c r="E784" s="398" t="n">
        <f aca="false">IF(AND(L783&lt;L_rampe,Poussee&lt;Poids*SIN(M783)),0,(-W783+Poussee)/m*SIN(M783)+U783/m*COS(M783)-Poids/m)</f>
        <v>-2.4975638357576</v>
      </c>
      <c r="F784" s="397" t="n">
        <f aca="false">SQRT(acc_x^2+acc_z^2)</f>
        <v>2.60124804625326</v>
      </c>
      <c r="G784" s="396" t="n">
        <f aca="false">G783+acc_x*pas</f>
        <v>11.477012796415</v>
      </c>
      <c r="H784" s="398" t="n">
        <f aca="false">H783+acc_z*pas</f>
        <v>-115.426050985324</v>
      </c>
      <c r="I784" s="397" t="n">
        <f aca="false">SQRT(vit_x^2+vit_z^2)</f>
        <v>115.995237267724</v>
      </c>
      <c r="J784" s="396" t="n">
        <f aca="false">J783+0.5*(vit_x+G783)*pas*(K783&gt;=0)</f>
        <v>690.928492655337</v>
      </c>
      <c r="K784" s="398" t="n">
        <f aca="false">K783+0.5*(vit_z+H783)*pas</f>
        <v>-11.8240181527559</v>
      </c>
      <c r="L784" s="397" t="n">
        <f aca="false">SQRT(pos_x^2+pos_z^2)</f>
        <v>691.029658819542</v>
      </c>
      <c r="M784" s="396" t="n">
        <f aca="false">IF(AND(L783&gt;L_rampe,G784&gt;0),ATAN2(G784,H784),$M$4)</f>
        <v>-1.47169034209062</v>
      </c>
      <c r="N784" s="397" t="n">
        <f aca="false">DEGREES(Beta)</f>
        <v>-84.3216453519566</v>
      </c>
      <c r="P784" s="399" t="n">
        <f aca="false">MATCH(t-pas/2-T_ini,CdP_t)</f>
        <v>23</v>
      </c>
      <c r="Q784" s="397" t="n">
        <f aca="false">(INDEX(CdP,2,i_P+1)-INDEX(CdP,2,i_P+0))/(INDEX(CdP,1,i_P+1)-INDEX(CdP,1,i_P+0))*(t-pas/2-T_ini-INDEX(CdP,1,i_P+0))+INDEX(CdP,2,i_P+0)</f>
        <v>0</v>
      </c>
      <c r="R784" s="396" t="n">
        <f aca="false">Poussee/(g*ISP)</f>
        <v>0</v>
      </c>
      <c r="S784" s="398" t="n">
        <f aca="false">S783-Débit*pas</f>
        <v>8.45</v>
      </c>
      <c r="T784" s="397" t="n">
        <f aca="false">m*g</f>
        <v>82.8945</v>
      </c>
      <c r="U784" s="400" t="n">
        <f aca="false">IF(pos_xz&lt;L_rampe,Poids*COS(Beta),0)</f>
        <v>0</v>
      </c>
      <c r="V784" s="396" t="n">
        <f aca="false">Rho_moyen*(20000-Alt_rampe-pos_z)/(20000+Alt_rampe+pos_z)</f>
        <v>1.22644929905063</v>
      </c>
      <c r="W784" s="397" t="n">
        <f aca="false">1/2*Rho*Sref*Cx*vit_xz^2</f>
        <v>62.0951186606341</v>
      </c>
      <c r="Y784" s="408" t="str">
        <f aca="false">IF(AND(pos_z&lt;=0,K783&gt;0),"Impact balistique","") &amp; IF(AND(H785&lt;0,vit_z&gt;=0),"Apogée","") &amp; IF(AND(Poussee=0,Q783&gt;0),"Fin de propulsion","") &amp; IF(AND(L785&gt;L_rampe,pos_xz&lt;=L_rampe),"Sortie de rampe","")</f>
        <v/>
      </c>
      <c r="Z784" s="402" t="str">
        <f aca="false">IF(ABS(t-T_para)&lt;pas/2,"Para","")</f>
        <v/>
      </c>
      <c r="AA784" s="403" t="str">
        <f aca="false">IF(ABS(t-T_satellite)&lt;pas/2,"Satellite","")</f>
        <v/>
      </c>
      <c r="AC784" s="399" t="e">
        <f aca="false">IF(ABS(t-ROUND(t,0))&lt;0.001,t,NA())</f>
        <v>#N/A</v>
      </c>
      <c r="AD784" s="404" t="e">
        <f aca="false">IF(ABS(t-ROUND(t,0))&lt;0.001,pos_x,NA())</f>
        <v>#N/A</v>
      </c>
      <c r="AE784" s="405" t="e">
        <f aca="false">IF(t&lt;T_para, pos_z, NA())</f>
        <v>#N/A</v>
      </c>
      <c r="AG784" s="396" t="n">
        <f aca="false">IF(AND(L783&lt;L_rampe,Poussee&lt;Poids*SIN(M783)),0,(-W783+Poussee)/m-Poids*SIN(M783)/m)</f>
        <v>2.41336602389163</v>
      </c>
      <c r="AH784" s="397" t="n">
        <f aca="false">IF(AND(L783&lt;L_rampe,Poussee&lt;Poids*SIN(M783)), g*SIN(M783), (-W783+Poussee)/m)</f>
        <v>-7.34849569235584</v>
      </c>
    </row>
    <row r="785" customFormat="false" ht="12.75" hidden="false" customHeight="false" outlineLevel="0" collapsed="false">
      <c r="A785" s="396" t="n">
        <f aca="false">IF(B784+0.01&lt;=T_ini+ROUNDUP(Temps_fin_propu,0), 0.01, IF(K784&gt;0, 0.1, 0.0001))</f>
        <v>0.0001</v>
      </c>
      <c r="B785" s="397" t="n">
        <f aca="false">B784+pas</f>
        <v>32.1280000000011</v>
      </c>
      <c r="D785" s="396" t="n">
        <f aca="false">IF(AND(L784&lt;L_rampe,Poussee&lt;Poids*SIN(M784)),0,(-W784+Poussee)/m*COS(M784)-U784/m*SIN(M784))</f>
        <v>-0.72709215808069</v>
      </c>
      <c r="E785" s="398" t="n">
        <f aca="false">IF(AND(L784&lt;L_rampe,Poussee&lt;Poids*SIN(M784)),0,(-W784+Poussee)/m*SIN(M784)+U784/m*COS(M784)-Poids/m)</f>
        <v>-2.49752435861478</v>
      </c>
      <c r="F785" s="397" t="n">
        <f aca="false">SQRT(acc_x^2+acc_z^2)</f>
        <v>2.60120951255692</v>
      </c>
      <c r="G785" s="396" t="n">
        <f aca="false">G784+acc_x*pas</f>
        <v>11.4769400871991</v>
      </c>
      <c r="H785" s="398" t="n">
        <f aca="false">H784+acc_z*pas</f>
        <v>-115.42630073776</v>
      </c>
      <c r="I785" s="397" t="n">
        <f aca="false">SQRT(vit_x^2+vit_z^2)</f>
        <v>115.995478600543</v>
      </c>
      <c r="J785" s="396" t="n">
        <f aca="false">J784+0.5*(vit_x+G784)*pas*(K784&gt;=0)</f>
        <v>690.928492655337</v>
      </c>
      <c r="K785" s="398" t="n">
        <f aca="false">K784+0.5*(vit_z+H784)*pas</f>
        <v>-11.8355607703421</v>
      </c>
      <c r="L785" s="397" t="n">
        <f aca="false">SQRT(pos_x^2+pos_z^2)</f>
        <v>691.029856418465</v>
      </c>
      <c r="M785" s="396" t="n">
        <f aca="false">IF(AND(L784&gt;L_rampe,G785&gt;0),ATAN2(G785,H785),$M$4)</f>
        <v>-1.47169117888095</v>
      </c>
      <c r="N785" s="397" t="n">
        <f aca="false">DEGREES(Beta)</f>
        <v>-84.3216932965111</v>
      </c>
      <c r="P785" s="399" t="n">
        <f aca="false">MATCH(t-pas/2-T_ini,CdP_t)</f>
        <v>23</v>
      </c>
      <c r="Q785" s="397" t="n">
        <f aca="false">(INDEX(CdP,2,i_P+1)-INDEX(CdP,2,i_P+0))/(INDEX(CdP,1,i_P+1)-INDEX(CdP,1,i_P+0))*(t-pas/2-T_ini-INDEX(CdP,1,i_P+0))+INDEX(CdP,2,i_P+0)</f>
        <v>0</v>
      </c>
      <c r="R785" s="396" t="n">
        <f aca="false">Poussee/(g*ISP)</f>
        <v>0</v>
      </c>
      <c r="S785" s="398" t="n">
        <f aca="false">S784-Débit*pas</f>
        <v>8.45</v>
      </c>
      <c r="T785" s="397" t="n">
        <f aca="false">m*g</f>
        <v>82.8945</v>
      </c>
      <c r="U785" s="400" t="n">
        <f aca="false">IF(pos_xz&lt;L_rampe,Poids*COS(Beta),0)</f>
        <v>0</v>
      </c>
      <c r="V785" s="396" t="n">
        <f aca="false">Rho_moyen*(20000-Alt_rampe-pos_z)/(20000+Alt_rampe+pos_z)</f>
        <v>1.22645071469546</v>
      </c>
      <c r="W785" s="397" t="n">
        <f aca="false">1/2*Rho*Sref*Cx*vit_xz^2</f>
        <v>62.0954487181382</v>
      </c>
      <c r="Y785" s="408" t="str">
        <f aca="false">IF(AND(pos_z&lt;=0,K784&gt;0),"Impact balistique","") &amp; IF(AND(H786&lt;0,vit_z&gt;=0),"Apogée","") &amp; IF(AND(Poussee=0,Q784&gt;0),"Fin de propulsion","") &amp; IF(AND(L786&gt;L_rampe,pos_xz&lt;=L_rampe),"Sortie de rampe","")</f>
        <v/>
      </c>
      <c r="Z785" s="402" t="str">
        <f aca="false">IF(ABS(t-T_para)&lt;pas/2,"Para","")</f>
        <v/>
      </c>
      <c r="AA785" s="403" t="str">
        <f aca="false">IF(ABS(t-T_satellite)&lt;pas/2,"Satellite","")</f>
        <v/>
      </c>
      <c r="AC785" s="399" t="e">
        <f aca="false">IF(ABS(t-ROUND(t,0))&lt;0.001,t,NA())</f>
        <v>#N/A</v>
      </c>
      <c r="AD785" s="404" t="e">
        <f aca="false">IF(ABS(t-ROUND(t,0))&lt;0.001,pos_x,NA())</f>
        <v>#N/A</v>
      </c>
      <c r="AE785" s="405" t="e">
        <f aca="false">IF(t&lt;T_para, pos_z, NA())</f>
        <v>#N/A</v>
      </c>
      <c r="AG785" s="396" t="n">
        <f aca="false">IF(AND(L784&lt;L_rampe,Poussee&lt;Poids*SIN(M784)),0,(-W784+Poussee)/m-Poids*SIN(M784)/m)</f>
        <v>2.41332777574295</v>
      </c>
      <c r="AH785" s="397" t="n">
        <f aca="false">IF(AND(L784&lt;L_rampe,Poussee&lt;Poids*SIN(M784)), g*SIN(M784), (-W784+Poussee)/m)</f>
        <v>-7.34853475273776</v>
      </c>
    </row>
    <row r="786" customFormat="false" ht="12.75" hidden="false" customHeight="false" outlineLevel="0" collapsed="false">
      <c r="A786" s="396" t="n">
        <f aca="false">IF(B785+0.01&lt;=T_ini+ROUNDUP(Temps_fin_propu,0), 0.01, IF(K785&gt;0, 0.1, 0.0001))</f>
        <v>0.0001</v>
      </c>
      <c r="B786" s="397" t="n">
        <f aca="false">B785+pas</f>
        <v>32.1281000000011</v>
      </c>
      <c r="D786" s="396" t="n">
        <f aca="false">IF(AND(L785&lt;L_rampe,Poussee&lt;Poids*SIN(M785)),0,(-W785+Poussee)/m*COS(M785)-U785/m*SIN(M785))</f>
        <v>-0.727089903790802</v>
      </c>
      <c r="E786" s="398" t="n">
        <f aca="false">IF(AND(L785&lt;L_rampe,Poussee&lt;Poids*SIN(M785)),0,(-W785+Poussee)/m*SIN(M785)+U785/m*COS(M785)-Poids/m)</f>
        <v>-2.49748488179768</v>
      </c>
      <c r="F786" s="397" t="n">
        <f aca="false">SQRT(acc_x^2+acc_z^2)</f>
        <v>2.60117097919427</v>
      </c>
      <c r="G786" s="396" t="n">
        <f aca="false">G785+acc_x*pas</f>
        <v>11.4768673782088</v>
      </c>
      <c r="H786" s="398" t="n">
        <f aca="false">H785+acc_z*pas</f>
        <v>-115.426550486248</v>
      </c>
      <c r="I786" s="397" t="n">
        <f aca="false">SQRT(vit_x^2+vit_z^2)</f>
        <v>115.995719929536</v>
      </c>
      <c r="J786" s="396" t="n">
        <f aca="false">J785+0.5*(vit_x+G785)*pas*(K785&gt;=0)</f>
        <v>690.928492655337</v>
      </c>
      <c r="K786" s="398" t="n">
        <f aca="false">K785+0.5*(vit_z+H785)*pas</f>
        <v>-11.8471034129033</v>
      </c>
      <c r="L786" s="397" t="n">
        <f aca="false">SQRT(pos_x^2+pos_z^2)</f>
        <v>691.030054210562</v>
      </c>
      <c r="M786" s="396" t="n">
        <f aca="false">IF(AND(L785&gt;L_rampe,G786&gt;0),ATAN2(G786,H786),$M$4)</f>
        <v>-1.4716920156625</v>
      </c>
      <c r="N786" s="397" t="n">
        <f aca="false">DEGREES(Beta)</f>
        <v>-84.3217412405623</v>
      </c>
      <c r="P786" s="399" t="n">
        <f aca="false">MATCH(t-pas/2-T_ini,CdP_t)</f>
        <v>23</v>
      </c>
      <c r="Q786" s="397" t="n">
        <f aca="false">(INDEX(CdP,2,i_P+1)-INDEX(CdP,2,i_P+0))/(INDEX(CdP,1,i_P+1)-INDEX(CdP,1,i_P+0))*(t-pas/2-T_ini-INDEX(CdP,1,i_P+0))+INDEX(CdP,2,i_P+0)</f>
        <v>0</v>
      </c>
      <c r="R786" s="396" t="n">
        <f aca="false">Poussee/(g*ISP)</f>
        <v>0</v>
      </c>
      <c r="S786" s="398" t="n">
        <f aca="false">S785-Débit*pas</f>
        <v>8.45</v>
      </c>
      <c r="T786" s="397" t="n">
        <f aca="false">m*g</f>
        <v>82.8945</v>
      </c>
      <c r="U786" s="400" t="n">
        <f aca="false">IF(pos_xz&lt;L_rampe,Poids*COS(Beta),0)</f>
        <v>0</v>
      </c>
      <c r="V786" s="396" t="n">
        <f aca="false">Rho_moyen*(20000-Alt_rampe-pos_z)/(20000+Alt_rampe+pos_z)</f>
        <v>1.226452130345</v>
      </c>
      <c r="W786" s="397" t="n">
        <f aca="false">1/2*Rho*Sref*Cx*vit_xz^2</f>
        <v>62.0957787729192</v>
      </c>
      <c r="Y786" s="408" t="str">
        <f aca="false">IF(AND(pos_z&lt;=0,K785&gt;0),"Impact balistique","") &amp; IF(AND(H787&lt;0,vit_z&gt;=0),"Apogée","") &amp; IF(AND(Poussee=0,Q785&gt;0),"Fin de propulsion","") &amp; IF(AND(L787&gt;L_rampe,pos_xz&lt;=L_rampe),"Sortie de rampe","")</f>
        <v/>
      </c>
      <c r="Z786" s="402" t="str">
        <f aca="false">IF(ABS(t-T_para)&lt;pas/2,"Para","")</f>
        <v/>
      </c>
      <c r="AA786" s="403" t="str">
        <f aca="false">IF(ABS(t-T_satellite)&lt;pas/2,"Satellite","")</f>
        <v/>
      </c>
      <c r="AC786" s="399" t="e">
        <f aca="false">IF(ABS(t-ROUND(t,0))&lt;0.001,t,NA())</f>
        <v>#N/A</v>
      </c>
      <c r="AD786" s="404" t="e">
        <f aca="false">IF(ABS(t-ROUND(t,0))&lt;0.001,pos_x,NA())</f>
        <v>#N/A</v>
      </c>
      <c r="AE786" s="405" t="e">
        <f aca="false">IF(t&lt;T_para, pos_z, NA())</f>
        <v>#N/A</v>
      </c>
      <c r="AG786" s="396" t="n">
        <f aca="false">IF(AND(L785&lt;L_rampe,Poussee&lt;Poids*SIN(M785)),0,(-W785+Poussee)/m-Poids*SIN(M785)/m)</f>
        <v>2.41328952790117</v>
      </c>
      <c r="AH786" s="397" t="n">
        <f aca="false">IF(AND(L785&lt;L_rampe,Poussee&lt;Poids*SIN(M785)), g*SIN(M785), (-W785+Poussee)/m)</f>
        <v>-7.34857381279742</v>
      </c>
    </row>
    <row r="787" customFormat="false" ht="12.75" hidden="false" customHeight="false" outlineLevel="0" collapsed="false">
      <c r="A787" s="396" t="n">
        <f aca="false">IF(B786+0.01&lt;=T_ini+ROUNDUP(Temps_fin_propu,0), 0.01, IF(K786&gt;0, 0.1, 0.0001))</f>
        <v>0.0001</v>
      </c>
      <c r="B787" s="397" t="n">
        <f aca="false">B786+pas</f>
        <v>32.1282000000011</v>
      </c>
      <c r="D787" s="396" t="n">
        <f aca="false">IF(AND(L786&lt;L_rampe,Poussee&lt;Poids*SIN(M786)),0,(-W786+Poussee)/m*COS(M786)-U786/m*SIN(M786))</f>
        <v>-0.727087649467699</v>
      </c>
      <c r="E787" s="398" t="n">
        <f aca="false">IF(AND(L786&lt;L_rampe,Poussee&lt;Poids*SIN(M786)),0,(-W786+Poussee)/m*SIN(M786)+U786/m*COS(M786)-Poids/m)</f>
        <v>-2.4974454053063</v>
      </c>
      <c r="F787" s="397" t="n">
        <f aca="false">SQRT(acc_x^2+acc_z^2)</f>
        <v>2.60113244616533</v>
      </c>
      <c r="G787" s="396" t="n">
        <f aca="false">G786+acc_x*pas</f>
        <v>11.4767946694438</v>
      </c>
      <c r="H787" s="398" t="n">
        <f aca="false">H786+acc_z*pas</f>
        <v>-115.426800230789</v>
      </c>
      <c r="I787" s="397" t="n">
        <f aca="false">SQRT(vit_x^2+vit_z^2)</f>
        <v>115.995961254705</v>
      </c>
      <c r="J787" s="396" t="n">
        <f aca="false">J786+0.5*(vit_x+G786)*pas*(K786&gt;=0)</f>
        <v>690.928492655337</v>
      </c>
      <c r="K787" s="398" t="n">
        <f aca="false">K786+0.5*(vit_z+H786)*pas</f>
        <v>-11.8586460804391</v>
      </c>
      <c r="L787" s="397" t="n">
        <f aca="false">SQRT(pos_x^2+pos_z^2)</f>
        <v>691.030252195833</v>
      </c>
      <c r="M787" s="396" t="n">
        <f aca="false">IF(AND(L786&gt;L_rampe,G787&gt;0),ATAN2(G787,H787),$M$4)</f>
        <v>-1.47169285243527</v>
      </c>
      <c r="N787" s="397" t="n">
        <f aca="false">DEGREES(Beta)</f>
        <v>-84.3217891841102</v>
      </c>
      <c r="P787" s="399" t="n">
        <f aca="false">MATCH(t-pas/2-T_ini,CdP_t)</f>
        <v>23</v>
      </c>
      <c r="Q787" s="397" t="n">
        <f aca="false">(INDEX(CdP,2,i_P+1)-INDEX(CdP,2,i_P+0))/(INDEX(CdP,1,i_P+1)-INDEX(CdP,1,i_P+0))*(t-pas/2-T_ini-INDEX(CdP,1,i_P+0))+INDEX(CdP,2,i_P+0)</f>
        <v>0</v>
      </c>
      <c r="R787" s="396" t="n">
        <f aca="false">Poussee/(g*ISP)</f>
        <v>0</v>
      </c>
      <c r="S787" s="398" t="n">
        <f aca="false">S786-Débit*pas</f>
        <v>8.45</v>
      </c>
      <c r="T787" s="397" t="n">
        <f aca="false">m*g</f>
        <v>82.8945</v>
      </c>
      <c r="U787" s="400" t="n">
        <f aca="false">IF(pos_xz&lt;L_rampe,Poids*COS(Beta),0)</f>
        <v>0</v>
      </c>
      <c r="V787" s="396" t="n">
        <f aca="false">Rho_moyen*(20000-Alt_rampe-pos_z)/(20000+Alt_rampe+pos_z)</f>
        <v>1.22645354599923</v>
      </c>
      <c r="W787" s="397" t="n">
        <f aca="false">1/2*Rho*Sref*Cx*vit_xz^2</f>
        <v>62.0961088249771</v>
      </c>
      <c r="Y787" s="408" t="str">
        <f aca="false">IF(AND(pos_z&lt;=0,K786&gt;0),"Impact balistique","") &amp; IF(AND(H788&lt;0,vit_z&gt;=0),"Apogée","") &amp; IF(AND(Poussee=0,Q786&gt;0),"Fin de propulsion","") &amp; IF(AND(L788&gt;L_rampe,pos_xz&lt;=L_rampe),"Sortie de rampe","")</f>
        <v/>
      </c>
      <c r="Z787" s="402" t="str">
        <f aca="false">IF(ABS(t-T_para)&lt;pas/2,"Para","")</f>
        <v/>
      </c>
      <c r="AA787" s="403" t="str">
        <f aca="false">IF(ABS(t-T_satellite)&lt;pas/2,"Satellite","")</f>
        <v/>
      </c>
      <c r="AC787" s="399" t="e">
        <f aca="false">IF(ABS(t-ROUND(t,0))&lt;0.001,t,NA())</f>
        <v>#N/A</v>
      </c>
      <c r="AD787" s="404" t="e">
        <f aca="false">IF(ABS(t-ROUND(t,0))&lt;0.001,pos_x,NA())</f>
        <v>#N/A</v>
      </c>
      <c r="AE787" s="405" t="e">
        <f aca="false">IF(t&lt;T_para, pos_z, NA())</f>
        <v>#N/A</v>
      </c>
      <c r="AG787" s="396" t="n">
        <f aca="false">IF(AND(L786&lt;L_rampe,Poussee&lt;Poids*SIN(M786)),0,(-W786+Poussee)/m-Poids*SIN(M786)/m)</f>
        <v>2.41325128036628</v>
      </c>
      <c r="AH787" s="397" t="n">
        <f aca="false">IF(AND(L786&lt;L_rampe,Poussee&lt;Poids*SIN(M786)), g*SIN(M786), (-W786+Poussee)/m)</f>
        <v>-7.34861287253482</v>
      </c>
    </row>
    <row r="788" customFormat="false" ht="12.75" hidden="false" customHeight="false" outlineLevel="0" collapsed="false">
      <c r="A788" s="396" t="n">
        <f aca="false">IF(B787+0.01&lt;=T_ini+ROUNDUP(Temps_fin_propu,0), 0.01, IF(K787&gt;0, 0.1, 0.0001))</f>
        <v>0.0001</v>
      </c>
      <c r="B788" s="397" t="n">
        <f aca="false">B787+pas</f>
        <v>32.1283000000011</v>
      </c>
      <c r="D788" s="396" t="n">
        <f aca="false">IF(AND(L787&lt;L_rampe,Poussee&lt;Poids*SIN(M787)),0,(-W787+Poussee)/m*COS(M787)-U787/m*SIN(M787))</f>
        <v>-0.72708539511138</v>
      </c>
      <c r="E788" s="398" t="n">
        <f aca="false">IF(AND(L787&lt;L_rampe,Poussee&lt;Poids*SIN(M787)),0,(-W787+Poussee)/m*SIN(M787)+U787/m*COS(M787)-Poids/m)</f>
        <v>-2.49740592914064</v>
      </c>
      <c r="F788" s="397" t="n">
        <f aca="false">SQRT(acc_x^2+acc_z^2)</f>
        <v>2.60109391347008</v>
      </c>
      <c r="G788" s="396" t="n">
        <f aca="false">G787+acc_x*pas</f>
        <v>11.4767219609043</v>
      </c>
      <c r="H788" s="398" t="n">
        <f aca="false">H787+acc_z*pas</f>
        <v>-115.427049971381</v>
      </c>
      <c r="I788" s="397" t="n">
        <f aca="false">SQRT(vit_x^2+vit_z^2)</f>
        <v>115.996202576049</v>
      </c>
      <c r="J788" s="396" t="n">
        <f aca="false">J787+0.5*(vit_x+G787)*pas*(K787&gt;=0)</f>
        <v>690.928492655337</v>
      </c>
      <c r="K788" s="398" t="n">
        <f aca="false">K787+0.5*(vit_z+H787)*pas</f>
        <v>-11.8701887729492</v>
      </c>
      <c r="L788" s="397" t="n">
        <f aca="false">SQRT(pos_x^2+pos_z^2)</f>
        <v>691.030450374281</v>
      </c>
      <c r="M788" s="396" t="n">
        <f aca="false">IF(AND(L787&gt;L_rampe,G788&gt;0),ATAN2(G788,H788),$M$4)</f>
        <v>-1.47169368919925</v>
      </c>
      <c r="N788" s="397" t="n">
        <f aca="false">DEGREES(Beta)</f>
        <v>-84.321837127155</v>
      </c>
      <c r="P788" s="399" t="n">
        <f aca="false">MATCH(t-pas/2-T_ini,CdP_t)</f>
        <v>23</v>
      </c>
      <c r="Q788" s="397" t="n">
        <f aca="false">(INDEX(CdP,2,i_P+1)-INDEX(CdP,2,i_P+0))/(INDEX(CdP,1,i_P+1)-INDEX(CdP,1,i_P+0))*(t-pas/2-T_ini-INDEX(CdP,1,i_P+0))+INDEX(CdP,2,i_P+0)</f>
        <v>0</v>
      </c>
      <c r="R788" s="396" t="n">
        <f aca="false">Poussee/(g*ISP)</f>
        <v>0</v>
      </c>
      <c r="S788" s="398" t="n">
        <f aca="false">S787-Débit*pas</f>
        <v>8.45</v>
      </c>
      <c r="T788" s="397" t="n">
        <f aca="false">m*g</f>
        <v>82.8945</v>
      </c>
      <c r="U788" s="400" t="n">
        <f aca="false">IF(pos_xz&lt;L_rampe,Poids*COS(Beta),0)</f>
        <v>0</v>
      </c>
      <c r="V788" s="396" t="n">
        <f aca="false">Rho_moyen*(20000-Alt_rampe-pos_z)/(20000+Alt_rampe+pos_z)</f>
        <v>1.22645496165816</v>
      </c>
      <c r="W788" s="397" t="n">
        <f aca="false">1/2*Rho*Sref*Cx*vit_xz^2</f>
        <v>62.0964388743118</v>
      </c>
      <c r="Y788" s="408" t="str">
        <f aca="false">IF(AND(pos_z&lt;=0,K787&gt;0),"Impact balistique","") &amp; IF(AND(H789&lt;0,vit_z&gt;=0),"Apogée","") &amp; IF(AND(Poussee=0,Q787&gt;0),"Fin de propulsion","") &amp; IF(AND(L789&gt;L_rampe,pos_xz&lt;=L_rampe),"Sortie de rampe","")</f>
        <v/>
      </c>
      <c r="Z788" s="402" t="str">
        <f aca="false">IF(ABS(t-T_para)&lt;pas/2,"Para","")</f>
        <v/>
      </c>
      <c r="AA788" s="403" t="str">
        <f aca="false">IF(ABS(t-T_satellite)&lt;pas/2,"Satellite","")</f>
        <v/>
      </c>
      <c r="AC788" s="399" t="e">
        <f aca="false">IF(ABS(t-ROUND(t,0))&lt;0.001,t,NA())</f>
        <v>#N/A</v>
      </c>
      <c r="AD788" s="404" t="e">
        <f aca="false">IF(ABS(t-ROUND(t,0))&lt;0.001,pos_x,NA())</f>
        <v>#N/A</v>
      </c>
      <c r="AE788" s="405" t="e">
        <f aca="false">IF(t&lt;T_para, pos_z, NA())</f>
        <v>#N/A</v>
      </c>
      <c r="AG788" s="396" t="n">
        <f aca="false">IF(AND(L787&lt;L_rampe,Poussee&lt;Poids*SIN(M787)),0,(-W787+Poussee)/m-Poids*SIN(M787)/m)</f>
        <v>2.4132130331383</v>
      </c>
      <c r="AH788" s="397" t="n">
        <f aca="false">IF(AND(L787&lt;L_rampe,Poussee&lt;Poids*SIN(M787)), g*SIN(M787), (-W787+Poussee)/m)</f>
        <v>-7.34865193194995</v>
      </c>
    </row>
    <row r="789" customFormat="false" ht="12.75" hidden="false" customHeight="false" outlineLevel="0" collapsed="false">
      <c r="A789" s="396" t="n">
        <f aca="false">IF(B788+0.01&lt;=T_ini+ROUNDUP(Temps_fin_propu,0), 0.01, IF(K788&gt;0, 0.1, 0.0001))</f>
        <v>0.0001</v>
      </c>
      <c r="B789" s="397" t="n">
        <f aca="false">B788+pas</f>
        <v>32.1284000000011</v>
      </c>
      <c r="D789" s="396" t="n">
        <f aca="false">IF(AND(L788&lt;L_rampe,Poussee&lt;Poids*SIN(M788)),0,(-W788+Poussee)/m*COS(M788)-U788/m*SIN(M788))</f>
        <v>-0.727083140721846</v>
      </c>
      <c r="E789" s="398" t="n">
        <f aca="false">IF(AND(L788&lt;L_rampe,Poussee&lt;Poids*SIN(M788)),0,(-W788+Poussee)/m*SIN(M788)+U788/m*COS(M788)-Poids/m)</f>
        <v>-2.4973664533007</v>
      </c>
      <c r="F789" s="397" t="n">
        <f aca="false">SQRT(acc_x^2+acc_z^2)</f>
        <v>2.60105538110853</v>
      </c>
      <c r="G789" s="396" t="n">
        <f aca="false">G788+acc_x*pas</f>
        <v>11.4766492525902</v>
      </c>
      <c r="H789" s="398" t="n">
        <f aca="false">H788+acc_z*pas</f>
        <v>-115.427299708027</v>
      </c>
      <c r="I789" s="397" t="n">
        <f aca="false">SQRT(vit_x^2+vit_z^2)</f>
        <v>115.996443893568</v>
      </c>
      <c r="J789" s="396" t="n">
        <f aca="false">J788+0.5*(vit_x+G788)*pas*(K788&gt;=0)</f>
        <v>690.928492655337</v>
      </c>
      <c r="K789" s="398" t="n">
        <f aca="false">K788+0.5*(vit_z+H788)*pas</f>
        <v>-11.8817314904332</v>
      </c>
      <c r="L789" s="397" t="n">
        <f aca="false">SQRT(pos_x^2+pos_z^2)</f>
        <v>691.030648745905</v>
      </c>
      <c r="M789" s="396" t="n">
        <f aca="false">IF(AND(L788&gt;L_rampe,G789&gt;0),ATAN2(G789,H789),$M$4)</f>
        <v>-1.47169452595445</v>
      </c>
      <c r="N789" s="397" t="n">
        <f aca="false">DEGREES(Beta)</f>
        <v>-84.3218850696965</v>
      </c>
      <c r="P789" s="399" t="n">
        <f aca="false">MATCH(t-pas/2-T_ini,CdP_t)</f>
        <v>23</v>
      </c>
      <c r="Q789" s="397" t="n">
        <f aca="false">(INDEX(CdP,2,i_P+1)-INDEX(CdP,2,i_P+0))/(INDEX(CdP,1,i_P+1)-INDEX(CdP,1,i_P+0))*(t-pas/2-T_ini-INDEX(CdP,1,i_P+0))+INDEX(CdP,2,i_P+0)</f>
        <v>0</v>
      </c>
      <c r="R789" s="396" t="n">
        <f aca="false">Poussee/(g*ISP)</f>
        <v>0</v>
      </c>
      <c r="S789" s="398" t="n">
        <f aca="false">S788-Débit*pas</f>
        <v>8.45</v>
      </c>
      <c r="T789" s="397" t="n">
        <f aca="false">m*g</f>
        <v>82.8945</v>
      </c>
      <c r="U789" s="400" t="n">
        <f aca="false">IF(pos_xz&lt;L_rampe,Poids*COS(Beta),0)</f>
        <v>0</v>
      </c>
      <c r="V789" s="396" t="n">
        <f aca="false">Rho_moyen*(20000-Alt_rampe-pos_z)/(20000+Alt_rampe+pos_z)</f>
        <v>1.22645637732179</v>
      </c>
      <c r="W789" s="397" t="n">
        <f aca="false">1/2*Rho*Sref*Cx*vit_xz^2</f>
        <v>62.0967689209235</v>
      </c>
      <c r="Y789" s="408" t="str">
        <f aca="false">IF(AND(pos_z&lt;=0,K788&gt;0),"Impact balistique","") &amp; IF(AND(H790&lt;0,vit_z&gt;=0),"Apogée","") &amp; IF(AND(Poussee=0,Q788&gt;0),"Fin de propulsion","") &amp; IF(AND(L790&gt;L_rampe,pos_xz&lt;=L_rampe),"Sortie de rampe","")</f>
        <v/>
      </c>
      <c r="Z789" s="402" t="str">
        <f aca="false">IF(ABS(t-T_para)&lt;pas/2,"Para","")</f>
        <v/>
      </c>
      <c r="AA789" s="403" t="str">
        <f aca="false">IF(ABS(t-T_satellite)&lt;pas/2,"Satellite","")</f>
        <v/>
      </c>
      <c r="AC789" s="399" t="e">
        <f aca="false">IF(ABS(t-ROUND(t,0))&lt;0.001,t,NA())</f>
        <v>#N/A</v>
      </c>
      <c r="AD789" s="404" t="e">
        <f aca="false">IF(ABS(t-ROUND(t,0))&lt;0.001,pos_x,NA())</f>
        <v>#N/A</v>
      </c>
      <c r="AE789" s="405" t="e">
        <f aca="false">IF(t&lt;T_para, pos_z, NA())</f>
        <v>#N/A</v>
      </c>
      <c r="AG789" s="396" t="n">
        <f aca="false">IF(AND(L788&lt;L_rampe,Poussee&lt;Poids*SIN(M788)),0,(-W788+Poussee)/m-Poids*SIN(M788)/m)</f>
        <v>2.41317478621722</v>
      </c>
      <c r="AH789" s="397" t="n">
        <f aca="false">IF(AND(L788&lt;L_rampe,Poussee&lt;Poids*SIN(M788)), g*SIN(M788), (-W788+Poussee)/m)</f>
        <v>-7.34869099104282</v>
      </c>
    </row>
    <row r="790" customFormat="false" ht="12.75" hidden="false" customHeight="false" outlineLevel="0" collapsed="false">
      <c r="A790" s="396" t="n">
        <f aca="false">IF(B789+0.01&lt;=T_ini+ROUNDUP(Temps_fin_propu,0), 0.01, IF(K789&gt;0, 0.1, 0.0001))</f>
        <v>0.0001</v>
      </c>
      <c r="B790" s="397" t="n">
        <f aca="false">B789+pas</f>
        <v>32.1285000000011</v>
      </c>
      <c r="D790" s="396" t="n">
        <f aca="false">IF(AND(L789&lt;L_rampe,Poussee&lt;Poids*SIN(M789)),0,(-W789+Poussee)/m*COS(M789)-U789/m*SIN(M789))</f>
        <v>-0.727080886299097</v>
      </c>
      <c r="E790" s="398" t="n">
        <f aca="false">IF(AND(L789&lt;L_rampe,Poussee&lt;Poids*SIN(M789)),0,(-W789+Poussee)/m*SIN(M789)+U789/m*COS(M789)-Poids/m)</f>
        <v>-2.49732697778648</v>
      </c>
      <c r="F790" s="397" t="n">
        <f aca="false">SQRT(acc_x^2+acc_z^2)</f>
        <v>2.60101684908069</v>
      </c>
      <c r="G790" s="396" t="n">
        <f aca="false">G789+acc_x*pas</f>
        <v>11.4765765445016</v>
      </c>
      <c r="H790" s="398" t="n">
        <f aca="false">H789+acc_z*pas</f>
        <v>-115.427549440725</v>
      </c>
      <c r="I790" s="397" t="n">
        <f aca="false">SQRT(vit_x^2+vit_z^2)</f>
        <v>115.996685207262</v>
      </c>
      <c r="J790" s="396" t="n">
        <f aca="false">J789+0.5*(vit_x+G789)*pas*(K789&gt;=0)</f>
        <v>690.928492655337</v>
      </c>
      <c r="K790" s="398" t="n">
        <f aca="false">K789+0.5*(vit_z+H789)*pas</f>
        <v>-11.8932742328906</v>
      </c>
      <c r="L790" s="397" t="n">
        <f aca="false">SQRT(pos_x^2+pos_z^2)</f>
        <v>691.030847310708</v>
      </c>
      <c r="M790" s="396" t="n">
        <f aca="false">IF(AND(L789&gt;L_rampe,G790&gt;0),ATAN2(G790,H790),$M$4)</f>
        <v>-1.47169536270087</v>
      </c>
      <c r="N790" s="397" t="n">
        <f aca="false">DEGREES(Beta)</f>
        <v>-84.3219330117348</v>
      </c>
      <c r="P790" s="399" t="n">
        <f aca="false">MATCH(t-pas/2-T_ini,CdP_t)</f>
        <v>23</v>
      </c>
      <c r="Q790" s="397" t="n">
        <f aca="false">(INDEX(CdP,2,i_P+1)-INDEX(CdP,2,i_P+0))/(INDEX(CdP,1,i_P+1)-INDEX(CdP,1,i_P+0))*(t-pas/2-T_ini-INDEX(CdP,1,i_P+0))+INDEX(CdP,2,i_P+0)</f>
        <v>0</v>
      </c>
      <c r="R790" s="396" t="n">
        <f aca="false">Poussee/(g*ISP)</f>
        <v>0</v>
      </c>
      <c r="S790" s="398" t="n">
        <f aca="false">S789-Débit*pas</f>
        <v>8.45</v>
      </c>
      <c r="T790" s="397" t="n">
        <f aca="false">m*g</f>
        <v>82.8945</v>
      </c>
      <c r="U790" s="400" t="n">
        <f aca="false">IF(pos_xz&lt;L_rampe,Poids*COS(Beta),0)</f>
        <v>0</v>
      </c>
      <c r="V790" s="396" t="n">
        <f aca="false">Rho_moyen*(20000-Alt_rampe-pos_z)/(20000+Alt_rampe+pos_z)</f>
        <v>1.22645779299012</v>
      </c>
      <c r="W790" s="397" t="n">
        <f aca="false">1/2*Rho*Sref*Cx*vit_xz^2</f>
        <v>62.0970989648121</v>
      </c>
      <c r="Y790" s="408" t="str">
        <f aca="false">IF(AND(pos_z&lt;=0,K789&gt;0),"Impact balistique","") &amp; IF(AND(H791&lt;0,vit_z&gt;=0),"Apogée","") &amp; IF(AND(Poussee=0,Q789&gt;0),"Fin de propulsion","") &amp; IF(AND(L791&gt;L_rampe,pos_xz&lt;=L_rampe),"Sortie de rampe","")</f>
        <v/>
      </c>
      <c r="Z790" s="402" t="str">
        <f aca="false">IF(ABS(t-T_para)&lt;pas/2,"Para","")</f>
        <v/>
      </c>
      <c r="AA790" s="403" t="str">
        <f aca="false">IF(ABS(t-T_satellite)&lt;pas/2,"Satellite","")</f>
        <v/>
      </c>
      <c r="AC790" s="399" t="e">
        <f aca="false">IF(ABS(t-ROUND(t,0))&lt;0.001,t,NA())</f>
        <v>#N/A</v>
      </c>
      <c r="AD790" s="404" t="e">
        <f aca="false">IF(ABS(t-ROUND(t,0))&lt;0.001,pos_x,NA())</f>
        <v>#N/A</v>
      </c>
      <c r="AE790" s="405" t="e">
        <f aca="false">IF(t&lt;T_para, pos_z, NA())</f>
        <v>#N/A</v>
      </c>
      <c r="AG790" s="396" t="n">
        <f aca="false">IF(AND(L789&lt;L_rampe,Poussee&lt;Poids*SIN(M789)),0,(-W789+Poussee)/m-Poids*SIN(M789)/m)</f>
        <v>2.41313653960305</v>
      </c>
      <c r="AH790" s="397" t="n">
        <f aca="false">IF(AND(L789&lt;L_rampe,Poussee&lt;Poids*SIN(M789)), g*SIN(M789), (-W789+Poussee)/m)</f>
        <v>-7.34873004981343</v>
      </c>
    </row>
    <row r="791" customFormat="false" ht="12.75" hidden="false" customHeight="false" outlineLevel="0" collapsed="false">
      <c r="A791" s="396" t="n">
        <f aca="false">IF(B790+0.01&lt;=T_ini+ROUNDUP(Temps_fin_propu,0), 0.01, IF(K790&gt;0, 0.1, 0.0001))</f>
        <v>0.0001</v>
      </c>
      <c r="B791" s="397" t="n">
        <f aca="false">B790+pas</f>
        <v>32.1286000000011</v>
      </c>
      <c r="D791" s="396" t="n">
        <f aca="false">IF(AND(L790&lt;L_rampe,Poussee&lt;Poids*SIN(M790)),0,(-W790+Poussee)/m*COS(M790)-U790/m*SIN(M790))</f>
        <v>-0.727078631843135</v>
      </c>
      <c r="E791" s="398" t="n">
        <f aca="false">IF(AND(L790&lt;L_rampe,Poussee&lt;Poids*SIN(M790)),0,(-W790+Poussee)/m*SIN(M790)+U790/m*COS(M790)-Poids/m)</f>
        <v>-2.49728750259797</v>
      </c>
      <c r="F791" s="397" t="n">
        <f aca="false">SQRT(acc_x^2+acc_z^2)</f>
        <v>2.60097831738654</v>
      </c>
      <c r="G791" s="396" t="n">
        <f aca="false">G790+acc_x*pas</f>
        <v>11.4765038366384</v>
      </c>
      <c r="H791" s="398" t="n">
        <f aca="false">H790+acc_z*pas</f>
        <v>-115.427799169475</v>
      </c>
      <c r="I791" s="397" t="n">
        <f aca="false">SQRT(vit_x^2+vit_z^2)</f>
        <v>115.996926517132</v>
      </c>
      <c r="J791" s="396" t="n">
        <f aca="false">J790+0.5*(vit_x+G790)*pas*(K790&gt;=0)</f>
        <v>690.928492655337</v>
      </c>
      <c r="K791" s="398" t="n">
        <f aca="false">K790+0.5*(vit_z+H790)*pas</f>
        <v>-11.9048170003211</v>
      </c>
      <c r="L791" s="397" t="n">
        <f aca="false">SQRT(pos_x^2+pos_z^2)</f>
        <v>691.031046068689</v>
      </c>
      <c r="M791" s="396" t="n">
        <f aca="false">IF(AND(L790&gt;L_rampe,G791&gt;0),ATAN2(G791,H791),$M$4)</f>
        <v>-1.47169619943851</v>
      </c>
      <c r="N791" s="397" t="n">
        <f aca="false">DEGREES(Beta)</f>
        <v>-84.32198095327</v>
      </c>
      <c r="P791" s="399" t="n">
        <f aca="false">MATCH(t-pas/2-T_ini,CdP_t)</f>
        <v>23</v>
      </c>
      <c r="Q791" s="397" t="n">
        <f aca="false">(INDEX(CdP,2,i_P+1)-INDEX(CdP,2,i_P+0))/(INDEX(CdP,1,i_P+1)-INDEX(CdP,1,i_P+0))*(t-pas/2-T_ini-INDEX(CdP,1,i_P+0))+INDEX(CdP,2,i_P+0)</f>
        <v>0</v>
      </c>
      <c r="R791" s="396" t="n">
        <f aca="false">Poussee/(g*ISP)</f>
        <v>0</v>
      </c>
      <c r="S791" s="398" t="n">
        <f aca="false">S790-Débit*pas</f>
        <v>8.45</v>
      </c>
      <c r="T791" s="397" t="n">
        <f aca="false">m*g</f>
        <v>82.8945</v>
      </c>
      <c r="U791" s="400" t="n">
        <f aca="false">IF(pos_xz&lt;L_rampe,Poids*COS(Beta),0)</f>
        <v>0</v>
      </c>
      <c r="V791" s="396" t="n">
        <f aca="false">Rho_moyen*(20000-Alt_rampe-pos_z)/(20000+Alt_rampe+pos_z)</f>
        <v>1.22645920866314</v>
      </c>
      <c r="W791" s="397" t="n">
        <f aca="false">1/2*Rho*Sref*Cx*vit_xz^2</f>
        <v>62.0974290059775</v>
      </c>
      <c r="Y791" s="408" t="str">
        <f aca="false">IF(AND(pos_z&lt;=0,K790&gt;0),"Impact balistique","") &amp; IF(AND(H792&lt;0,vit_z&gt;=0),"Apogée","") &amp; IF(AND(Poussee=0,Q790&gt;0),"Fin de propulsion","") &amp; IF(AND(L792&gt;L_rampe,pos_xz&lt;=L_rampe),"Sortie de rampe","")</f>
        <v/>
      </c>
      <c r="Z791" s="402" t="str">
        <f aca="false">IF(ABS(t-T_para)&lt;pas/2,"Para","")</f>
        <v/>
      </c>
      <c r="AA791" s="403" t="str">
        <f aca="false">IF(ABS(t-T_satellite)&lt;pas/2,"Satellite","")</f>
        <v/>
      </c>
      <c r="AC791" s="399" t="e">
        <f aca="false">IF(ABS(t-ROUND(t,0))&lt;0.001,t,NA())</f>
        <v>#N/A</v>
      </c>
      <c r="AD791" s="404" t="e">
        <f aca="false">IF(ABS(t-ROUND(t,0))&lt;0.001,pos_x,NA())</f>
        <v>#N/A</v>
      </c>
      <c r="AE791" s="405" t="e">
        <f aca="false">IF(t&lt;T_para, pos_z, NA())</f>
        <v>#N/A</v>
      </c>
      <c r="AG791" s="396" t="n">
        <f aca="false">IF(AND(L790&lt;L_rampe,Poussee&lt;Poids*SIN(M790)),0,(-W790+Poussee)/m-Poids*SIN(M790)/m)</f>
        <v>2.41309829329577</v>
      </c>
      <c r="AH791" s="397" t="n">
        <f aca="false">IF(AND(L790&lt;L_rampe,Poussee&lt;Poids*SIN(M790)), g*SIN(M790), (-W790+Poussee)/m)</f>
        <v>-7.34876910826178</v>
      </c>
    </row>
    <row r="792" customFormat="false" ht="12.75" hidden="false" customHeight="false" outlineLevel="0" collapsed="false">
      <c r="A792" s="396" t="n">
        <f aca="false">IF(B791+0.01&lt;=T_ini+ROUNDUP(Temps_fin_propu,0), 0.01, IF(K791&gt;0, 0.1, 0.0001))</f>
        <v>0.0001</v>
      </c>
      <c r="B792" s="397" t="n">
        <f aca="false">B791+pas</f>
        <v>32.1287000000011</v>
      </c>
      <c r="D792" s="396" t="n">
        <f aca="false">IF(AND(L791&lt;L_rampe,Poussee&lt;Poids*SIN(M791)),0,(-W791+Poussee)/m*COS(M791)-U791/m*SIN(M791))</f>
        <v>-0.727076377353961</v>
      </c>
      <c r="E792" s="398" t="n">
        <f aca="false">IF(AND(L791&lt;L_rampe,Poussee&lt;Poids*SIN(M791)),0,(-W791+Poussee)/m*SIN(M791)+U791/m*COS(M791)-Poids/m)</f>
        <v>-2.49724802773519</v>
      </c>
      <c r="F792" s="397" t="n">
        <f aca="false">SQRT(acc_x^2+acc_z^2)</f>
        <v>2.6009397860261</v>
      </c>
      <c r="G792" s="396" t="n">
        <f aca="false">G791+acc_x*pas</f>
        <v>11.4764311290007</v>
      </c>
      <c r="H792" s="398" t="n">
        <f aca="false">H791+acc_z*pas</f>
        <v>-115.428048894278</v>
      </c>
      <c r="I792" s="397" t="n">
        <f aca="false">SQRT(vit_x^2+vit_z^2)</f>
        <v>115.997167823178</v>
      </c>
      <c r="J792" s="396" t="n">
        <f aca="false">J791+0.5*(vit_x+G791)*pas*(K791&gt;=0)</f>
        <v>690.928492655337</v>
      </c>
      <c r="K792" s="398" t="n">
        <f aca="false">K791+0.5*(vit_z+H791)*pas</f>
        <v>-11.9163597927243</v>
      </c>
      <c r="L792" s="397" t="n">
        <f aca="false">SQRT(pos_x^2+pos_z^2)</f>
        <v>691.031245019851</v>
      </c>
      <c r="M792" s="396" t="n">
        <f aca="false">IF(AND(L791&gt;L_rampe,G792&gt;0),ATAN2(G792,H792),$M$4)</f>
        <v>-1.47169703616736</v>
      </c>
      <c r="N792" s="397" t="n">
        <f aca="false">DEGREES(Beta)</f>
        <v>-84.3220288943019</v>
      </c>
      <c r="P792" s="399" t="n">
        <f aca="false">MATCH(t-pas/2-T_ini,CdP_t)</f>
        <v>23</v>
      </c>
      <c r="Q792" s="397" t="n">
        <f aca="false">(INDEX(CdP,2,i_P+1)-INDEX(CdP,2,i_P+0))/(INDEX(CdP,1,i_P+1)-INDEX(CdP,1,i_P+0))*(t-pas/2-T_ini-INDEX(CdP,1,i_P+0))+INDEX(CdP,2,i_P+0)</f>
        <v>0</v>
      </c>
      <c r="R792" s="396" t="n">
        <f aca="false">Poussee/(g*ISP)</f>
        <v>0</v>
      </c>
      <c r="S792" s="398" t="n">
        <f aca="false">S791-Débit*pas</f>
        <v>8.45</v>
      </c>
      <c r="T792" s="397" t="n">
        <f aca="false">m*g</f>
        <v>82.8945</v>
      </c>
      <c r="U792" s="400" t="n">
        <f aca="false">IF(pos_xz&lt;L_rampe,Poids*COS(Beta),0)</f>
        <v>0</v>
      </c>
      <c r="V792" s="396" t="n">
        <f aca="false">Rho_moyen*(20000-Alt_rampe-pos_z)/(20000+Alt_rampe+pos_z)</f>
        <v>1.22646062434087</v>
      </c>
      <c r="W792" s="397" t="n">
        <f aca="false">1/2*Rho*Sref*Cx*vit_xz^2</f>
        <v>62.0977590444197</v>
      </c>
      <c r="Y792" s="408" t="str">
        <f aca="false">IF(AND(pos_z&lt;=0,K791&gt;0),"Impact balistique","") &amp; IF(AND(H793&lt;0,vit_z&gt;=0),"Apogée","") &amp; IF(AND(Poussee=0,Q791&gt;0),"Fin de propulsion","") &amp; IF(AND(L793&gt;L_rampe,pos_xz&lt;=L_rampe),"Sortie de rampe","")</f>
        <v/>
      </c>
      <c r="Z792" s="402" t="str">
        <f aca="false">IF(ABS(t-T_para)&lt;pas/2,"Para","")</f>
        <v/>
      </c>
      <c r="AA792" s="403" t="str">
        <f aca="false">IF(ABS(t-T_satellite)&lt;pas/2,"Satellite","")</f>
        <v/>
      </c>
      <c r="AC792" s="399" t="e">
        <f aca="false">IF(ABS(t-ROUND(t,0))&lt;0.001,t,NA())</f>
        <v>#N/A</v>
      </c>
      <c r="AD792" s="404" t="e">
        <f aca="false">IF(ABS(t-ROUND(t,0))&lt;0.001,pos_x,NA())</f>
        <v>#N/A</v>
      </c>
      <c r="AE792" s="405" t="e">
        <f aca="false">IF(t&lt;T_para, pos_z, NA())</f>
        <v>#N/A</v>
      </c>
      <c r="AG792" s="396" t="n">
        <f aca="false">IF(AND(L791&lt;L_rampe,Poussee&lt;Poids*SIN(M791)),0,(-W791+Poussee)/m-Poids*SIN(M791)/m)</f>
        <v>2.41306004729541</v>
      </c>
      <c r="AH792" s="397" t="n">
        <f aca="false">IF(AND(L791&lt;L_rampe,Poussee&lt;Poids*SIN(M791)), g*SIN(M791), (-W791+Poussee)/m)</f>
        <v>-7.34880816638787</v>
      </c>
    </row>
    <row r="793" customFormat="false" ht="12.75" hidden="false" customHeight="false" outlineLevel="0" collapsed="false">
      <c r="A793" s="396" t="n">
        <f aca="false">IF(B792+0.01&lt;=T_ini+ROUNDUP(Temps_fin_propu,0), 0.01, IF(K792&gt;0, 0.1, 0.0001))</f>
        <v>0.0001</v>
      </c>
      <c r="B793" s="397" t="n">
        <f aca="false">B792+pas</f>
        <v>32.1288000000011</v>
      </c>
      <c r="D793" s="396" t="n">
        <f aca="false">IF(AND(L792&lt;L_rampe,Poussee&lt;Poids*SIN(M792)),0,(-W792+Poussee)/m*COS(M792)-U792/m*SIN(M792))</f>
        <v>-0.727074122831574</v>
      </c>
      <c r="E793" s="398" t="n">
        <f aca="false">IF(AND(L792&lt;L_rampe,Poussee&lt;Poids*SIN(M792)),0,(-W792+Poussee)/m*SIN(M792)+U792/m*COS(M792)-Poids/m)</f>
        <v>-2.49720855319813</v>
      </c>
      <c r="F793" s="397" t="n">
        <f aca="false">SQRT(acc_x^2+acc_z^2)</f>
        <v>2.60090125499935</v>
      </c>
      <c r="G793" s="396" t="n">
        <f aca="false">G792+acc_x*pas</f>
        <v>11.4763584215884</v>
      </c>
      <c r="H793" s="398" t="n">
        <f aca="false">H792+acc_z*pas</f>
        <v>-115.428298615133</v>
      </c>
      <c r="I793" s="397" t="n">
        <f aca="false">SQRT(vit_x^2+vit_z^2)</f>
        <v>115.997409125398</v>
      </c>
      <c r="J793" s="396" t="n">
        <f aca="false">J792+0.5*(vit_x+G792)*pas*(K792&gt;=0)</f>
        <v>690.928492655337</v>
      </c>
      <c r="K793" s="398" t="n">
        <f aca="false">K792+0.5*(vit_z+H792)*pas</f>
        <v>-11.9279026100998</v>
      </c>
      <c r="L793" s="397" t="n">
        <f aca="false">SQRT(pos_x^2+pos_z^2)</f>
        <v>691.031444164194</v>
      </c>
      <c r="M793" s="396" t="n">
        <f aca="false">IF(AND(L792&gt;L_rampe,G793&gt;0),ATAN2(G793,H793),$M$4)</f>
        <v>-1.47169787288743</v>
      </c>
      <c r="N793" s="397" t="n">
        <f aca="false">DEGREES(Beta)</f>
        <v>-84.3220768348307</v>
      </c>
      <c r="P793" s="399" t="n">
        <f aca="false">MATCH(t-pas/2-T_ini,CdP_t)</f>
        <v>23</v>
      </c>
      <c r="Q793" s="397" t="n">
        <f aca="false">(INDEX(CdP,2,i_P+1)-INDEX(CdP,2,i_P+0))/(INDEX(CdP,1,i_P+1)-INDEX(CdP,1,i_P+0))*(t-pas/2-T_ini-INDEX(CdP,1,i_P+0))+INDEX(CdP,2,i_P+0)</f>
        <v>0</v>
      </c>
      <c r="R793" s="396" t="n">
        <f aca="false">Poussee/(g*ISP)</f>
        <v>0</v>
      </c>
      <c r="S793" s="398" t="n">
        <f aca="false">S792-Débit*pas</f>
        <v>8.45</v>
      </c>
      <c r="T793" s="397" t="n">
        <f aca="false">m*g</f>
        <v>82.8945</v>
      </c>
      <c r="U793" s="400" t="n">
        <f aca="false">IF(pos_xz&lt;L_rampe,Poids*COS(Beta),0)</f>
        <v>0</v>
      </c>
      <c r="V793" s="396" t="n">
        <f aca="false">Rho_moyen*(20000-Alt_rampe-pos_z)/(20000+Alt_rampe+pos_z)</f>
        <v>1.22646204002329</v>
      </c>
      <c r="W793" s="397" t="n">
        <f aca="false">1/2*Rho*Sref*Cx*vit_xz^2</f>
        <v>62.0980890801389</v>
      </c>
      <c r="Y793" s="408" t="str">
        <f aca="false">IF(AND(pos_z&lt;=0,K792&gt;0),"Impact balistique","") &amp; IF(AND(H794&lt;0,vit_z&gt;=0),"Apogée","") &amp; IF(AND(Poussee=0,Q792&gt;0),"Fin de propulsion","") &amp; IF(AND(L794&gt;L_rampe,pos_xz&lt;=L_rampe),"Sortie de rampe","")</f>
        <v/>
      </c>
      <c r="Z793" s="402" t="str">
        <f aca="false">IF(ABS(t-T_para)&lt;pas/2,"Para","")</f>
        <v/>
      </c>
      <c r="AA793" s="403" t="str">
        <f aca="false">IF(ABS(t-T_satellite)&lt;pas/2,"Satellite","")</f>
        <v/>
      </c>
      <c r="AC793" s="399" t="e">
        <f aca="false">IF(ABS(t-ROUND(t,0))&lt;0.001,t,NA())</f>
        <v>#N/A</v>
      </c>
      <c r="AD793" s="404" t="e">
        <f aca="false">IF(ABS(t-ROUND(t,0))&lt;0.001,pos_x,NA())</f>
        <v>#N/A</v>
      </c>
      <c r="AE793" s="405" t="e">
        <f aca="false">IF(t&lt;T_para, pos_z, NA())</f>
        <v>#N/A</v>
      </c>
      <c r="AG793" s="396" t="n">
        <f aca="false">IF(AND(L792&lt;L_rampe,Poussee&lt;Poids*SIN(M792)),0,(-W792+Poussee)/m-Poids*SIN(M792)/m)</f>
        <v>2.41302180160194</v>
      </c>
      <c r="AH793" s="397" t="n">
        <f aca="false">IF(AND(L792&lt;L_rampe,Poussee&lt;Poids*SIN(M792)), g*SIN(M792), (-W792+Poussee)/m)</f>
        <v>-7.34884722419169</v>
      </c>
    </row>
    <row r="794" customFormat="false" ht="12.75" hidden="false" customHeight="false" outlineLevel="0" collapsed="false">
      <c r="A794" s="396" t="n">
        <f aca="false">IF(B793+0.01&lt;=T_ini+ROUNDUP(Temps_fin_propu,0), 0.01, IF(K793&gt;0, 0.1, 0.0001))</f>
        <v>0.0001</v>
      </c>
      <c r="B794" s="397" t="n">
        <f aca="false">B793+pas</f>
        <v>32.1289000000011</v>
      </c>
      <c r="D794" s="396" t="n">
        <f aca="false">IF(AND(L793&lt;L_rampe,Poussee&lt;Poids*SIN(M793)),0,(-W793+Poussee)/m*COS(M793)-U793/m*SIN(M793))</f>
        <v>-0.727071868275978</v>
      </c>
      <c r="E794" s="398" t="n">
        <f aca="false">IF(AND(L793&lt;L_rampe,Poussee&lt;Poids*SIN(M793)),0,(-W793+Poussee)/m*SIN(M793)+U793/m*COS(M793)-Poids/m)</f>
        <v>-2.49716907898679</v>
      </c>
      <c r="F794" s="397" t="n">
        <f aca="false">SQRT(acc_x^2+acc_z^2)</f>
        <v>2.60086272430632</v>
      </c>
      <c r="G794" s="396" t="n">
        <f aca="false">G793+acc_x*pas</f>
        <v>11.4762857144016</v>
      </c>
      <c r="H794" s="398" t="n">
        <f aca="false">H793+acc_z*pas</f>
        <v>-115.428548332041</v>
      </c>
      <c r="I794" s="397" t="n">
        <f aca="false">SQRT(vit_x^2+vit_z^2)</f>
        <v>115.997650423795</v>
      </c>
      <c r="J794" s="396" t="n">
        <f aca="false">J793+0.5*(vit_x+G793)*pas*(K793&gt;=0)</f>
        <v>690.928492655337</v>
      </c>
      <c r="K794" s="398" t="n">
        <f aca="false">K793+0.5*(vit_z+H793)*pas</f>
        <v>-11.9394454524472</v>
      </c>
      <c r="L794" s="397" t="n">
        <f aca="false">SQRT(pos_x^2+pos_z^2)</f>
        <v>691.03164350172</v>
      </c>
      <c r="M794" s="396" t="n">
        <f aca="false">IF(AND(L793&gt;L_rampe,G794&gt;0),ATAN2(G794,H794),$M$4)</f>
        <v>-1.47169870959872</v>
      </c>
      <c r="N794" s="397" t="n">
        <f aca="false">DEGREES(Beta)</f>
        <v>-84.3221247748563</v>
      </c>
      <c r="P794" s="399" t="n">
        <f aca="false">MATCH(t-pas/2-T_ini,CdP_t)</f>
        <v>23</v>
      </c>
      <c r="Q794" s="397" t="n">
        <f aca="false">(INDEX(CdP,2,i_P+1)-INDEX(CdP,2,i_P+0))/(INDEX(CdP,1,i_P+1)-INDEX(CdP,1,i_P+0))*(t-pas/2-T_ini-INDEX(CdP,1,i_P+0))+INDEX(CdP,2,i_P+0)</f>
        <v>0</v>
      </c>
      <c r="R794" s="396" t="n">
        <f aca="false">Poussee/(g*ISP)</f>
        <v>0</v>
      </c>
      <c r="S794" s="398" t="n">
        <f aca="false">S793-Débit*pas</f>
        <v>8.45</v>
      </c>
      <c r="T794" s="397" t="n">
        <f aca="false">m*g</f>
        <v>82.8945</v>
      </c>
      <c r="U794" s="400" t="n">
        <f aca="false">IF(pos_xz&lt;L_rampe,Poids*COS(Beta),0)</f>
        <v>0</v>
      </c>
      <c r="V794" s="396" t="n">
        <f aca="false">Rho_moyen*(20000-Alt_rampe-pos_z)/(20000+Alt_rampe+pos_z)</f>
        <v>1.22646345571041</v>
      </c>
      <c r="W794" s="397" t="n">
        <f aca="false">1/2*Rho*Sref*Cx*vit_xz^2</f>
        <v>62.0984191131349</v>
      </c>
      <c r="Y794" s="408" t="str">
        <f aca="false">IF(AND(pos_z&lt;=0,K793&gt;0),"Impact balistique","") &amp; IF(AND(H795&lt;0,vit_z&gt;=0),"Apogée","") &amp; IF(AND(Poussee=0,Q793&gt;0),"Fin de propulsion","") &amp; IF(AND(L795&gt;L_rampe,pos_xz&lt;=L_rampe),"Sortie de rampe","")</f>
        <v/>
      </c>
      <c r="Z794" s="402" t="str">
        <f aca="false">IF(ABS(t-T_para)&lt;pas/2,"Para","")</f>
        <v/>
      </c>
      <c r="AA794" s="403" t="str">
        <f aca="false">IF(ABS(t-T_satellite)&lt;pas/2,"Satellite","")</f>
        <v/>
      </c>
      <c r="AC794" s="399" t="e">
        <f aca="false">IF(ABS(t-ROUND(t,0))&lt;0.001,t,NA())</f>
        <v>#N/A</v>
      </c>
      <c r="AD794" s="404" t="e">
        <f aca="false">IF(ABS(t-ROUND(t,0))&lt;0.001,pos_x,NA())</f>
        <v>#N/A</v>
      </c>
      <c r="AE794" s="405" t="e">
        <f aca="false">IF(t&lt;T_para, pos_z, NA())</f>
        <v>#N/A</v>
      </c>
      <c r="AG794" s="396" t="n">
        <f aca="false">IF(AND(L793&lt;L_rampe,Poussee&lt;Poids*SIN(M793)),0,(-W793+Poussee)/m-Poids*SIN(M793)/m)</f>
        <v>2.41298355621539</v>
      </c>
      <c r="AH794" s="397" t="n">
        <f aca="false">IF(AND(L793&lt;L_rampe,Poussee&lt;Poids*SIN(M793)), g*SIN(M793), (-W793+Poussee)/m)</f>
        <v>-7.34888628167324</v>
      </c>
    </row>
    <row r="795" customFormat="false" ht="12.75" hidden="false" customHeight="false" outlineLevel="0" collapsed="false">
      <c r="A795" s="396" t="n">
        <f aca="false">IF(B794+0.01&lt;=T_ini+ROUNDUP(Temps_fin_propu,0), 0.01, IF(K794&gt;0, 0.1, 0.0001))</f>
        <v>0.0001</v>
      </c>
      <c r="B795" s="397" t="n">
        <f aca="false">B794+pas</f>
        <v>32.1290000000012</v>
      </c>
      <c r="D795" s="396" t="n">
        <f aca="false">IF(AND(L794&lt;L_rampe,Poussee&lt;Poids*SIN(M794)),0,(-W794+Poussee)/m*COS(M794)-U794/m*SIN(M794))</f>
        <v>-0.727069613687169</v>
      </c>
      <c r="E795" s="398" t="n">
        <f aca="false">IF(AND(L794&lt;L_rampe,Poussee&lt;Poids*SIN(M794)),0,(-W794+Poussee)/m*SIN(M794)+U794/m*COS(M794)-Poids/m)</f>
        <v>-2.49712960510117</v>
      </c>
      <c r="F795" s="397" t="n">
        <f aca="false">SQRT(acc_x^2+acc_z^2)</f>
        <v>2.60082419394698</v>
      </c>
      <c r="G795" s="396" t="n">
        <f aca="false">G794+acc_x*pas</f>
        <v>11.4762130074402</v>
      </c>
      <c r="H795" s="398" t="n">
        <f aca="false">H794+acc_z*pas</f>
        <v>-115.428798045001</v>
      </c>
      <c r="I795" s="397" t="n">
        <f aca="false">SQRT(vit_x^2+vit_z^2)</f>
        <v>115.997891718366</v>
      </c>
      <c r="J795" s="396" t="n">
        <f aca="false">J794+0.5*(vit_x+G794)*pas*(K794&gt;=0)</f>
        <v>690.928492655337</v>
      </c>
      <c r="K795" s="398" t="n">
        <f aca="false">K794+0.5*(vit_z+H794)*pas</f>
        <v>-11.950988319766</v>
      </c>
      <c r="L795" s="397" t="n">
        <f aca="false">SQRT(pos_x^2+pos_z^2)</f>
        <v>691.031843032429</v>
      </c>
      <c r="M795" s="396" t="n">
        <f aca="false">IF(AND(L794&gt;L_rampe,G795&gt;0),ATAN2(G795,H795),$M$4)</f>
        <v>-1.47169954630123</v>
      </c>
      <c r="N795" s="397" t="n">
        <f aca="false">DEGREES(Beta)</f>
        <v>-84.3221727143787</v>
      </c>
      <c r="P795" s="399" t="n">
        <f aca="false">MATCH(t-pas/2-T_ini,CdP_t)</f>
        <v>23</v>
      </c>
      <c r="Q795" s="397" t="n">
        <f aca="false">(INDEX(CdP,2,i_P+1)-INDEX(CdP,2,i_P+0))/(INDEX(CdP,1,i_P+1)-INDEX(CdP,1,i_P+0))*(t-pas/2-T_ini-INDEX(CdP,1,i_P+0))+INDEX(CdP,2,i_P+0)</f>
        <v>0</v>
      </c>
      <c r="R795" s="396" t="n">
        <f aca="false">Poussee/(g*ISP)</f>
        <v>0</v>
      </c>
      <c r="S795" s="398" t="n">
        <f aca="false">S794-Débit*pas</f>
        <v>8.45</v>
      </c>
      <c r="T795" s="397" t="n">
        <f aca="false">m*g</f>
        <v>82.8945</v>
      </c>
      <c r="U795" s="400" t="n">
        <f aca="false">IF(pos_xz&lt;L_rampe,Poids*COS(Beta),0)</f>
        <v>0</v>
      </c>
      <c r="V795" s="396" t="n">
        <f aca="false">Rho_moyen*(20000-Alt_rampe-pos_z)/(20000+Alt_rampe+pos_z)</f>
        <v>1.22646487140222</v>
      </c>
      <c r="W795" s="397" t="n">
        <f aca="false">1/2*Rho*Sref*Cx*vit_xz^2</f>
        <v>62.0987491434078</v>
      </c>
      <c r="Y795" s="408" t="str">
        <f aca="false">IF(AND(pos_z&lt;=0,K794&gt;0),"Impact balistique","") &amp; IF(AND(H796&lt;0,vit_z&gt;=0),"Apogée","") &amp; IF(AND(Poussee=0,Q794&gt;0),"Fin de propulsion","") &amp; IF(AND(L796&gt;L_rampe,pos_xz&lt;=L_rampe),"Sortie de rampe","")</f>
        <v/>
      </c>
      <c r="Z795" s="402" t="str">
        <f aca="false">IF(ABS(t-T_para)&lt;pas/2,"Para","")</f>
        <v/>
      </c>
      <c r="AA795" s="403" t="str">
        <f aca="false">IF(ABS(t-T_satellite)&lt;pas/2,"Satellite","")</f>
        <v/>
      </c>
      <c r="AC795" s="399" t="e">
        <f aca="false">IF(ABS(t-ROUND(t,0))&lt;0.001,t,NA())</f>
        <v>#N/A</v>
      </c>
      <c r="AD795" s="404" t="e">
        <f aca="false">IF(ABS(t-ROUND(t,0))&lt;0.001,pos_x,NA())</f>
        <v>#N/A</v>
      </c>
      <c r="AE795" s="405" t="e">
        <f aca="false">IF(t&lt;T_para, pos_z, NA())</f>
        <v>#N/A</v>
      </c>
      <c r="AG795" s="396" t="n">
        <f aca="false">IF(AND(L794&lt;L_rampe,Poussee&lt;Poids*SIN(M794)),0,(-W794+Poussee)/m-Poids*SIN(M794)/m)</f>
        <v>2.41294531113573</v>
      </c>
      <c r="AH795" s="397" t="n">
        <f aca="false">IF(AND(L794&lt;L_rampe,Poussee&lt;Poids*SIN(M794)), g*SIN(M794), (-W794+Poussee)/m)</f>
        <v>-7.34892533883254</v>
      </c>
    </row>
    <row r="796" customFormat="false" ht="12.75" hidden="false" customHeight="false" outlineLevel="0" collapsed="false">
      <c r="A796" s="396" t="n">
        <f aca="false">IF(B795+0.01&lt;=T_ini+ROUNDUP(Temps_fin_propu,0), 0.01, IF(K795&gt;0, 0.1, 0.0001))</f>
        <v>0.0001</v>
      </c>
      <c r="B796" s="397" t="n">
        <f aca="false">B795+pas</f>
        <v>32.1291000000012</v>
      </c>
      <c r="D796" s="396" t="n">
        <f aca="false">IF(AND(L795&lt;L_rampe,Poussee&lt;Poids*SIN(M795)),0,(-W795+Poussee)/m*COS(M795)-U795/m*SIN(M795))</f>
        <v>-0.727067359065151</v>
      </c>
      <c r="E796" s="398" t="n">
        <f aca="false">IF(AND(L795&lt;L_rampe,Poussee&lt;Poids*SIN(M795)),0,(-W795+Poussee)/m*SIN(M795)+U795/m*COS(M795)-Poids/m)</f>
        <v>-2.49709013154128</v>
      </c>
      <c r="F796" s="397" t="n">
        <f aca="false">SQRT(acc_x^2+acc_z^2)</f>
        <v>2.60078566392135</v>
      </c>
      <c r="G796" s="396" t="n">
        <f aca="false">G795+acc_x*pas</f>
        <v>11.4761403007043</v>
      </c>
      <c r="H796" s="398" t="n">
        <f aca="false">H795+acc_z*pas</f>
        <v>-115.429047754014</v>
      </c>
      <c r="I796" s="397" t="n">
        <f aca="false">SQRT(vit_x^2+vit_z^2)</f>
        <v>115.998133009114</v>
      </c>
      <c r="J796" s="396" t="n">
        <f aca="false">J795+0.5*(vit_x+G795)*pas*(K795&gt;=0)</f>
        <v>690.928492655337</v>
      </c>
      <c r="K796" s="398" t="n">
        <f aca="false">K795+0.5*(vit_z+H795)*pas</f>
        <v>-11.962531212056</v>
      </c>
      <c r="L796" s="397" t="n">
        <f aca="false">SQRT(pos_x^2+pos_z^2)</f>
        <v>691.032042756322</v>
      </c>
      <c r="M796" s="396" t="n">
        <f aca="false">IF(AND(L795&gt;L_rampe,G796&gt;0),ATAN2(G796,H796),$M$4)</f>
        <v>-1.47170038299496</v>
      </c>
      <c r="N796" s="397" t="n">
        <f aca="false">DEGREES(Beta)</f>
        <v>-84.322220653398</v>
      </c>
      <c r="P796" s="399" t="n">
        <f aca="false">MATCH(t-pas/2-T_ini,CdP_t)</f>
        <v>23</v>
      </c>
      <c r="Q796" s="397" t="n">
        <f aca="false">(INDEX(CdP,2,i_P+1)-INDEX(CdP,2,i_P+0))/(INDEX(CdP,1,i_P+1)-INDEX(CdP,1,i_P+0))*(t-pas/2-T_ini-INDEX(CdP,1,i_P+0))+INDEX(CdP,2,i_P+0)</f>
        <v>0</v>
      </c>
      <c r="R796" s="396" t="n">
        <f aca="false">Poussee/(g*ISP)</f>
        <v>0</v>
      </c>
      <c r="S796" s="398" t="n">
        <f aca="false">S795-Débit*pas</f>
        <v>8.45</v>
      </c>
      <c r="T796" s="397" t="n">
        <f aca="false">m*g</f>
        <v>82.8945</v>
      </c>
      <c r="U796" s="400" t="n">
        <f aca="false">IF(pos_xz&lt;L_rampe,Poids*COS(Beta),0)</f>
        <v>0</v>
      </c>
      <c r="V796" s="396" t="n">
        <f aca="false">Rho_moyen*(20000-Alt_rampe-pos_z)/(20000+Alt_rampe+pos_z)</f>
        <v>1.22646628709874</v>
      </c>
      <c r="W796" s="397" t="n">
        <f aca="false">1/2*Rho*Sref*Cx*vit_xz^2</f>
        <v>62.0990791709576</v>
      </c>
      <c r="Y796" s="408" t="str">
        <f aca="false">IF(AND(pos_z&lt;=0,K795&gt;0),"Impact balistique","") &amp; IF(AND(H797&lt;0,vit_z&gt;=0),"Apogée","") &amp; IF(AND(Poussee=0,Q795&gt;0),"Fin de propulsion","") &amp; IF(AND(L797&gt;L_rampe,pos_xz&lt;=L_rampe),"Sortie de rampe","")</f>
        <v/>
      </c>
      <c r="Z796" s="402" t="str">
        <f aca="false">IF(ABS(t-T_para)&lt;pas/2,"Para","")</f>
        <v/>
      </c>
      <c r="AA796" s="403" t="str">
        <f aca="false">IF(ABS(t-T_satellite)&lt;pas/2,"Satellite","")</f>
        <v/>
      </c>
      <c r="AC796" s="399" t="e">
        <f aca="false">IF(ABS(t-ROUND(t,0))&lt;0.001,t,NA())</f>
        <v>#N/A</v>
      </c>
      <c r="AD796" s="404" t="e">
        <f aca="false">IF(ABS(t-ROUND(t,0))&lt;0.001,pos_x,NA())</f>
        <v>#N/A</v>
      </c>
      <c r="AE796" s="405" t="e">
        <f aca="false">IF(t&lt;T_para, pos_z, NA())</f>
        <v>#N/A</v>
      </c>
      <c r="AG796" s="396" t="n">
        <f aca="false">IF(AND(L795&lt;L_rampe,Poussee&lt;Poids*SIN(M795)),0,(-W795+Poussee)/m-Poids*SIN(M795)/m)</f>
        <v>2.41290706636299</v>
      </c>
      <c r="AH796" s="397" t="n">
        <f aca="false">IF(AND(L795&lt;L_rampe,Poussee&lt;Poids*SIN(M795)), g*SIN(M795), (-W795+Poussee)/m)</f>
        <v>-7.34896439566957</v>
      </c>
    </row>
    <row r="797" customFormat="false" ht="12.75" hidden="false" customHeight="false" outlineLevel="0" collapsed="false">
      <c r="A797" s="396" t="n">
        <f aca="false">IF(B796+0.01&lt;=T_ini+ROUNDUP(Temps_fin_propu,0), 0.01, IF(K796&gt;0, 0.1, 0.0001))</f>
        <v>0.0001</v>
      </c>
      <c r="B797" s="397" t="n">
        <f aca="false">B796+pas</f>
        <v>32.1292000000012</v>
      </c>
      <c r="D797" s="396" t="n">
        <f aca="false">IF(AND(L796&lt;L_rampe,Poussee&lt;Poids*SIN(M796)),0,(-W796+Poussee)/m*COS(M796)-U796/m*SIN(M796))</f>
        <v>-0.727065104409926</v>
      </c>
      <c r="E797" s="398" t="n">
        <f aca="false">IF(AND(L796&lt;L_rampe,Poussee&lt;Poids*SIN(M796)),0,(-W796+Poussee)/m*SIN(M796)+U796/m*COS(M796)-Poids/m)</f>
        <v>-2.49705065830711</v>
      </c>
      <c r="F797" s="397" t="n">
        <f aca="false">SQRT(acc_x^2+acc_z^2)</f>
        <v>2.60074713422943</v>
      </c>
      <c r="G797" s="396" t="n">
        <f aca="false">G796+acc_x*pas</f>
        <v>11.4760675941939</v>
      </c>
      <c r="H797" s="398" t="n">
        <f aca="false">H796+acc_z*pas</f>
        <v>-115.42929745908</v>
      </c>
      <c r="I797" s="397" t="n">
        <f aca="false">SQRT(vit_x^2+vit_z^2)</f>
        <v>115.998374296036</v>
      </c>
      <c r="J797" s="396" t="n">
        <f aca="false">J796+0.5*(vit_x+G796)*pas*(K796&gt;=0)</f>
        <v>690.928492655337</v>
      </c>
      <c r="K797" s="398" t="n">
        <f aca="false">K796+0.5*(vit_z+H796)*pas</f>
        <v>-11.9740741293166</v>
      </c>
      <c r="L797" s="397" t="n">
        <f aca="false">SQRT(pos_x^2+pos_z^2)</f>
        <v>691.032242673401</v>
      </c>
      <c r="M797" s="396" t="n">
        <f aca="false">IF(AND(L796&gt;L_rampe,G797&gt;0),ATAN2(G797,H797),$M$4)</f>
        <v>-1.4717012196799</v>
      </c>
      <c r="N797" s="397" t="n">
        <f aca="false">DEGREES(Beta)</f>
        <v>-84.3222685919141</v>
      </c>
      <c r="P797" s="399" t="n">
        <f aca="false">MATCH(t-pas/2-T_ini,CdP_t)</f>
        <v>23</v>
      </c>
      <c r="Q797" s="397" t="n">
        <f aca="false">(INDEX(CdP,2,i_P+1)-INDEX(CdP,2,i_P+0))/(INDEX(CdP,1,i_P+1)-INDEX(CdP,1,i_P+0))*(t-pas/2-T_ini-INDEX(CdP,1,i_P+0))+INDEX(CdP,2,i_P+0)</f>
        <v>0</v>
      </c>
      <c r="R797" s="396" t="n">
        <f aca="false">Poussee/(g*ISP)</f>
        <v>0</v>
      </c>
      <c r="S797" s="398" t="n">
        <f aca="false">S796-Débit*pas</f>
        <v>8.45</v>
      </c>
      <c r="T797" s="397" t="n">
        <f aca="false">m*g</f>
        <v>82.8945</v>
      </c>
      <c r="U797" s="400" t="n">
        <f aca="false">IF(pos_xz&lt;L_rampe,Poids*COS(Beta),0)</f>
        <v>0</v>
      </c>
      <c r="V797" s="396" t="n">
        <f aca="false">Rho_moyen*(20000-Alt_rampe-pos_z)/(20000+Alt_rampe+pos_z)</f>
        <v>1.22646770279995</v>
      </c>
      <c r="W797" s="397" t="n">
        <f aca="false">1/2*Rho*Sref*Cx*vit_xz^2</f>
        <v>62.0994091957842</v>
      </c>
      <c r="Y797" s="408" t="str">
        <f aca="false">IF(AND(pos_z&lt;=0,K796&gt;0),"Impact balistique","") &amp; IF(AND(H798&lt;0,vit_z&gt;=0),"Apogée","") &amp; IF(AND(Poussee=0,Q796&gt;0),"Fin de propulsion","") &amp; IF(AND(L798&gt;L_rampe,pos_xz&lt;=L_rampe),"Sortie de rampe","")</f>
        <v/>
      </c>
      <c r="Z797" s="402" t="str">
        <f aca="false">IF(ABS(t-T_para)&lt;pas/2,"Para","")</f>
        <v/>
      </c>
      <c r="AA797" s="403" t="str">
        <f aca="false">IF(ABS(t-T_satellite)&lt;pas/2,"Satellite","")</f>
        <v/>
      </c>
      <c r="AC797" s="399" t="e">
        <f aca="false">IF(ABS(t-ROUND(t,0))&lt;0.001,t,NA())</f>
        <v>#N/A</v>
      </c>
      <c r="AD797" s="404" t="e">
        <f aca="false">IF(ABS(t-ROUND(t,0))&lt;0.001,pos_x,NA())</f>
        <v>#N/A</v>
      </c>
      <c r="AE797" s="405" t="e">
        <f aca="false">IF(t&lt;T_para, pos_z, NA())</f>
        <v>#N/A</v>
      </c>
      <c r="AG797" s="396" t="n">
        <f aca="false">IF(AND(L796&lt;L_rampe,Poussee&lt;Poids*SIN(M796)),0,(-W796+Poussee)/m-Poids*SIN(M796)/m)</f>
        <v>2.41286882189716</v>
      </c>
      <c r="AH797" s="397" t="n">
        <f aca="false">IF(AND(L796&lt;L_rampe,Poussee&lt;Poids*SIN(M796)), g*SIN(M796), (-W796+Poussee)/m)</f>
        <v>-7.34900345218433</v>
      </c>
    </row>
    <row r="798" customFormat="false" ht="12.75" hidden="false" customHeight="false" outlineLevel="0" collapsed="false">
      <c r="A798" s="396" t="n">
        <f aca="false">IF(B797+0.01&lt;=T_ini+ROUNDUP(Temps_fin_propu,0), 0.01, IF(K797&gt;0, 0.1, 0.0001))</f>
        <v>0.0001</v>
      </c>
      <c r="B798" s="397" t="n">
        <f aca="false">B797+pas</f>
        <v>32.1293000000012</v>
      </c>
      <c r="D798" s="396" t="n">
        <f aca="false">IF(AND(L797&lt;L_rampe,Poussee&lt;Poids*SIN(M797)),0,(-W797+Poussee)/m*COS(M797)-U797/m*SIN(M797))</f>
        <v>-0.727062849721492</v>
      </c>
      <c r="E798" s="398" t="n">
        <f aca="false">IF(AND(L797&lt;L_rampe,Poussee&lt;Poids*SIN(M797)),0,(-W797+Poussee)/m*SIN(M797)+U797/m*COS(M797)-Poids/m)</f>
        <v>-2.49701118539866</v>
      </c>
      <c r="F798" s="397" t="n">
        <f aca="false">SQRT(acc_x^2+acc_z^2)</f>
        <v>2.60070860487121</v>
      </c>
      <c r="G798" s="396" t="n">
        <f aca="false">G797+acc_x*pas</f>
        <v>11.4759948879089</v>
      </c>
      <c r="H798" s="398" t="n">
        <f aca="false">H797+acc_z*pas</f>
        <v>-115.429547160199</v>
      </c>
      <c r="I798" s="397" t="n">
        <f aca="false">SQRT(vit_x^2+vit_z^2)</f>
        <v>115.998615579135</v>
      </c>
      <c r="J798" s="396" t="n">
        <f aca="false">J797+0.5*(vit_x+G797)*pas*(K797&gt;=0)</f>
        <v>690.928492655337</v>
      </c>
      <c r="K798" s="398" t="n">
        <f aca="false">K797+0.5*(vit_z+H797)*pas</f>
        <v>-11.9856170715476</v>
      </c>
      <c r="L798" s="397" t="n">
        <f aca="false">SQRT(pos_x^2+pos_z^2)</f>
        <v>691.032442783667</v>
      </c>
      <c r="M798" s="396" t="n">
        <f aca="false">IF(AND(L797&gt;L_rampe,G798&gt;0),ATAN2(G798,H798),$M$4)</f>
        <v>-1.47170205635607</v>
      </c>
      <c r="N798" s="397" t="n">
        <f aca="false">DEGREES(Beta)</f>
        <v>-84.3223165299271</v>
      </c>
      <c r="P798" s="399" t="n">
        <f aca="false">MATCH(t-pas/2-T_ini,CdP_t)</f>
        <v>23</v>
      </c>
      <c r="Q798" s="397" t="n">
        <f aca="false">(INDEX(CdP,2,i_P+1)-INDEX(CdP,2,i_P+0))/(INDEX(CdP,1,i_P+1)-INDEX(CdP,1,i_P+0))*(t-pas/2-T_ini-INDEX(CdP,1,i_P+0))+INDEX(CdP,2,i_P+0)</f>
        <v>0</v>
      </c>
      <c r="R798" s="396" t="n">
        <f aca="false">Poussee/(g*ISP)</f>
        <v>0</v>
      </c>
      <c r="S798" s="398" t="n">
        <f aca="false">S797-Débit*pas</f>
        <v>8.45</v>
      </c>
      <c r="T798" s="397" t="n">
        <f aca="false">m*g</f>
        <v>82.8945</v>
      </c>
      <c r="U798" s="400" t="n">
        <f aca="false">IF(pos_xz&lt;L_rampe,Poids*COS(Beta),0)</f>
        <v>0</v>
      </c>
      <c r="V798" s="396" t="n">
        <f aca="false">Rho_moyen*(20000-Alt_rampe-pos_z)/(20000+Alt_rampe+pos_z)</f>
        <v>1.22646911850586</v>
      </c>
      <c r="W798" s="397" t="n">
        <f aca="false">1/2*Rho*Sref*Cx*vit_xz^2</f>
        <v>62.0997392178876</v>
      </c>
      <c r="Y798" s="408" t="str">
        <f aca="false">IF(AND(pos_z&lt;=0,K797&gt;0),"Impact balistique","") &amp; IF(AND(H799&lt;0,vit_z&gt;=0),"Apogée","") &amp; IF(AND(Poussee=0,Q797&gt;0),"Fin de propulsion","") &amp; IF(AND(L799&gt;L_rampe,pos_xz&lt;=L_rampe),"Sortie de rampe","")</f>
        <v/>
      </c>
      <c r="Z798" s="402" t="str">
        <f aca="false">IF(ABS(t-T_para)&lt;pas/2,"Para","")</f>
        <v/>
      </c>
      <c r="AA798" s="403" t="str">
        <f aca="false">IF(ABS(t-T_satellite)&lt;pas/2,"Satellite","")</f>
        <v/>
      </c>
      <c r="AC798" s="399" t="e">
        <f aca="false">IF(ABS(t-ROUND(t,0))&lt;0.001,t,NA())</f>
        <v>#N/A</v>
      </c>
      <c r="AD798" s="404" t="e">
        <f aca="false">IF(ABS(t-ROUND(t,0))&lt;0.001,pos_x,NA())</f>
        <v>#N/A</v>
      </c>
      <c r="AE798" s="405" t="e">
        <f aca="false">IF(t&lt;T_para, pos_z, NA())</f>
        <v>#N/A</v>
      </c>
      <c r="AG798" s="396" t="n">
        <f aca="false">IF(AND(L797&lt;L_rampe,Poussee&lt;Poids*SIN(M797)),0,(-W797+Poussee)/m-Poids*SIN(M797)/m)</f>
        <v>2.41283057773823</v>
      </c>
      <c r="AH798" s="397" t="n">
        <f aca="false">IF(AND(L797&lt;L_rampe,Poussee&lt;Poids*SIN(M797)), g*SIN(M797), (-W797+Poussee)/m)</f>
        <v>-7.34904250837682</v>
      </c>
    </row>
    <row r="799" customFormat="false" ht="12.75" hidden="false" customHeight="false" outlineLevel="0" collapsed="false">
      <c r="A799" s="396" t="n">
        <f aca="false">IF(B798+0.01&lt;=T_ini+ROUNDUP(Temps_fin_propu,0), 0.01, IF(K798&gt;0, 0.1, 0.0001))</f>
        <v>0.0001</v>
      </c>
      <c r="B799" s="397" t="n">
        <f aca="false">B798+pas</f>
        <v>32.1294000000012</v>
      </c>
      <c r="D799" s="396" t="n">
        <f aca="false">IF(AND(L798&lt;L_rampe,Poussee&lt;Poids*SIN(M798)),0,(-W798+Poussee)/m*COS(M798)-U798/m*SIN(M798))</f>
        <v>-0.72706059499985</v>
      </c>
      <c r="E799" s="398" t="n">
        <f aca="false">IF(AND(L798&lt;L_rampe,Poussee&lt;Poids*SIN(M798)),0,(-W798+Poussee)/m*SIN(M798)+U798/m*COS(M798)-Poids/m)</f>
        <v>-2.49697171281593</v>
      </c>
      <c r="F799" s="397" t="n">
        <f aca="false">SQRT(acc_x^2+acc_z^2)</f>
        <v>2.6006700758467</v>
      </c>
      <c r="G799" s="396" t="n">
        <f aca="false">G798+acc_x*pas</f>
        <v>11.4759221818494</v>
      </c>
      <c r="H799" s="398" t="n">
        <f aca="false">H798+acc_z*pas</f>
        <v>-115.42979685737</v>
      </c>
      <c r="I799" s="397" t="n">
        <f aca="false">SQRT(vit_x^2+vit_z^2)</f>
        <v>115.998856858409</v>
      </c>
      <c r="J799" s="396" t="n">
        <f aca="false">J798+0.5*(vit_x+G798)*pas*(K798&gt;=0)</f>
        <v>690.928492655337</v>
      </c>
      <c r="K799" s="398" t="n">
        <f aca="false">K798+0.5*(vit_z+H798)*pas</f>
        <v>-11.9971600387485</v>
      </c>
      <c r="L799" s="397" t="n">
        <f aca="false">SQRT(pos_x^2+pos_z^2)</f>
        <v>691.03264308712</v>
      </c>
      <c r="M799" s="396" t="n">
        <f aca="false">IF(AND(L798&gt;L_rampe,G799&gt;0),ATAN2(G799,H799),$M$4)</f>
        <v>-1.47170289302345</v>
      </c>
      <c r="N799" s="397" t="n">
        <f aca="false">DEGREES(Beta)</f>
        <v>-84.3223644674369</v>
      </c>
      <c r="P799" s="399" t="n">
        <f aca="false">MATCH(t-pas/2-T_ini,CdP_t)</f>
        <v>23</v>
      </c>
      <c r="Q799" s="397" t="n">
        <f aca="false">(INDEX(CdP,2,i_P+1)-INDEX(CdP,2,i_P+0))/(INDEX(CdP,1,i_P+1)-INDEX(CdP,1,i_P+0))*(t-pas/2-T_ini-INDEX(CdP,1,i_P+0))+INDEX(CdP,2,i_P+0)</f>
        <v>0</v>
      </c>
      <c r="R799" s="396" t="n">
        <f aca="false">Poussee/(g*ISP)</f>
        <v>0</v>
      </c>
      <c r="S799" s="398" t="n">
        <f aca="false">S798-Débit*pas</f>
        <v>8.45</v>
      </c>
      <c r="T799" s="397" t="n">
        <f aca="false">m*g</f>
        <v>82.8945</v>
      </c>
      <c r="U799" s="400" t="n">
        <f aca="false">IF(pos_xz&lt;L_rampe,Poids*COS(Beta),0)</f>
        <v>0</v>
      </c>
      <c r="V799" s="396" t="n">
        <f aca="false">Rho_moyen*(20000-Alt_rampe-pos_z)/(20000+Alt_rampe+pos_z)</f>
        <v>1.22647053421646</v>
      </c>
      <c r="W799" s="397" t="n">
        <f aca="false">1/2*Rho*Sref*Cx*vit_xz^2</f>
        <v>62.1000692372679</v>
      </c>
      <c r="Y799" s="408" t="str">
        <f aca="false">IF(AND(pos_z&lt;=0,K798&gt;0),"Impact balistique","") &amp; IF(AND(H800&lt;0,vit_z&gt;=0),"Apogée","") &amp; IF(AND(Poussee=0,Q798&gt;0),"Fin de propulsion","") &amp; IF(AND(L800&gt;L_rampe,pos_xz&lt;=L_rampe),"Sortie de rampe","")</f>
        <v/>
      </c>
      <c r="Z799" s="402" t="str">
        <f aca="false">IF(ABS(t-T_para)&lt;pas/2,"Para","")</f>
        <v/>
      </c>
      <c r="AA799" s="403" t="str">
        <f aca="false">IF(ABS(t-T_satellite)&lt;pas/2,"Satellite","")</f>
        <v/>
      </c>
      <c r="AC799" s="399" t="e">
        <f aca="false">IF(ABS(t-ROUND(t,0))&lt;0.001,t,NA())</f>
        <v>#N/A</v>
      </c>
      <c r="AD799" s="404" t="e">
        <f aca="false">IF(ABS(t-ROUND(t,0))&lt;0.001,pos_x,NA())</f>
        <v>#N/A</v>
      </c>
      <c r="AE799" s="405" t="e">
        <f aca="false">IF(t&lt;T_para, pos_z, NA())</f>
        <v>#N/A</v>
      </c>
      <c r="AG799" s="396" t="n">
        <f aca="false">IF(AND(L798&lt;L_rampe,Poussee&lt;Poids*SIN(M798)),0,(-W798+Poussee)/m-Poids*SIN(M798)/m)</f>
        <v>2.41279233388622</v>
      </c>
      <c r="AH799" s="397" t="n">
        <f aca="false">IF(AND(L798&lt;L_rampe,Poussee&lt;Poids*SIN(M798)), g*SIN(M798), (-W798+Poussee)/m)</f>
        <v>-7.34908156424705</v>
      </c>
    </row>
    <row r="800" customFormat="false" ht="12.75" hidden="false" customHeight="false" outlineLevel="0" collapsed="false">
      <c r="A800" s="396" t="n">
        <f aca="false">IF(B799+0.01&lt;=T_ini+ROUNDUP(Temps_fin_propu,0), 0.01, IF(K799&gt;0, 0.1, 0.0001))</f>
        <v>0.0001</v>
      </c>
      <c r="B800" s="397" t="n">
        <f aca="false">B799+pas</f>
        <v>32.1295000000012</v>
      </c>
      <c r="D800" s="396" t="n">
        <f aca="false">IF(AND(L799&lt;L_rampe,Poussee&lt;Poids*SIN(M799)),0,(-W799+Poussee)/m*COS(M799)-U799/m*SIN(M799))</f>
        <v>-0.727058340245004</v>
      </c>
      <c r="E800" s="398" t="n">
        <f aca="false">IF(AND(L799&lt;L_rampe,Poussee&lt;Poids*SIN(M799)),0,(-W799+Poussee)/m*SIN(M799)+U799/m*COS(M799)-Poids/m)</f>
        <v>-2.49693224055893</v>
      </c>
      <c r="F800" s="397" t="n">
        <f aca="false">SQRT(acc_x^2+acc_z^2)</f>
        <v>2.60063154715589</v>
      </c>
      <c r="G800" s="396" t="n">
        <f aca="false">G799+acc_x*pas</f>
        <v>11.4758494760154</v>
      </c>
      <c r="H800" s="398" t="n">
        <f aca="false">H799+acc_z*pas</f>
        <v>-115.430046550594</v>
      </c>
      <c r="I800" s="397" t="n">
        <f aca="false">SQRT(vit_x^2+vit_z^2)</f>
        <v>115.999098133858</v>
      </c>
      <c r="J800" s="396" t="n">
        <f aca="false">J799+0.5*(vit_x+G799)*pas*(K799&gt;=0)</f>
        <v>690.928492655337</v>
      </c>
      <c r="K800" s="398" t="n">
        <f aca="false">K799+0.5*(vit_z+H799)*pas</f>
        <v>-12.0087030309189</v>
      </c>
      <c r="L800" s="397" t="n">
        <f aca="false">SQRT(pos_x^2+pos_z^2)</f>
        <v>691.032843583762</v>
      </c>
      <c r="M800" s="396" t="n">
        <f aca="false">IF(AND(L799&gt;L_rampe,G800&gt;0),ATAN2(G800,H800),$M$4)</f>
        <v>-1.47170372968205</v>
      </c>
      <c r="N800" s="397" t="n">
        <f aca="false">DEGREES(Beta)</f>
        <v>-84.3224124044436</v>
      </c>
      <c r="P800" s="399" t="n">
        <f aca="false">MATCH(t-pas/2-T_ini,CdP_t)</f>
        <v>23</v>
      </c>
      <c r="Q800" s="397" t="n">
        <f aca="false">(INDEX(CdP,2,i_P+1)-INDEX(CdP,2,i_P+0))/(INDEX(CdP,1,i_P+1)-INDEX(CdP,1,i_P+0))*(t-pas/2-T_ini-INDEX(CdP,1,i_P+0))+INDEX(CdP,2,i_P+0)</f>
        <v>0</v>
      </c>
      <c r="R800" s="396" t="n">
        <f aca="false">Poussee/(g*ISP)</f>
        <v>0</v>
      </c>
      <c r="S800" s="398" t="n">
        <f aca="false">S799-Débit*pas</f>
        <v>8.45</v>
      </c>
      <c r="T800" s="397" t="n">
        <f aca="false">m*g</f>
        <v>82.8945</v>
      </c>
      <c r="U800" s="400" t="n">
        <f aca="false">IF(pos_xz&lt;L_rampe,Poids*COS(Beta),0)</f>
        <v>0</v>
      </c>
      <c r="V800" s="396" t="n">
        <f aca="false">Rho_moyen*(20000-Alt_rampe-pos_z)/(20000+Alt_rampe+pos_z)</f>
        <v>1.22647194993177</v>
      </c>
      <c r="W800" s="397" t="n">
        <f aca="false">1/2*Rho*Sref*Cx*vit_xz^2</f>
        <v>62.100399253925</v>
      </c>
      <c r="Y800" s="408" t="str">
        <f aca="false">IF(AND(pos_z&lt;=0,K799&gt;0),"Impact balistique","") &amp; IF(AND(H801&lt;0,vit_z&gt;=0),"Apogée","") &amp; IF(AND(Poussee=0,Q799&gt;0),"Fin de propulsion","") &amp; IF(AND(L801&gt;L_rampe,pos_xz&lt;=L_rampe),"Sortie de rampe","")</f>
        <v/>
      </c>
      <c r="Z800" s="402" t="str">
        <f aca="false">IF(ABS(t-T_para)&lt;pas/2,"Para","")</f>
        <v/>
      </c>
      <c r="AA800" s="403" t="str">
        <f aca="false">IF(ABS(t-T_satellite)&lt;pas/2,"Satellite","")</f>
        <v/>
      </c>
      <c r="AC800" s="399" t="e">
        <f aca="false">IF(ABS(t-ROUND(t,0))&lt;0.001,t,NA())</f>
        <v>#N/A</v>
      </c>
      <c r="AD800" s="404" t="e">
        <f aca="false">IF(ABS(t-ROUND(t,0))&lt;0.001,pos_x,NA())</f>
        <v>#N/A</v>
      </c>
      <c r="AE800" s="405" t="e">
        <f aca="false">IF(t&lt;T_para, pos_z, NA())</f>
        <v>#N/A</v>
      </c>
      <c r="AG800" s="396" t="n">
        <f aca="false">IF(AND(L799&lt;L_rampe,Poussee&lt;Poids*SIN(M799)),0,(-W799+Poussee)/m-Poids*SIN(M799)/m)</f>
        <v>2.41275409034111</v>
      </c>
      <c r="AH800" s="397" t="n">
        <f aca="false">IF(AND(L799&lt;L_rampe,Poussee&lt;Poids*SIN(M799)), g*SIN(M799), (-W799+Poussee)/m)</f>
        <v>-7.34912061979502</v>
      </c>
    </row>
    <row r="801" customFormat="false" ht="12.75" hidden="false" customHeight="false" outlineLevel="0" collapsed="false">
      <c r="A801" s="396" t="n">
        <f aca="false">IF(B800+0.01&lt;=T_ini+ROUNDUP(Temps_fin_propu,0), 0.01, IF(K800&gt;0, 0.1, 0.0001))</f>
        <v>0.0001</v>
      </c>
      <c r="B801" s="397" t="n">
        <f aca="false">B800+pas</f>
        <v>32.1296000000012</v>
      </c>
      <c r="D801" s="396" t="n">
        <f aca="false">IF(AND(L800&lt;L_rampe,Poussee&lt;Poids*SIN(M800)),0,(-W800+Poussee)/m*COS(M800)-U800/m*SIN(M800))</f>
        <v>-0.727056085456951</v>
      </c>
      <c r="E801" s="398" t="n">
        <f aca="false">IF(AND(L800&lt;L_rampe,Poussee&lt;Poids*SIN(M800)),0,(-W800+Poussee)/m*SIN(M800)+U800/m*COS(M800)-Poids/m)</f>
        <v>-2.49689276862765</v>
      </c>
      <c r="F801" s="397" t="n">
        <f aca="false">SQRT(acc_x^2+acc_z^2)</f>
        <v>2.6005930187988</v>
      </c>
      <c r="G801" s="396" t="n">
        <f aca="false">G800+acc_x*pas</f>
        <v>11.4757767704068</v>
      </c>
      <c r="H801" s="398" t="n">
        <f aca="false">H800+acc_z*pas</f>
        <v>-115.430296239871</v>
      </c>
      <c r="I801" s="397" t="n">
        <f aca="false">SQRT(vit_x^2+vit_z^2)</f>
        <v>115.999339405484</v>
      </c>
      <c r="J801" s="396" t="n">
        <f aca="false">J800+0.5*(vit_x+G800)*pas*(K800&gt;=0)</f>
        <v>690.928492655337</v>
      </c>
      <c r="K801" s="398" t="n">
        <f aca="false">K800+0.5*(vit_z+H800)*pas</f>
        <v>-12.0202460480584</v>
      </c>
      <c r="L801" s="397" t="n">
        <f aca="false">SQRT(pos_x^2+pos_z^2)</f>
        <v>691.033044273594</v>
      </c>
      <c r="M801" s="396" t="n">
        <f aca="false">IF(AND(L800&gt;L_rampe,G801&gt;0),ATAN2(G801,H801),$M$4)</f>
        <v>-1.47170456633187</v>
      </c>
      <c r="N801" s="397" t="n">
        <f aca="false">DEGREES(Beta)</f>
        <v>-84.3224603409473</v>
      </c>
      <c r="P801" s="399" t="n">
        <f aca="false">MATCH(t-pas/2-T_ini,CdP_t)</f>
        <v>23</v>
      </c>
      <c r="Q801" s="397" t="n">
        <f aca="false">(INDEX(CdP,2,i_P+1)-INDEX(CdP,2,i_P+0))/(INDEX(CdP,1,i_P+1)-INDEX(CdP,1,i_P+0))*(t-pas/2-T_ini-INDEX(CdP,1,i_P+0))+INDEX(CdP,2,i_P+0)</f>
        <v>0</v>
      </c>
      <c r="R801" s="396" t="n">
        <f aca="false">Poussee/(g*ISP)</f>
        <v>0</v>
      </c>
      <c r="S801" s="398" t="n">
        <f aca="false">S800-Débit*pas</f>
        <v>8.45</v>
      </c>
      <c r="T801" s="397" t="n">
        <f aca="false">m*g</f>
        <v>82.8945</v>
      </c>
      <c r="U801" s="400" t="n">
        <f aca="false">IF(pos_xz&lt;L_rampe,Poids*COS(Beta),0)</f>
        <v>0</v>
      </c>
      <c r="V801" s="396" t="n">
        <f aca="false">Rho_moyen*(20000-Alt_rampe-pos_z)/(20000+Alt_rampe+pos_z)</f>
        <v>1.22647336565177</v>
      </c>
      <c r="W801" s="397" t="n">
        <f aca="false">1/2*Rho*Sref*Cx*vit_xz^2</f>
        <v>62.100729267859</v>
      </c>
      <c r="Y801" s="408" t="str">
        <f aca="false">IF(AND(pos_z&lt;=0,K800&gt;0),"Impact balistique","") &amp; IF(AND(H802&lt;0,vit_z&gt;=0),"Apogée","") &amp; IF(AND(Poussee=0,Q800&gt;0),"Fin de propulsion","") &amp; IF(AND(L802&gt;L_rampe,pos_xz&lt;=L_rampe),"Sortie de rampe","")</f>
        <v/>
      </c>
      <c r="Z801" s="402" t="str">
        <f aca="false">IF(ABS(t-T_para)&lt;pas/2,"Para","")</f>
        <v/>
      </c>
      <c r="AA801" s="403" t="str">
        <f aca="false">IF(ABS(t-T_satellite)&lt;pas/2,"Satellite","")</f>
        <v/>
      </c>
      <c r="AC801" s="399" t="e">
        <f aca="false">IF(ABS(t-ROUND(t,0))&lt;0.001,t,NA())</f>
        <v>#N/A</v>
      </c>
      <c r="AD801" s="404" t="e">
        <f aca="false">IF(ABS(t-ROUND(t,0))&lt;0.001,pos_x,NA())</f>
        <v>#N/A</v>
      </c>
      <c r="AE801" s="405" t="e">
        <f aca="false">IF(t&lt;T_para, pos_z, NA())</f>
        <v>#N/A</v>
      </c>
      <c r="AG801" s="396" t="n">
        <f aca="false">IF(AND(L800&lt;L_rampe,Poussee&lt;Poids*SIN(M800)),0,(-W800+Poussee)/m-Poids*SIN(M800)/m)</f>
        <v>2.41271584710292</v>
      </c>
      <c r="AH801" s="397" t="n">
        <f aca="false">IF(AND(L800&lt;L_rampe,Poussee&lt;Poids*SIN(M800)), g*SIN(M800), (-W800+Poussee)/m)</f>
        <v>-7.34915967502071</v>
      </c>
    </row>
    <row r="802" customFormat="false" ht="12.75" hidden="false" customHeight="false" outlineLevel="0" collapsed="false">
      <c r="A802" s="396" t="n">
        <f aca="false">IF(B801+0.01&lt;=T_ini+ROUNDUP(Temps_fin_propu,0), 0.01, IF(K801&gt;0, 0.1, 0.0001))</f>
        <v>0.0001</v>
      </c>
      <c r="B802" s="397" t="n">
        <f aca="false">B801+pas</f>
        <v>32.1297000000012</v>
      </c>
      <c r="D802" s="396" t="n">
        <f aca="false">IF(AND(L801&lt;L_rampe,Poussee&lt;Poids*SIN(M801)),0,(-W801+Poussee)/m*COS(M801)-U801/m*SIN(M801))</f>
        <v>-0.727053830635692</v>
      </c>
      <c r="E802" s="398" t="n">
        <f aca="false">IF(AND(L801&lt;L_rampe,Poussee&lt;Poids*SIN(M801)),0,(-W801+Poussee)/m*SIN(M801)+U801/m*COS(M801)-Poids/m)</f>
        <v>-2.4968532970221</v>
      </c>
      <c r="F802" s="397" t="n">
        <f aca="false">SQRT(acc_x^2+acc_z^2)</f>
        <v>2.60055449077541</v>
      </c>
      <c r="G802" s="396" t="n">
        <f aca="false">G801+acc_x*pas</f>
        <v>11.4757040650238</v>
      </c>
      <c r="H802" s="398" t="n">
        <f aca="false">H801+acc_z*pas</f>
        <v>-115.430545925201</v>
      </c>
      <c r="I802" s="397" t="n">
        <f aca="false">SQRT(vit_x^2+vit_z^2)</f>
        <v>115.999580673285</v>
      </c>
      <c r="J802" s="396" t="n">
        <f aca="false">J801+0.5*(vit_x+G801)*pas*(K801&gt;=0)</f>
        <v>690.928492655337</v>
      </c>
      <c r="K802" s="398" t="n">
        <f aca="false">K801+0.5*(vit_z+H801)*pas</f>
        <v>-12.0317890901666</v>
      </c>
      <c r="L802" s="397" t="n">
        <f aca="false">SQRT(pos_x^2+pos_z^2)</f>
        <v>691.033245156618</v>
      </c>
      <c r="M802" s="396" t="n">
        <f aca="false">IF(AND(L801&gt;L_rampe,G802&gt;0),ATAN2(G802,H802),$M$4)</f>
        <v>-1.47170540297291</v>
      </c>
      <c r="N802" s="397" t="n">
        <f aca="false">DEGREES(Beta)</f>
        <v>-84.3225082769477</v>
      </c>
      <c r="P802" s="399" t="n">
        <f aca="false">MATCH(t-pas/2-T_ini,CdP_t)</f>
        <v>23</v>
      </c>
      <c r="Q802" s="397" t="n">
        <f aca="false">(INDEX(CdP,2,i_P+1)-INDEX(CdP,2,i_P+0))/(INDEX(CdP,1,i_P+1)-INDEX(CdP,1,i_P+0))*(t-pas/2-T_ini-INDEX(CdP,1,i_P+0))+INDEX(CdP,2,i_P+0)</f>
        <v>0</v>
      </c>
      <c r="R802" s="396" t="n">
        <f aca="false">Poussee/(g*ISP)</f>
        <v>0</v>
      </c>
      <c r="S802" s="398" t="n">
        <f aca="false">S801-Débit*pas</f>
        <v>8.45</v>
      </c>
      <c r="T802" s="397" t="n">
        <f aca="false">m*g</f>
        <v>82.8945</v>
      </c>
      <c r="U802" s="400" t="n">
        <f aca="false">IF(pos_xz&lt;L_rampe,Poids*COS(Beta),0)</f>
        <v>0</v>
      </c>
      <c r="V802" s="396" t="n">
        <f aca="false">Rho_moyen*(20000-Alt_rampe-pos_z)/(20000+Alt_rampe+pos_z)</f>
        <v>1.22647478137647</v>
      </c>
      <c r="W802" s="397" t="n">
        <f aca="false">1/2*Rho*Sref*Cx*vit_xz^2</f>
        <v>62.1010592790698</v>
      </c>
      <c r="Y802" s="408" t="str">
        <f aca="false">IF(AND(pos_z&lt;=0,K801&gt;0),"Impact balistique","") &amp; IF(AND(H803&lt;0,vit_z&gt;=0),"Apogée","") &amp; IF(AND(Poussee=0,Q801&gt;0),"Fin de propulsion","") &amp; IF(AND(L803&gt;L_rampe,pos_xz&lt;=L_rampe),"Sortie de rampe","")</f>
        <v/>
      </c>
      <c r="Z802" s="402" t="str">
        <f aca="false">IF(ABS(t-T_para)&lt;pas/2,"Para","")</f>
        <v/>
      </c>
      <c r="AA802" s="403" t="str">
        <f aca="false">IF(ABS(t-T_satellite)&lt;pas/2,"Satellite","")</f>
        <v/>
      </c>
      <c r="AC802" s="399" t="e">
        <f aca="false">IF(ABS(t-ROUND(t,0))&lt;0.001,t,NA())</f>
        <v>#N/A</v>
      </c>
      <c r="AD802" s="404" t="e">
        <f aca="false">IF(ABS(t-ROUND(t,0))&lt;0.001,pos_x,NA())</f>
        <v>#N/A</v>
      </c>
      <c r="AE802" s="405" t="e">
        <f aca="false">IF(t&lt;T_para, pos_z, NA())</f>
        <v>#N/A</v>
      </c>
      <c r="AG802" s="396" t="n">
        <f aca="false">IF(AND(L801&lt;L_rampe,Poussee&lt;Poids*SIN(M801)),0,(-W801+Poussee)/m-Poids*SIN(M801)/m)</f>
        <v>2.41267760417164</v>
      </c>
      <c r="AH802" s="397" t="n">
        <f aca="false">IF(AND(L801&lt;L_rampe,Poussee&lt;Poids*SIN(M801)), g*SIN(M801), (-W801+Poussee)/m)</f>
        <v>-7.34919872992414</v>
      </c>
    </row>
    <row r="803" customFormat="false" ht="12.75" hidden="false" customHeight="false" outlineLevel="0" collapsed="false">
      <c r="A803" s="396" t="n">
        <f aca="false">IF(B802+0.01&lt;=T_ini+ROUNDUP(Temps_fin_propu,0), 0.01, IF(K802&gt;0, 0.1, 0.0001))</f>
        <v>0.0001</v>
      </c>
      <c r="B803" s="397" t="n">
        <f aca="false">B802+pas</f>
        <v>32.1298000000012</v>
      </c>
      <c r="D803" s="396" t="n">
        <f aca="false">IF(AND(L802&lt;L_rampe,Poussee&lt;Poids*SIN(M802)),0,(-W802+Poussee)/m*COS(M802)-U802/m*SIN(M802))</f>
        <v>-0.727051575781232</v>
      </c>
      <c r="E803" s="398" t="n">
        <f aca="false">IF(AND(L802&lt;L_rampe,Poussee&lt;Poids*SIN(M802)),0,(-W802+Poussee)/m*SIN(M802)+U802/m*COS(M802)-Poids/m)</f>
        <v>-2.49681382574227</v>
      </c>
      <c r="F803" s="397" t="n">
        <f aca="false">SQRT(acc_x^2+acc_z^2)</f>
        <v>2.60051596308573</v>
      </c>
      <c r="G803" s="396" t="n">
        <f aca="false">G802+acc_x*pas</f>
        <v>11.4756313598662</v>
      </c>
      <c r="H803" s="398" t="n">
        <f aca="false">H802+acc_z*pas</f>
        <v>-115.430795606583</v>
      </c>
      <c r="I803" s="397" t="n">
        <f aca="false">SQRT(vit_x^2+vit_z^2)</f>
        <v>115.999821937261</v>
      </c>
      <c r="J803" s="396" t="n">
        <f aca="false">J802+0.5*(vit_x+G802)*pas*(K802&gt;=0)</f>
        <v>690.928492655337</v>
      </c>
      <c r="K803" s="398" t="n">
        <f aca="false">K802+0.5*(vit_z+H802)*pas</f>
        <v>-12.0433321572432</v>
      </c>
      <c r="L803" s="397" t="n">
        <f aca="false">SQRT(pos_x^2+pos_z^2)</f>
        <v>691.033446232833</v>
      </c>
      <c r="M803" s="396" t="n">
        <f aca="false">IF(AND(L802&gt;L_rampe,G803&gt;0),ATAN2(G803,H803),$M$4)</f>
        <v>-1.47170623960517</v>
      </c>
      <c r="N803" s="397" t="n">
        <f aca="false">DEGREES(Beta)</f>
        <v>-84.3225562124451</v>
      </c>
      <c r="P803" s="399" t="n">
        <f aca="false">MATCH(t-pas/2-T_ini,CdP_t)</f>
        <v>23</v>
      </c>
      <c r="Q803" s="397" t="n">
        <f aca="false">(INDEX(CdP,2,i_P+1)-INDEX(CdP,2,i_P+0))/(INDEX(CdP,1,i_P+1)-INDEX(CdP,1,i_P+0))*(t-pas/2-T_ini-INDEX(CdP,1,i_P+0))+INDEX(CdP,2,i_P+0)</f>
        <v>0</v>
      </c>
      <c r="R803" s="396" t="n">
        <f aca="false">Poussee/(g*ISP)</f>
        <v>0</v>
      </c>
      <c r="S803" s="398" t="n">
        <f aca="false">S802-Débit*pas</f>
        <v>8.45</v>
      </c>
      <c r="T803" s="397" t="n">
        <f aca="false">m*g</f>
        <v>82.8945</v>
      </c>
      <c r="U803" s="400" t="n">
        <f aca="false">IF(pos_xz&lt;L_rampe,Poids*COS(Beta),0)</f>
        <v>0</v>
      </c>
      <c r="V803" s="396" t="n">
        <f aca="false">Rho_moyen*(20000-Alt_rampe-pos_z)/(20000+Alt_rampe+pos_z)</f>
        <v>1.22647619710587</v>
      </c>
      <c r="W803" s="397" t="n">
        <f aca="false">1/2*Rho*Sref*Cx*vit_xz^2</f>
        <v>62.1013892875574</v>
      </c>
      <c r="Y803" s="408" t="str">
        <f aca="false">IF(AND(pos_z&lt;=0,K802&gt;0),"Impact balistique","") &amp; IF(AND(H804&lt;0,vit_z&gt;=0),"Apogée","") &amp; IF(AND(Poussee=0,Q802&gt;0),"Fin de propulsion","") &amp; IF(AND(L804&gt;L_rampe,pos_xz&lt;=L_rampe),"Sortie de rampe","")</f>
        <v/>
      </c>
      <c r="Z803" s="402" t="str">
        <f aca="false">IF(ABS(t-T_para)&lt;pas/2,"Para","")</f>
        <v/>
      </c>
      <c r="AA803" s="403" t="str">
        <f aca="false">IF(ABS(t-T_satellite)&lt;pas/2,"Satellite","")</f>
        <v/>
      </c>
      <c r="AC803" s="399" t="e">
        <f aca="false">IF(ABS(t-ROUND(t,0))&lt;0.001,t,NA())</f>
        <v>#N/A</v>
      </c>
      <c r="AD803" s="404" t="e">
        <f aca="false">IF(ABS(t-ROUND(t,0))&lt;0.001,pos_x,NA())</f>
        <v>#N/A</v>
      </c>
      <c r="AE803" s="405" t="e">
        <f aca="false">IF(t&lt;T_para, pos_z, NA())</f>
        <v>#N/A</v>
      </c>
      <c r="AG803" s="396" t="n">
        <f aca="false">IF(AND(L802&lt;L_rampe,Poussee&lt;Poids*SIN(M802)),0,(-W802+Poussee)/m-Poids*SIN(M802)/m)</f>
        <v>2.41263936154727</v>
      </c>
      <c r="AH803" s="397" t="n">
        <f aca="false">IF(AND(L802&lt;L_rampe,Poussee&lt;Poids*SIN(M802)), g*SIN(M802), (-W802+Poussee)/m)</f>
        <v>-7.3492377845053</v>
      </c>
    </row>
    <row r="804" customFormat="false" ht="12.75" hidden="false" customHeight="false" outlineLevel="0" collapsed="false">
      <c r="A804" s="396" t="n">
        <f aca="false">IF(B803+0.01&lt;=T_ini+ROUNDUP(Temps_fin_propu,0), 0.01, IF(K803&gt;0, 0.1, 0.0001))</f>
        <v>0.0001</v>
      </c>
      <c r="B804" s="397" t="n">
        <f aca="false">B803+pas</f>
        <v>32.1299000000012</v>
      </c>
      <c r="D804" s="396" t="n">
        <f aca="false">IF(AND(L803&lt;L_rampe,Poussee&lt;Poids*SIN(M803)),0,(-W803+Poussee)/m*COS(M803)-U803/m*SIN(M803))</f>
        <v>-0.727049320893566</v>
      </c>
      <c r="E804" s="398" t="n">
        <f aca="false">IF(AND(L803&lt;L_rampe,Poussee&lt;Poids*SIN(M803)),0,(-W803+Poussee)/m*SIN(M803)+U803/m*COS(M803)-Poids/m)</f>
        <v>-2.49677435478817</v>
      </c>
      <c r="F804" s="397" t="n">
        <f aca="false">SQRT(acc_x^2+acc_z^2)</f>
        <v>2.60047743572977</v>
      </c>
      <c r="G804" s="396" t="n">
        <f aca="false">G803+acc_x*pas</f>
        <v>11.4755586549341</v>
      </c>
      <c r="H804" s="398" t="n">
        <f aca="false">H803+acc_z*pas</f>
        <v>-115.431045284019</v>
      </c>
      <c r="I804" s="397" t="n">
        <f aca="false">SQRT(vit_x^2+vit_z^2)</f>
        <v>116.000063197414</v>
      </c>
      <c r="J804" s="396" t="n">
        <f aca="false">J803+0.5*(vit_x+G803)*pas*(K803&gt;=0)</f>
        <v>690.928492655337</v>
      </c>
      <c r="K804" s="398" t="n">
        <f aca="false">K803+0.5*(vit_z+H803)*pas</f>
        <v>-12.0548752492877</v>
      </c>
      <c r="L804" s="397" t="n">
        <f aca="false">SQRT(pos_x^2+pos_z^2)</f>
        <v>691.033647502241</v>
      </c>
      <c r="M804" s="396" t="n">
        <f aca="false">IF(AND(L803&gt;L_rampe,G804&gt;0),ATAN2(G804,H804),$M$4)</f>
        <v>-1.47170707622864</v>
      </c>
      <c r="N804" s="397" t="n">
        <f aca="false">DEGREES(Beta)</f>
        <v>-84.3226041474394</v>
      </c>
      <c r="P804" s="399" t="n">
        <f aca="false">MATCH(t-pas/2-T_ini,CdP_t)</f>
        <v>23</v>
      </c>
      <c r="Q804" s="397" t="n">
        <f aca="false">(INDEX(CdP,2,i_P+1)-INDEX(CdP,2,i_P+0))/(INDEX(CdP,1,i_P+1)-INDEX(CdP,1,i_P+0))*(t-pas/2-T_ini-INDEX(CdP,1,i_P+0))+INDEX(CdP,2,i_P+0)</f>
        <v>0</v>
      </c>
      <c r="R804" s="396" t="n">
        <f aca="false">Poussee/(g*ISP)</f>
        <v>0</v>
      </c>
      <c r="S804" s="398" t="n">
        <f aca="false">S803-Débit*pas</f>
        <v>8.45</v>
      </c>
      <c r="T804" s="397" t="n">
        <f aca="false">m*g</f>
        <v>82.8945</v>
      </c>
      <c r="U804" s="400" t="n">
        <f aca="false">IF(pos_xz&lt;L_rampe,Poids*COS(Beta),0)</f>
        <v>0</v>
      </c>
      <c r="V804" s="396" t="n">
        <f aca="false">Rho_moyen*(20000-Alt_rampe-pos_z)/(20000+Alt_rampe+pos_z)</f>
        <v>1.22647761283996</v>
      </c>
      <c r="W804" s="397" t="n">
        <f aca="false">1/2*Rho*Sref*Cx*vit_xz^2</f>
        <v>62.1017192933219</v>
      </c>
      <c r="Y804" s="408" t="str">
        <f aca="false">IF(AND(pos_z&lt;=0,K803&gt;0),"Impact balistique","") &amp; IF(AND(H805&lt;0,vit_z&gt;=0),"Apogée","") &amp; IF(AND(Poussee=0,Q803&gt;0),"Fin de propulsion","") &amp; IF(AND(L805&gt;L_rampe,pos_xz&lt;=L_rampe),"Sortie de rampe","")</f>
        <v/>
      </c>
      <c r="Z804" s="402" t="str">
        <f aca="false">IF(ABS(t-T_para)&lt;pas/2,"Para","")</f>
        <v/>
      </c>
      <c r="AA804" s="403" t="str">
        <f aca="false">IF(ABS(t-T_satellite)&lt;pas/2,"Satellite","")</f>
        <v/>
      </c>
      <c r="AC804" s="399" t="e">
        <f aca="false">IF(ABS(t-ROUND(t,0))&lt;0.001,t,NA())</f>
        <v>#N/A</v>
      </c>
      <c r="AD804" s="404" t="e">
        <f aca="false">IF(ABS(t-ROUND(t,0))&lt;0.001,pos_x,NA())</f>
        <v>#N/A</v>
      </c>
      <c r="AE804" s="405" t="e">
        <f aca="false">IF(t&lt;T_para, pos_z, NA())</f>
        <v>#N/A</v>
      </c>
      <c r="AG804" s="396" t="n">
        <f aca="false">IF(AND(L803&lt;L_rampe,Poussee&lt;Poids*SIN(M803)),0,(-W803+Poussee)/m-Poids*SIN(M803)/m)</f>
        <v>2.41260111922982</v>
      </c>
      <c r="AH804" s="397" t="n">
        <f aca="false">IF(AND(L803&lt;L_rampe,Poussee&lt;Poids*SIN(M803)), g*SIN(M803), (-W803+Poussee)/m)</f>
        <v>-7.34927683876419</v>
      </c>
    </row>
    <row r="805" customFormat="false" ht="12.75" hidden="false" customHeight="false" outlineLevel="0" collapsed="false">
      <c r="A805" s="396" t="n">
        <f aca="false">IF(B804+0.01&lt;=T_ini+ROUNDUP(Temps_fin_propu,0), 0.01, IF(K804&gt;0, 0.1, 0.0001))</f>
        <v>0.0001</v>
      </c>
      <c r="B805" s="397" t="n">
        <f aca="false">B804+pas</f>
        <v>32.1300000000012</v>
      </c>
      <c r="D805" s="396" t="n">
        <f aca="false">IF(AND(L804&lt;L_rampe,Poussee&lt;Poids*SIN(M804)),0,(-W804+Poussee)/m*COS(M804)-U804/m*SIN(M804))</f>
        <v>-0.727047065972699</v>
      </c>
      <c r="E805" s="398" t="n">
        <f aca="false">IF(AND(L804&lt;L_rampe,Poussee&lt;Poids*SIN(M804)),0,(-W804+Poussee)/m*SIN(M804)+U804/m*COS(M804)-Poids/m)</f>
        <v>-2.49673488415979</v>
      </c>
      <c r="F805" s="397" t="n">
        <f aca="false">SQRT(acc_x^2+acc_z^2)</f>
        <v>2.60043890870751</v>
      </c>
      <c r="G805" s="396" t="n">
        <f aca="false">G804+acc_x*pas</f>
        <v>11.4754859502275</v>
      </c>
      <c r="H805" s="398" t="n">
        <f aca="false">H804+acc_z*pas</f>
        <v>-115.431294957507</v>
      </c>
      <c r="I805" s="397" t="n">
        <f aca="false">SQRT(vit_x^2+vit_z^2)</f>
        <v>116.000304453742</v>
      </c>
      <c r="J805" s="396" t="n">
        <f aca="false">J804+0.5*(vit_x+G804)*pas*(K804&gt;=0)</f>
        <v>690.928492655337</v>
      </c>
      <c r="K805" s="398" t="n">
        <f aca="false">K804+0.5*(vit_z+H804)*pas</f>
        <v>-12.0664183662998</v>
      </c>
      <c r="L805" s="397" t="n">
        <f aca="false">SQRT(pos_x^2+pos_z^2)</f>
        <v>691.033848964844</v>
      </c>
      <c r="M805" s="396" t="n">
        <f aca="false">IF(AND(L804&gt;L_rampe,G805&gt;0),ATAN2(G805,H805),$M$4)</f>
        <v>-1.47170791284334</v>
      </c>
      <c r="N805" s="397" t="n">
        <f aca="false">DEGREES(Beta)</f>
        <v>-84.3226520819306</v>
      </c>
      <c r="P805" s="399" t="n">
        <f aca="false">MATCH(t-pas/2-T_ini,CdP_t)</f>
        <v>23</v>
      </c>
      <c r="Q805" s="397" t="n">
        <f aca="false">(INDEX(CdP,2,i_P+1)-INDEX(CdP,2,i_P+0))/(INDEX(CdP,1,i_P+1)-INDEX(CdP,1,i_P+0))*(t-pas/2-T_ini-INDEX(CdP,1,i_P+0))+INDEX(CdP,2,i_P+0)</f>
        <v>0</v>
      </c>
      <c r="R805" s="396" t="n">
        <f aca="false">Poussee/(g*ISP)</f>
        <v>0</v>
      </c>
      <c r="S805" s="398" t="n">
        <f aca="false">S804-Débit*pas</f>
        <v>8.45</v>
      </c>
      <c r="T805" s="397" t="n">
        <f aca="false">m*g</f>
        <v>82.8945</v>
      </c>
      <c r="U805" s="400" t="n">
        <f aca="false">IF(pos_xz&lt;L_rampe,Poids*COS(Beta),0)</f>
        <v>0</v>
      </c>
      <c r="V805" s="396" t="n">
        <f aca="false">Rho_moyen*(20000-Alt_rampe-pos_z)/(20000+Alt_rampe+pos_z)</f>
        <v>1.22647902857875</v>
      </c>
      <c r="W805" s="397" t="n">
        <f aca="false">1/2*Rho*Sref*Cx*vit_xz^2</f>
        <v>62.1020492963632</v>
      </c>
      <c r="Y805" s="408" t="str">
        <f aca="false">IF(AND(pos_z&lt;=0,K804&gt;0),"Impact balistique","") &amp; IF(AND(H806&lt;0,vit_z&gt;=0),"Apogée","") &amp; IF(AND(Poussee=0,Q804&gt;0),"Fin de propulsion","") &amp; IF(AND(L806&gt;L_rampe,pos_xz&lt;=L_rampe),"Sortie de rampe","")</f>
        <v/>
      </c>
      <c r="Z805" s="402" t="str">
        <f aca="false">IF(ABS(t-T_para)&lt;pas/2,"Para","")</f>
        <v/>
      </c>
      <c r="AA805" s="403" t="str">
        <f aca="false">IF(ABS(t-T_satellite)&lt;pas/2,"Satellite","")</f>
        <v/>
      </c>
      <c r="AC805" s="399" t="e">
        <f aca="false">IF(ABS(t-ROUND(t,0))&lt;0.001,t,NA())</f>
        <v>#N/A</v>
      </c>
      <c r="AD805" s="404" t="e">
        <f aca="false">IF(ABS(t-ROUND(t,0))&lt;0.001,pos_x,NA())</f>
        <v>#N/A</v>
      </c>
      <c r="AE805" s="405" t="e">
        <f aca="false">IF(t&lt;T_para, pos_z, NA())</f>
        <v>#N/A</v>
      </c>
      <c r="AG805" s="396" t="n">
        <f aca="false">IF(AND(L804&lt;L_rampe,Poussee&lt;Poids*SIN(M804)),0,(-W804+Poussee)/m-Poids*SIN(M804)/m)</f>
        <v>2.41256287721928</v>
      </c>
      <c r="AH805" s="397" t="n">
        <f aca="false">IF(AND(L804&lt;L_rampe,Poussee&lt;Poids*SIN(M804)), g*SIN(M804), (-W804+Poussee)/m)</f>
        <v>-7.34931589270082</v>
      </c>
    </row>
    <row r="806" customFormat="false" ht="12.75" hidden="false" customHeight="false" outlineLevel="0" collapsed="false">
      <c r="A806" s="396" t="n">
        <f aca="false">IF(B805+0.01&lt;=T_ini+ROUNDUP(Temps_fin_propu,0), 0.01, IF(K805&gt;0, 0.1, 0.0001))</f>
        <v>0.0001</v>
      </c>
      <c r="B806" s="397" t="n">
        <f aca="false">B805+pas</f>
        <v>32.1301000000012</v>
      </c>
      <c r="D806" s="396" t="n">
        <f aca="false">IF(AND(L805&lt;L_rampe,Poussee&lt;Poids*SIN(M805)),0,(-W805+Poussee)/m*COS(M805)-U805/m*SIN(M805))</f>
        <v>-0.72704481101863</v>
      </c>
      <c r="E806" s="398" t="n">
        <f aca="false">IF(AND(L805&lt;L_rampe,Poussee&lt;Poids*SIN(M805)),0,(-W805+Poussee)/m*SIN(M805)+U805/m*COS(M805)-Poids/m)</f>
        <v>-2.49669541385715</v>
      </c>
      <c r="F806" s="397" t="n">
        <f aca="false">SQRT(acc_x^2+acc_z^2)</f>
        <v>2.60040038201897</v>
      </c>
      <c r="G806" s="396" t="n">
        <f aca="false">G805+acc_x*pas</f>
        <v>11.4754132457464</v>
      </c>
      <c r="H806" s="398" t="n">
        <f aca="false">H805+acc_z*pas</f>
        <v>-115.431544627049</v>
      </c>
      <c r="I806" s="397" t="n">
        <f aca="false">SQRT(vit_x^2+vit_z^2)</f>
        <v>116.000545706246</v>
      </c>
      <c r="J806" s="396" t="n">
        <f aca="false">J805+0.5*(vit_x+G805)*pas*(K805&gt;=0)</f>
        <v>690.928492655337</v>
      </c>
      <c r="K806" s="398" t="n">
        <f aca="false">K805+0.5*(vit_z+H805)*pas</f>
        <v>-12.0779615082791</v>
      </c>
      <c r="L806" s="397" t="n">
        <f aca="false">SQRT(pos_x^2+pos_z^2)</f>
        <v>691.034050620641</v>
      </c>
      <c r="M806" s="396" t="n">
        <f aca="false">IF(AND(L805&gt;L_rampe,G806&gt;0),ATAN2(G806,H806),$M$4)</f>
        <v>-1.47170874944926</v>
      </c>
      <c r="N806" s="397" t="n">
        <f aca="false">DEGREES(Beta)</f>
        <v>-84.3227000159188</v>
      </c>
      <c r="P806" s="399" t="n">
        <f aca="false">MATCH(t-pas/2-T_ini,CdP_t)</f>
        <v>23</v>
      </c>
      <c r="Q806" s="397" t="n">
        <f aca="false">(INDEX(CdP,2,i_P+1)-INDEX(CdP,2,i_P+0))/(INDEX(CdP,1,i_P+1)-INDEX(CdP,1,i_P+0))*(t-pas/2-T_ini-INDEX(CdP,1,i_P+0))+INDEX(CdP,2,i_P+0)</f>
        <v>0</v>
      </c>
      <c r="R806" s="396" t="n">
        <f aca="false">Poussee/(g*ISP)</f>
        <v>0</v>
      </c>
      <c r="S806" s="398" t="n">
        <f aca="false">S805-Débit*pas</f>
        <v>8.45</v>
      </c>
      <c r="T806" s="397" t="n">
        <f aca="false">m*g</f>
        <v>82.8945</v>
      </c>
      <c r="U806" s="400" t="n">
        <f aca="false">IF(pos_xz&lt;L_rampe,Poids*COS(Beta),0)</f>
        <v>0</v>
      </c>
      <c r="V806" s="396" t="n">
        <f aca="false">Rho_moyen*(20000-Alt_rampe-pos_z)/(20000+Alt_rampe+pos_z)</f>
        <v>1.22648044432224</v>
      </c>
      <c r="W806" s="397" t="n">
        <f aca="false">1/2*Rho*Sref*Cx*vit_xz^2</f>
        <v>62.1023792966813</v>
      </c>
      <c r="Y806" s="408" t="str">
        <f aca="false">IF(AND(pos_z&lt;=0,K805&gt;0),"Impact balistique","") &amp; IF(AND(H807&lt;0,vit_z&gt;=0),"Apogée","") &amp; IF(AND(Poussee=0,Q805&gt;0),"Fin de propulsion","") &amp; IF(AND(L807&gt;L_rampe,pos_xz&lt;=L_rampe),"Sortie de rampe","")</f>
        <v/>
      </c>
      <c r="Z806" s="402" t="str">
        <f aca="false">IF(ABS(t-T_para)&lt;pas/2,"Para","")</f>
        <v/>
      </c>
      <c r="AA806" s="403" t="str">
        <f aca="false">IF(ABS(t-T_satellite)&lt;pas/2,"Satellite","")</f>
        <v/>
      </c>
      <c r="AC806" s="399" t="e">
        <f aca="false">IF(ABS(t-ROUND(t,0))&lt;0.001,t,NA())</f>
        <v>#N/A</v>
      </c>
      <c r="AD806" s="404" t="e">
        <f aca="false">IF(ABS(t-ROUND(t,0))&lt;0.001,pos_x,NA())</f>
        <v>#N/A</v>
      </c>
      <c r="AE806" s="405" t="e">
        <f aca="false">IF(t&lt;T_para, pos_z, NA())</f>
        <v>#N/A</v>
      </c>
      <c r="AG806" s="396" t="n">
        <f aca="false">IF(AND(L805&lt;L_rampe,Poussee&lt;Poids*SIN(M805)),0,(-W805+Poussee)/m-Poids*SIN(M805)/m)</f>
        <v>2.41252463551565</v>
      </c>
      <c r="AH806" s="397" t="n">
        <f aca="false">IF(AND(L805&lt;L_rampe,Poussee&lt;Poids*SIN(M805)), g*SIN(M805), (-W805+Poussee)/m)</f>
        <v>-7.34935494631517</v>
      </c>
    </row>
    <row r="807" customFormat="false" ht="12.75" hidden="false" customHeight="false" outlineLevel="0" collapsed="false">
      <c r="A807" s="396" t="n">
        <f aca="false">IF(B806+0.01&lt;=T_ini+ROUNDUP(Temps_fin_propu,0), 0.01, IF(K806&gt;0, 0.1, 0.0001))</f>
        <v>0.0001</v>
      </c>
      <c r="B807" s="397" t="n">
        <f aca="false">B806+pas</f>
        <v>32.1302000000012</v>
      </c>
      <c r="D807" s="396" t="n">
        <f aca="false">IF(AND(L806&lt;L_rampe,Poussee&lt;Poids*SIN(M806)),0,(-W806+Poussee)/m*COS(M806)-U806/m*SIN(M806))</f>
        <v>-0.727042556031362</v>
      </c>
      <c r="E807" s="398" t="n">
        <f aca="false">IF(AND(L806&lt;L_rampe,Poussee&lt;Poids*SIN(M806)),0,(-W806+Poussee)/m*SIN(M806)+U806/m*COS(M806)-Poids/m)</f>
        <v>-2.49665594388022</v>
      </c>
      <c r="F807" s="397" t="n">
        <f aca="false">SQRT(acc_x^2+acc_z^2)</f>
        <v>2.60036185566414</v>
      </c>
      <c r="G807" s="396" t="n">
        <f aca="false">G806+acc_x*pas</f>
        <v>11.4753405414908</v>
      </c>
      <c r="H807" s="398" t="n">
        <f aca="false">H806+acc_z*pas</f>
        <v>-115.431794292643</v>
      </c>
      <c r="I807" s="397" t="n">
        <f aca="false">SQRT(vit_x^2+vit_z^2)</f>
        <v>116.000786954926</v>
      </c>
      <c r="J807" s="396" t="n">
        <f aca="false">J806+0.5*(vit_x+G806)*pas*(K806&gt;=0)</f>
        <v>690.928492655337</v>
      </c>
      <c r="K807" s="398" t="n">
        <f aca="false">K806+0.5*(vit_z+H806)*pas</f>
        <v>-12.089504675225</v>
      </c>
      <c r="L807" s="397" t="n">
        <f aca="false">SQRT(pos_x^2+pos_z^2)</f>
        <v>691.034252469636</v>
      </c>
      <c r="M807" s="396" t="n">
        <f aca="false">IF(AND(L806&gt;L_rampe,G807&gt;0),ATAN2(G807,H807),$M$4)</f>
        <v>-1.47170958604639</v>
      </c>
      <c r="N807" s="397" t="n">
        <f aca="false">DEGREES(Beta)</f>
        <v>-84.3227479494038</v>
      </c>
      <c r="P807" s="399" t="n">
        <f aca="false">MATCH(t-pas/2-T_ini,CdP_t)</f>
        <v>23</v>
      </c>
      <c r="Q807" s="397" t="n">
        <f aca="false">(INDEX(CdP,2,i_P+1)-INDEX(CdP,2,i_P+0))/(INDEX(CdP,1,i_P+1)-INDEX(CdP,1,i_P+0))*(t-pas/2-T_ini-INDEX(CdP,1,i_P+0))+INDEX(CdP,2,i_P+0)</f>
        <v>0</v>
      </c>
      <c r="R807" s="396" t="n">
        <f aca="false">Poussee/(g*ISP)</f>
        <v>0</v>
      </c>
      <c r="S807" s="398" t="n">
        <f aca="false">S806-Débit*pas</f>
        <v>8.45</v>
      </c>
      <c r="T807" s="397" t="n">
        <f aca="false">m*g</f>
        <v>82.8945</v>
      </c>
      <c r="U807" s="400" t="n">
        <f aca="false">IF(pos_xz&lt;L_rampe,Poids*COS(Beta),0)</f>
        <v>0</v>
      </c>
      <c r="V807" s="396" t="n">
        <f aca="false">Rho_moyen*(20000-Alt_rampe-pos_z)/(20000+Alt_rampe+pos_z)</f>
        <v>1.22648186007043</v>
      </c>
      <c r="W807" s="397" t="n">
        <f aca="false">1/2*Rho*Sref*Cx*vit_xz^2</f>
        <v>62.1027092942762</v>
      </c>
      <c r="Y807" s="408" t="str">
        <f aca="false">IF(AND(pos_z&lt;=0,K806&gt;0),"Impact balistique","") &amp; IF(AND(H808&lt;0,vit_z&gt;=0),"Apogée","") &amp; IF(AND(Poussee=0,Q806&gt;0),"Fin de propulsion","") &amp; IF(AND(L808&gt;L_rampe,pos_xz&lt;=L_rampe),"Sortie de rampe","")</f>
        <v/>
      </c>
      <c r="Z807" s="402" t="str">
        <f aca="false">IF(ABS(t-T_para)&lt;pas/2,"Para","")</f>
        <v/>
      </c>
      <c r="AA807" s="403" t="str">
        <f aca="false">IF(ABS(t-T_satellite)&lt;pas/2,"Satellite","")</f>
        <v/>
      </c>
      <c r="AC807" s="399" t="e">
        <f aca="false">IF(ABS(t-ROUND(t,0))&lt;0.001,t,NA())</f>
        <v>#N/A</v>
      </c>
      <c r="AD807" s="404" t="e">
        <f aca="false">IF(ABS(t-ROUND(t,0))&lt;0.001,pos_x,NA())</f>
        <v>#N/A</v>
      </c>
      <c r="AE807" s="405" t="e">
        <f aca="false">IF(t&lt;T_para, pos_z, NA())</f>
        <v>#N/A</v>
      </c>
      <c r="AG807" s="396" t="n">
        <f aca="false">IF(AND(L806&lt;L_rampe,Poussee&lt;Poids*SIN(M806)),0,(-W806+Poussee)/m-Poids*SIN(M806)/m)</f>
        <v>2.41248639411895</v>
      </c>
      <c r="AH807" s="397" t="n">
        <f aca="false">IF(AND(L806&lt;L_rampe,Poussee&lt;Poids*SIN(M806)), g*SIN(M806), (-W806+Poussee)/m)</f>
        <v>-7.34939399960725</v>
      </c>
    </row>
    <row r="808" customFormat="false" ht="12.75" hidden="false" customHeight="false" outlineLevel="0" collapsed="false">
      <c r="A808" s="396" t="n">
        <f aca="false">IF(B807+0.01&lt;=T_ini+ROUNDUP(Temps_fin_propu,0), 0.01, IF(K807&gt;0, 0.1, 0.0001))</f>
        <v>0.0001</v>
      </c>
      <c r="B808" s="397" t="n">
        <f aca="false">B807+pas</f>
        <v>32.1303000000012</v>
      </c>
      <c r="D808" s="396" t="n">
        <f aca="false">IF(AND(L807&lt;L_rampe,Poussee&lt;Poids*SIN(M807)),0,(-W807+Poussee)/m*COS(M807)-U807/m*SIN(M807))</f>
        <v>-0.727040301010893</v>
      </c>
      <c r="E808" s="398" t="n">
        <f aca="false">IF(AND(L807&lt;L_rampe,Poussee&lt;Poids*SIN(M807)),0,(-W807+Poussee)/m*SIN(M807)+U807/m*COS(M807)-Poids/m)</f>
        <v>-2.49661647422903</v>
      </c>
      <c r="F808" s="397" t="n">
        <f aca="false">SQRT(acc_x^2+acc_z^2)</f>
        <v>2.60032332964302</v>
      </c>
      <c r="G808" s="396" t="n">
        <f aca="false">G807+acc_x*pas</f>
        <v>11.4752678374607</v>
      </c>
      <c r="H808" s="398" t="n">
        <f aca="false">H807+acc_z*pas</f>
        <v>-115.43204395429</v>
      </c>
      <c r="I808" s="397" t="n">
        <f aca="false">SQRT(vit_x^2+vit_z^2)</f>
        <v>116.001028199782</v>
      </c>
      <c r="J808" s="396" t="n">
        <f aca="false">J807+0.5*(vit_x+G807)*pas*(K807&gt;=0)</f>
        <v>690.928492655337</v>
      </c>
      <c r="K808" s="398" t="n">
        <f aca="false">K807+0.5*(vit_z+H807)*pas</f>
        <v>-12.1010478671374</v>
      </c>
      <c r="L808" s="397" t="n">
        <f aca="false">SQRT(pos_x^2+pos_z^2)</f>
        <v>691.034454511827</v>
      </c>
      <c r="M808" s="396" t="n">
        <f aca="false">IF(AND(L807&gt;L_rampe,G808&gt;0),ATAN2(G808,H808),$M$4)</f>
        <v>-1.47171042263475</v>
      </c>
      <c r="N808" s="397" t="n">
        <f aca="false">DEGREES(Beta)</f>
        <v>-84.3227958823858</v>
      </c>
      <c r="P808" s="399" t="n">
        <f aca="false">MATCH(t-pas/2-T_ini,CdP_t)</f>
        <v>23</v>
      </c>
      <c r="Q808" s="397" t="n">
        <f aca="false">(INDEX(CdP,2,i_P+1)-INDEX(CdP,2,i_P+0))/(INDEX(CdP,1,i_P+1)-INDEX(CdP,1,i_P+0))*(t-pas/2-T_ini-INDEX(CdP,1,i_P+0))+INDEX(CdP,2,i_P+0)</f>
        <v>0</v>
      </c>
      <c r="R808" s="396" t="n">
        <f aca="false">Poussee/(g*ISP)</f>
        <v>0</v>
      </c>
      <c r="S808" s="398" t="n">
        <f aca="false">S807-Débit*pas</f>
        <v>8.45</v>
      </c>
      <c r="T808" s="397" t="n">
        <f aca="false">m*g</f>
        <v>82.8945</v>
      </c>
      <c r="U808" s="400" t="n">
        <f aca="false">IF(pos_xz&lt;L_rampe,Poids*COS(Beta),0)</f>
        <v>0</v>
      </c>
      <c r="V808" s="396" t="n">
        <f aca="false">Rho_moyen*(20000-Alt_rampe-pos_z)/(20000+Alt_rampe+pos_z)</f>
        <v>1.22648327582331</v>
      </c>
      <c r="W808" s="397" t="n">
        <f aca="false">1/2*Rho*Sref*Cx*vit_xz^2</f>
        <v>62.103039289148</v>
      </c>
      <c r="Y808" s="408" t="str">
        <f aca="false">IF(AND(pos_z&lt;=0,K807&gt;0),"Impact balistique","") &amp; IF(AND(H809&lt;0,vit_z&gt;=0),"Apogée","") &amp; IF(AND(Poussee=0,Q807&gt;0),"Fin de propulsion","") &amp; IF(AND(L809&gt;L_rampe,pos_xz&lt;=L_rampe),"Sortie de rampe","")</f>
        <v/>
      </c>
      <c r="Z808" s="402" t="str">
        <f aca="false">IF(ABS(t-T_para)&lt;pas/2,"Para","")</f>
        <v/>
      </c>
      <c r="AA808" s="403" t="str">
        <f aca="false">IF(ABS(t-T_satellite)&lt;pas/2,"Satellite","")</f>
        <v/>
      </c>
      <c r="AC808" s="399" t="e">
        <f aca="false">IF(ABS(t-ROUND(t,0))&lt;0.001,t,NA())</f>
        <v>#N/A</v>
      </c>
      <c r="AD808" s="404" t="e">
        <f aca="false">IF(ABS(t-ROUND(t,0))&lt;0.001,pos_x,NA())</f>
        <v>#N/A</v>
      </c>
      <c r="AE808" s="405" t="e">
        <f aca="false">IF(t&lt;T_para, pos_z, NA())</f>
        <v>#N/A</v>
      </c>
      <c r="AG808" s="396" t="n">
        <f aca="false">IF(AND(L807&lt;L_rampe,Poussee&lt;Poids*SIN(M807)),0,(-W807+Poussee)/m-Poids*SIN(M807)/m)</f>
        <v>2.41244815302915</v>
      </c>
      <c r="AH808" s="397" t="n">
        <f aca="false">IF(AND(L807&lt;L_rampe,Poussee&lt;Poids*SIN(M807)), g*SIN(M807), (-W807+Poussee)/m)</f>
        <v>-7.34943305257707</v>
      </c>
    </row>
    <row r="809" customFormat="false" ht="12.75" hidden="false" customHeight="false" outlineLevel="0" collapsed="false">
      <c r="A809" s="396" t="n">
        <f aca="false">IF(B808+0.01&lt;=T_ini+ROUNDUP(Temps_fin_propu,0), 0.01, IF(K808&gt;0, 0.1, 0.0001))</f>
        <v>0.0001</v>
      </c>
      <c r="B809" s="397" t="n">
        <f aca="false">B808+pas</f>
        <v>32.1304000000012</v>
      </c>
      <c r="D809" s="396" t="n">
        <f aca="false">IF(AND(L808&lt;L_rampe,Poussee&lt;Poids*SIN(M808)),0,(-W808+Poussee)/m*COS(M808)-U808/m*SIN(M808))</f>
        <v>-0.727038045957224</v>
      </c>
      <c r="E809" s="398" t="n">
        <f aca="false">IF(AND(L808&lt;L_rampe,Poussee&lt;Poids*SIN(M808)),0,(-W808+Poussee)/m*SIN(M808)+U808/m*COS(M808)-Poids/m)</f>
        <v>-2.49657700490356</v>
      </c>
      <c r="F809" s="397" t="n">
        <f aca="false">SQRT(acc_x^2+acc_z^2)</f>
        <v>2.60028480395562</v>
      </c>
      <c r="G809" s="396" t="n">
        <f aca="false">G808+acc_x*pas</f>
        <v>11.4751951336561</v>
      </c>
      <c r="H809" s="398" t="n">
        <f aca="false">H808+acc_z*pas</f>
        <v>-115.432293611991</v>
      </c>
      <c r="I809" s="397" t="n">
        <f aca="false">SQRT(vit_x^2+vit_z^2)</f>
        <v>116.001269440814</v>
      </c>
      <c r="J809" s="396" t="n">
        <f aca="false">J808+0.5*(vit_x+G808)*pas*(K808&gt;=0)</f>
        <v>690.928492655337</v>
      </c>
      <c r="K809" s="398" t="n">
        <f aca="false">K808+0.5*(vit_z+H808)*pas</f>
        <v>-12.1125910840157</v>
      </c>
      <c r="L809" s="397" t="n">
        <f aca="false">SQRT(pos_x^2+pos_z^2)</f>
        <v>691.034656747217</v>
      </c>
      <c r="M809" s="396" t="n">
        <f aca="false">IF(AND(L808&gt;L_rampe,G809&gt;0),ATAN2(G809,H809),$M$4)</f>
        <v>-1.47171125921433</v>
      </c>
      <c r="N809" s="397" t="n">
        <f aca="false">DEGREES(Beta)</f>
        <v>-84.3228438148648</v>
      </c>
      <c r="P809" s="399" t="n">
        <f aca="false">MATCH(t-pas/2-T_ini,CdP_t)</f>
        <v>23</v>
      </c>
      <c r="Q809" s="397" t="n">
        <f aca="false">(INDEX(CdP,2,i_P+1)-INDEX(CdP,2,i_P+0))/(INDEX(CdP,1,i_P+1)-INDEX(CdP,1,i_P+0))*(t-pas/2-T_ini-INDEX(CdP,1,i_P+0))+INDEX(CdP,2,i_P+0)</f>
        <v>0</v>
      </c>
      <c r="R809" s="396" t="n">
        <f aca="false">Poussee/(g*ISP)</f>
        <v>0</v>
      </c>
      <c r="S809" s="398" t="n">
        <f aca="false">S808-Débit*pas</f>
        <v>8.45</v>
      </c>
      <c r="T809" s="397" t="n">
        <f aca="false">m*g</f>
        <v>82.8945</v>
      </c>
      <c r="U809" s="400" t="n">
        <f aca="false">IF(pos_xz&lt;L_rampe,Poids*COS(Beta),0)</f>
        <v>0</v>
      </c>
      <c r="V809" s="396" t="n">
        <f aca="false">Rho_moyen*(20000-Alt_rampe-pos_z)/(20000+Alt_rampe+pos_z)</f>
        <v>1.22648469158089</v>
      </c>
      <c r="W809" s="397" t="n">
        <f aca="false">1/2*Rho*Sref*Cx*vit_xz^2</f>
        <v>62.1033692812965</v>
      </c>
      <c r="Y809" s="408" t="str">
        <f aca="false">IF(AND(pos_z&lt;=0,K808&gt;0),"Impact balistique","") &amp; IF(AND(H810&lt;0,vit_z&gt;=0),"Apogée","") &amp; IF(AND(Poussee=0,Q808&gt;0),"Fin de propulsion","") &amp; IF(AND(L810&gt;L_rampe,pos_xz&lt;=L_rampe),"Sortie de rampe","")</f>
        <v/>
      </c>
      <c r="Z809" s="402" t="str">
        <f aca="false">IF(ABS(t-T_para)&lt;pas/2,"Para","")</f>
        <v/>
      </c>
      <c r="AA809" s="403" t="str">
        <f aca="false">IF(ABS(t-T_satellite)&lt;pas/2,"Satellite","")</f>
        <v/>
      </c>
      <c r="AC809" s="399" t="e">
        <f aca="false">IF(ABS(t-ROUND(t,0))&lt;0.001,t,NA())</f>
        <v>#N/A</v>
      </c>
      <c r="AD809" s="404" t="e">
        <f aca="false">IF(ABS(t-ROUND(t,0))&lt;0.001,pos_x,NA())</f>
        <v>#N/A</v>
      </c>
      <c r="AE809" s="405" t="e">
        <f aca="false">IF(t&lt;T_para, pos_z, NA())</f>
        <v>#N/A</v>
      </c>
      <c r="AG809" s="396" t="n">
        <f aca="false">IF(AND(L808&lt;L_rampe,Poussee&lt;Poids*SIN(M808)),0,(-W808+Poussee)/m-Poids*SIN(M808)/m)</f>
        <v>2.41240991224628</v>
      </c>
      <c r="AH809" s="397" t="n">
        <f aca="false">IF(AND(L808&lt;L_rampe,Poussee&lt;Poids*SIN(M808)), g*SIN(M808), (-W808+Poussee)/m)</f>
        <v>-7.34947210522461</v>
      </c>
    </row>
    <row r="810" customFormat="false" ht="12.75" hidden="false" customHeight="false" outlineLevel="0" collapsed="false">
      <c r="A810" s="396" t="n">
        <f aca="false">IF(B809+0.01&lt;=T_ini+ROUNDUP(Temps_fin_propu,0), 0.01, IF(K809&gt;0, 0.1, 0.0001))</f>
        <v>0.0001</v>
      </c>
      <c r="B810" s="397" t="n">
        <f aca="false">B809+pas</f>
        <v>32.1305000000012</v>
      </c>
      <c r="D810" s="396" t="n">
        <f aca="false">IF(AND(L809&lt;L_rampe,Poussee&lt;Poids*SIN(M809)),0,(-W809+Poussee)/m*COS(M809)-U809/m*SIN(M809))</f>
        <v>-0.727035790870356</v>
      </c>
      <c r="E810" s="398" t="n">
        <f aca="false">IF(AND(L809&lt;L_rampe,Poussee&lt;Poids*SIN(M809)),0,(-W809+Poussee)/m*SIN(M809)+U809/m*COS(M809)-Poids/m)</f>
        <v>-2.49653753590383</v>
      </c>
      <c r="F810" s="397" t="n">
        <f aca="false">SQRT(acc_x^2+acc_z^2)</f>
        <v>2.60024627860194</v>
      </c>
      <c r="G810" s="396" t="n">
        <f aca="false">G809+acc_x*pas</f>
        <v>11.475122430077</v>
      </c>
      <c r="H810" s="398" t="n">
        <f aca="false">H809+acc_z*pas</f>
        <v>-115.432543265744</v>
      </c>
      <c r="I810" s="397" t="n">
        <f aca="false">SQRT(vit_x^2+vit_z^2)</f>
        <v>116.001510678022</v>
      </c>
      <c r="J810" s="396" t="n">
        <f aca="false">J809+0.5*(vit_x+G809)*pas*(K809&gt;=0)</f>
        <v>690.928492655337</v>
      </c>
      <c r="K810" s="398" t="n">
        <f aca="false">K809+0.5*(vit_z+H809)*pas</f>
        <v>-12.1241343258596</v>
      </c>
      <c r="L810" s="397" t="n">
        <f aca="false">SQRT(pos_x^2+pos_z^2)</f>
        <v>691.034859175807</v>
      </c>
      <c r="M810" s="396" t="n">
        <f aca="false">IF(AND(L809&gt;L_rampe,G810&gt;0),ATAN2(G810,H810),$M$4)</f>
        <v>-1.47171209578512</v>
      </c>
      <c r="N810" s="397" t="n">
        <f aca="false">DEGREES(Beta)</f>
        <v>-84.3228917468407</v>
      </c>
      <c r="P810" s="399" t="n">
        <f aca="false">MATCH(t-pas/2-T_ini,CdP_t)</f>
        <v>23</v>
      </c>
      <c r="Q810" s="397" t="n">
        <f aca="false">(INDEX(CdP,2,i_P+1)-INDEX(CdP,2,i_P+0))/(INDEX(CdP,1,i_P+1)-INDEX(CdP,1,i_P+0))*(t-pas/2-T_ini-INDEX(CdP,1,i_P+0))+INDEX(CdP,2,i_P+0)</f>
        <v>0</v>
      </c>
      <c r="R810" s="396" t="n">
        <f aca="false">Poussee/(g*ISP)</f>
        <v>0</v>
      </c>
      <c r="S810" s="398" t="n">
        <f aca="false">S809-Débit*pas</f>
        <v>8.45</v>
      </c>
      <c r="T810" s="397" t="n">
        <f aca="false">m*g</f>
        <v>82.8945</v>
      </c>
      <c r="U810" s="400" t="n">
        <f aca="false">IF(pos_xz&lt;L_rampe,Poids*COS(Beta),0)</f>
        <v>0</v>
      </c>
      <c r="V810" s="396" t="n">
        <f aca="false">Rho_moyen*(20000-Alt_rampe-pos_z)/(20000+Alt_rampe+pos_z)</f>
        <v>1.22648610734317</v>
      </c>
      <c r="W810" s="397" t="n">
        <f aca="false">1/2*Rho*Sref*Cx*vit_xz^2</f>
        <v>62.1036992707218</v>
      </c>
      <c r="Y810" s="408" t="str">
        <f aca="false">IF(AND(pos_z&lt;=0,K809&gt;0),"Impact balistique","") &amp; IF(AND(H811&lt;0,vit_z&gt;=0),"Apogée","") &amp; IF(AND(Poussee=0,Q809&gt;0),"Fin de propulsion","") &amp; IF(AND(L811&gt;L_rampe,pos_xz&lt;=L_rampe),"Sortie de rampe","")</f>
        <v/>
      </c>
      <c r="Z810" s="402" t="str">
        <f aca="false">IF(ABS(t-T_para)&lt;pas/2,"Para","")</f>
        <v/>
      </c>
      <c r="AA810" s="403" t="str">
        <f aca="false">IF(ABS(t-T_satellite)&lt;pas/2,"Satellite","")</f>
        <v/>
      </c>
      <c r="AC810" s="399" t="e">
        <f aca="false">IF(ABS(t-ROUND(t,0))&lt;0.001,t,NA())</f>
        <v>#N/A</v>
      </c>
      <c r="AD810" s="404" t="e">
        <f aca="false">IF(ABS(t-ROUND(t,0))&lt;0.001,pos_x,NA())</f>
        <v>#N/A</v>
      </c>
      <c r="AE810" s="405" t="e">
        <f aca="false">IF(t&lt;T_para, pos_z, NA())</f>
        <v>#N/A</v>
      </c>
      <c r="AG810" s="396" t="n">
        <f aca="false">IF(AND(L809&lt;L_rampe,Poussee&lt;Poids*SIN(M809)),0,(-W809+Poussee)/m-Poids*SIN(M809)/m)</f>
        <v>2.41237167177033</v>
      </c>
      <c r="AH810" s="397" t="n">
        <f aca="false">IF(AND(L809&lt;L_rampe,Poussee&lt;Poids*SIN(M809)), g*SIN(M809), (-W809+Poussee)/m)</f>
        <v>-7.34951115754988</v>
      </c>
    </row>
    <row r="811" customFormat="false" ht="12.75" hidden="false" customHeight="false" outlineLevel="0" collapsed="false">
      <c r="A811" s="396" t="n">
        <f aca="false">IF(B810+0.01&lt;=T_ini+ROUNDUP(Temps_fin_propu,0), 0.01, IF(K810&gt;0, 0.1, 0.0001))</f>
        <v>0.0001</v>
      </c>
      <c r="B811" s="397" t="n">
        <f aca="false">B810+pas</f>
        <v>32.1306000000012</v>
      </c>
      <c r="D811" s="396" t="n">
        <f aca="false">IF(AND(L810&lt;L_rampe,Poussee&lt;Poids*SIN(M810)),0,(-W810+Poussee)/m*COS(M810)-U810/m*SIN(M810))</f>
        <v>-0.72703353575029</v>
      </c>
      <c r="E811" s="398" t="n">
        <f aca="false">IF(AND(L810&lt;L_rampe,Poussee&lt;Poids*SIN(M810)),0,(-W810+Poussee)/m*SIN(M810)+U810/m*COS(M810)-Poids/m)</f>
        <v>-2.49649806722982</v>
      </c>
      <c r="F811" s="397" t="n">
        <f aca="false">SQRT(acc_x^2+acc_z^2)</f>
        <v>2.60020775358197</v>
      </c>
      <c r="G811" s="396" t="n">
        <f aca="false">G810+acc_x*pas</f>
        <v>11.4750497267234</v>
      </c>
      <c r="H811" s="398" t="n">
        <f aca="false">H810+acc_z*pas</f>
        <v>-115.432792915551</v>
      </c>
      <c r="I811" s="397" t="n">
        <f aca="false">SQRT(vit_x^2+vit_z^2)</f>
        <v>116.001751911406</v>
      </c>
      <c r="J811" s="396" t="n">
        <f aca="false">J810+0.5*(vit_x+G810)*pas*(K810&gt;=0)</f>
        <v>690.928492655337</v>
      </c>
      <c r="K811" s="398" t="n">
        <f aca="false">K810+0.5*(vit_z+H810)*pas</f>
        <v>-12.1356775926687</v>
      </c>
      <c r="L811" s="397" t="n">
        <f aca="false">SQRT(pos_x^2+pos_z^2)</f>
        <v>691.035061797597</v>
      </c>
      <c r="M811" s="396" t="n">
        <f aca="false">IF(AND(L810&gt;L_rampe,G811&gt;0),ATAN2(G811,H811),$M$4)</f>
        <v>-1.47171293234714</v>
      </c>
      <c r="N811" s="397" t="n">
        <f aca="false">DEGREES(Beta)</f>
        <v>-84.3229396783135</v>
      </c>
      <c r="P811" s="399" t="n">
        <f aca="false">MATCH(t-pas/2-T_ini,CdP_t)</f>
        <v>23</v>
      </c>
      <c r="Q811" s="397" t="n">
        <f aca="false">(INDEX(CdP,2,i_P+1)-INDEX(CdP,2,i_P+0))/(INDEX(CdP,1,i_P+1)-INDEX(CdP,1,i_P+0))*(t-pas/2-T_ini-INDEX(CdP,1,i_P+0))+INDEX(CdP,2,i_P+0)</f>
        <v>0</v>
      </c>
      <c r="R811" s="396" t="n">
        <f aca="false">Poussee/(g*ISP)</f>
        <v>0</v>
      </c>
      <c r="S811" s="398" t="n">
        <f aca="false">S810-Débit*pas</f>
        <v>8.45</v>
      </c>
      <c r="T811" s="397" t="n">
        <f aca="false">m*g</f>
        <v>82.8945</v>
      </c>
      <c r="U811" s="400" t="n">
        <f aca="false">IF(pos_xz&lt;L_rampe,Poids*COS(Beta),0)</f>
        <v>0</v>
      </c>
      <c r="V811" s="396" t="n">
        <f aca="false">Rho_moyen*(20000-Alt_rampe-pos_z)/(20000+Alt_rampe+pos_z)</f>
        <v>1.22648752311015</v>
      </c>
      <c r="W811" s="397" t="n">
        <f aca="false">1/2*Rho*Sref*Cx*vit_xz^2</f>
        <v>62.104029257424</v>
      </c>
      <c r="Y811" s="408" t="str">
        <f aca="false">IF(AND(pos_z&lt;=0,K810&gt;0),"Impact balistique","") &amp; IF(AND(H812&lt;0,vit_z&gt;=0),"Apogée","") &amp; IF(AND(Poussee=0,Q810&gt;0),"Fin de propulsion","") &amp; IF(AND(L812&gt;L_rampe,pos_xz&lt;=L_rampe),"Sortie de rampe","")</f>
        <v/>
      </c>
      <c r="Z811" s="402" t="str">
        <f aca="false">IF(ABS(t-T_para)&lt;pas/2,"Para","")</f>
        <v/>
      </c>
      <c r="AA811" s="403" t="str">
        <f aca="false">IF(ABS(t-T_satellite)&lt;pas/2,"Satellite","")</f>
        <v/>
      </c>
      <c r="AC811" s="399" t="e">
        <f aca="false">IF(ABS(t-ROUND(t,0))&lt;0.001,t,NA())</f>
        <v>#N/A</v>
      </c>
      <c r="AD811" s="404" t="e">
        <f aca="false">IF(ABS(t-ROUND(t,0))&lt;0.001,pos_x,NA())</f>
        <v>#N/A</v>
      </c>
      <c r="AE811" s="405" t="e">
        <f aca="false">IF(t&lt;T_para, pos_z, NA())</f>
        <v>#N/A</v>
      </c>
      <c r="AG811" s="396" t="n">
        <f aca="false">IF(AND(L810&lt;L_rampe,Poussee&lt;Poids*SIN(M810)),0,(-W810+Poussee)/m-Poids*SIN(M810)/m)</f>
        <v>2.4123334316013</v>
      </c>
      <c r="AH811" s="397" t="n">
        <f aca="false">IF(AND(L810&lt;L_rampe,Poussee&lt;Poids*SIN(M810)), g*SIN(M810), (-W810+Poussee)/m)</f>
        <v>-7.34955020955288</v>
      </c>
    </row>
    <row r="812" customFormat="false" ht="12.75" hidden="false" customHeight="false" outlineLevel="0" collapsed="false">
      <c r="A812" s="396" t="n">
        <f aca="false">IF(B811+0.01&lt;=T_ini+ROUNDUP(Temps_fin_propu,0), 0.01, IF(K811&gt;0, 0.1, 0.0001))</f>
        <v>0.0001</v>
      </c>
      <c r="B812" s="397" t="n">
        <f aca="false">B811+pas</f>
        <v>32.1307000000012</v>
      </c>
      <c r="D812" s="396" t="n">
        <f aca="false">IF(AND(L811&lt;L_rampe,Poussee&lt;Poids*SIN(M811)),0,(-W811+Poussee)/m*COS(M811)-U811/m*SIN(M811))</f>
        <v>-0.72703128059703</v>
      </c>
      <c r="E812" s="398" t="n">
        <f aca="false">IF(AND(L811&lt;L_rampe,Poussee&lt;Poids*SIN(M811)),0,(-W811+Poussee)/m*SIN(M811)+U811/m*COS(M811)-Poids/m)</f>
        <v>-2.49645859888154</v>
      </c>
      <c r="F812" s="397" t="n">
        <f aca="false">SQRT(acc_x^2+acc_z^2)</f>
        <v>2.60016922889571</v>
      </c>
      <c r="G812" s="396" t="n">
        <f aca="false">G811+acc_x*pas</f>
        <v>11.4749770235954</v>
      </c>
      <c r="H812" s="398" t="n">
        <f aca="false">H811+acc_z*pas</f>
        <v>-115.433042561411</v>
      </c>
      <c r="I812" s="397" t="n">
        <f aca="false">SQRT(vit_x^2+vit_z^2)</f>
        <v>116.001993140965</v>
      </c>
      <c r="J812" s="396" t="n">
        <f aca="false">J811+0.5*(vit_x+G811)*pas*(K811&gt;=0)</f>
        <v>690.928492655337</v>
      </c>
      <c r="K812" s="398" t="n">
        <f aca="false">K811+0.5*(vit_z+H811)*pas</f>
        <v>-12.1472208844425</v>
      </c>
      <c r="L812" s="397" t="n">
        <f aca="false">SQRT(pos_x^2+pos_z^2)</f>
        <v>691.035264612589</v>
      </c>
      <c r="M812" s="396" t="n">
        <f aca="false">IF(AND(L811&gt;L_rampe,G812&gt;0),ATAN2(G812,H812),$M$4)</f>
        <v>-1.47171376890038</v>
      </c>
      <c r="N812" s="397" t="n">
        <f aca="false">DEGREES(Beta)</f>
        <v>-84.3229876092833</v>
      </c>
      <c r="P812" s="399" t="n">
        <f aca="false">MATCH(t-pas/2-T_ini,CdP_t)</f>
        <v>23</v>
      </c>
      <c r="Q812" s="397" t="n">
        <f aca="false">(INDEX(CdP,2,i_P+1)-INDEX(CdP,2,i_P+0))/(INDEX(CdP,1,i_P+1)-INDEX(CdP,1,i_P+0))*(t-pas/2-T_ini-INDEX(CdP,1,i_P+0))+INDEX(CdP,2,i_P+0)</f>
        <v>0</v>
      </c>
      <c r="R812" s="396" t="n">
        <f aca="false">Poussee/(g*ISP)</f>
        <v>0</v>
      </c>
      <c r="S812" s="398" t="n">
        <f aca="false">S811-Débit*pas</f>
        <v>8.45</v>
      </c>
      <c r="T812" s="397" t="n">
        <f aca="false">m*g</f>
        <v>82.8945</v>
      </c>
      <c r="U812" s="400" t="n">
        <f aca="false">IF(pos_xz&lt;L_rampe,Poids*COS(Beta),0)</f>
        <v>0</v>
      </c>
      <c r="V812" s="396" t="n">
        <f aca="false">Rho_moyen*(20000-Alt_rampe-pos_z)/(20000+Alt_rampe+pos_z)</f>
        <v>1.22648893888182</v>
      </c>
      <c r="W812" s="397" t="n">
        <f aca="false">1/2*Rho*Sref*Cx*vit_xz^2</f>
        <v>62.1043592414029</v>
      </c>
      <c r="Y812" s="408" t="str">
        <f aca="false">IF(AND(pos_z&lt;=0,K811&gt;0),"Impact balistique","") &amp; IF(AND(H813&lt;0,vit_z&gt;=0),"Apogée","") &amp; IF(AND(Poussee=0,Q811&gt;0),"Fin de propulsion","") &amp; IF(AND(L813&gt;L_rampe,pos_xz&lt;=L_rampe),"Sortie de rampe","")</f>
        <v/>
      </c>
      <c r="Z812" s="402" t="str">
        <f aca="false">IF(ABS(t-T_para)&lt;pas/2,"Para","")</f>
        <v/>
      </c>
      <c r="AA812" s="403" t="str">
        <f aca="false">IF(ABS(t-T_satellite)&lt;pas/2,"Satellite","")</f>
        <v/>
      </c>
      <c r="AC812" s="399" t="e">
        <f aca="false">IF(ABS(t-ROUND(t,0))&lt;0.001,t,NA())</f>
        <v>#N/A</v>
      </c>
      <c r="AD812" s="404" t="e">
        <f aca="false">IF(ABS(t-ROUND(t,0))&lt;0.001,pos_x,NA())</f>
        <v>#N/A</v>
      </c>
      <c r="AE812" s="405" t="e">
        <f aca="false">IF(t&lt;T_para, pos_z, NA())</f>
        <v>#N/A</v>
      </c>
      <c r="AG812" s="396" t="n">
        <f aca="false">IF(AND(L811&lt;L_rampe,Poussee&lt;Poids*SIN(M811)),0,(-W811+Poussee)/m-Poids*SIN(M811)/m)</f>
        <v>2.41229519173918</v>
      </c>
      <c r="AH812" s="397" t="n">
        <f aca="false">IF(AND(L811&lt;L_rampe,Poussee&lt;Poids*SIN(M811)), g*SIN(M811), (-W811+Poussee)/m)</f>
        <v>-7.34958926123361</v>
      </c>
    </row>
    <row r="813" customFormat="false" ht="12.75" hidden="false" customHeight="false" outlineLevel="0" collapsed="false">
      <c r="A813" s="396" t="n">
        <f aca="false">IF(B812+0.01&lt;=T_ini+ROUNDUP(Temps_fin_propu,0), 0.01, IF(K812&gt;0, 0.1, 0.0001))</f>
        <v>0.0001</v>
      </c>
      <c r="B813" s="397" t="n">
        <f aca="false">B812+pas</f>
        <v>32.1308000000012</v>
      </c>
      <c r="D813" s="396" t="n">
        <f aca="false">IF(AND(L812&lt;L_rampe,Poussee&lt;Poids*SIN(M812)),0,(-W812+Poussee)/m*COS(M812)-U812/m*SIN(M812))</f>
        <v>-0.727029025410572</v>
      </c>
      <c r="E813" s="398" t="n">
        <f aca="false">IF(AND(L812&lt;L_rampe,Poussee&lt;Poids*SIN(M812)),0,(-W812+Poussee)/m*SIN(M812)+U812/m*COS(M812)-Poids/m)</f>
        <v>-2.49641913085899</v>
      </c>
      <c r="F813" s="397" t="n">
        <f aca="false">SQRT(acc_x^2+acc_z^2)</f>
        <v>2.60013070454318</v>
      </c>
      <c r="G813" s="396" t="n">
        <f aca="false">G812+acc_x*pas</f>
        <v>11.4749043206928</v>
      </c>
      <c r="H813" s="398" t="n">
        <f aca="false">H812+acc_z*pas</f>
        <v>-115.433292203324</v>
      </c>
      <c r="I813" s="397" t="n">
        <f aca="false">SQRT(vit_x^2+vit_z^2)</f>
        <v>116.002234366701</v>
      </c>
      <c r="J813" s="396" t="n">
        <f aca="false">J812+0.5*(vit_x+G812)*pas*(K812&gt;=0)</f>
        <v>690.928492655337</v>
      </c>
      <c r="K813" s="398" t="n">
        <f aca="false">K812+0.5*(vit_z+H812)*pas</f>
        <v>-12.1587642011807</v>
      </c>
      <c r="L813" s="397" t="n">
        <f aca="false">SQRT(pos_x^2+pos_z^2)</f>
        <v>691.035467620784</v>
      </c>
      <c r="M813" s="396" t="n">
        <f aca="false">IF(AND(L812&gt;L_rampe,G813&gt;0),ATAN2(G813,H813),$M$4)</f>
        <v>-1.47171460544483</v>
      </c>
      <c r="N813" s="397" t="n">
        <f aca="false">DEGREES(Beta)</f>
        <v>-84.3230355397501</v>
      </c>
      <c r="P813" s="399" t="n">
        <f aca="false">MATCH(t-pas/2-T_ini,CdP_t)</f>
        <v>23</v>
      </c>
      <c r="Q813" s="397" t="n">
        <f aca="false">(INDEX(CdP,2,i_P+1)-INDEX(CdP,2,i_P+0))/(INDEX(CdP,1,i_P+1)-INDEX(CdP,1,i_P+0))*(t-pas/2-T_ini-INDEX(CdP,1,i_P+0))+INDEX(CdP,2,i_P+0)</f>
        <v>0</v>
      </c>
      <c r="R813" s="396" t="n">
        <f aca="false">Poussee/(g*ISP)</f>
        <v>0</v>
      </c>
      <c r="S813" s="398" t="n">
        <f aca="false">S812-Débit*pas</f>
        <v>8.45</v>
      </c>
      <c r="T813" s="397" t="n">
        <f aca="false">m*g</f>
        <v>82.8945</v>
      </c>
      <c r="U813" s="400" t="n">
        <f aca="false">IF(pos_xz&lt;L_rampe,Poids*COS(Beta),0)</f>
        <v>0</v>
      </c>
      <c r="V813" s="396" t="n">
        <f aca="false">Rho_moyen*(20000-Alt_rampe-pos_z)/(20000+Alt_rampe+pos_z)</f>
        <v>1.22649035465819</v>
      </c>
      <c r="W813" s="397" t="n">
        <f aca="false">1/2*Rho*Sref*Cx*vit_xz^2</f>
        <v>62.1046892226587</v>
      </c>
      <c r="Y813" s="408" t="str">
        <f aca="false">IF(AND(pos_z&lt;=0,K812&gt;0),"Impact balistique","") &amp; IF(AND(H814&lt;0,vit_z&gt;=0),"Apogée","") &amp; IF(AND(Poussee=0,Q812&gt;0),"Fin de propulsion","") &amp; IF(AND(L814&gt;L_rampe,pos_xz&lt;=L_rampe),"Sortie de rampe","")</f>
        <v/>
      </c>
      <c r="Z813" s="402" t="str">
        <f aca="false">IF(ABS(t-T_para)&lt;pas/2,"Para","")</f>
        <v/>
      </c>
      <c r="AA813" s="403" t="str">
        <f aca="false">IF(ABS(t-T_satellite)&lt;pas/2,"Satellite","")</f>
        <v/>
      </c>
      <c r="AC813" s="399" t="e">
        <f aca="false">IF(ABS(t-ROUND(t,0))&lt;0.001,t,NA())</f>
        <v>#N/A</v>
      </c>
      <c r="AD813" s="404" t="e">
        <f aca="false">IF(ABS(t-ROUND(t,0))&lt;0.001,pos_x,NA())</f>
        <v>#N/A</v>
      </c>
      <c r="AE813" s="405" t="e">
        <f aca="false">IF(t&lt;T_para, pos_z, NA())</f>
        <v>#N/A</v>
      </c>
      <c r="AG813" s="396" t="n">
        <f aca="false">IF(AND(L812&lt;L_rampe,Poussee&lt;Poids*SIN(M812)),0,(-W812+Poussee)/m-Poids*SIN(M812)/m)</f>
        <v>2.41225695218399</v>
      </c>
      <c r="AH813" s="397" t="n">
        <f aca="false">IF(AND(L812&lt;L_rampe,Poussee&lt;Poids*SIN(M812)), g*SIN(M812), (-W812+Poussee)/m)</f>
        <v>-7.34962831259206</v>
      </c>
    </row>
    <row r="814" customFormat="false" ht="12.75" hidden="false" customHeight="false" outlineLevel="0" collapsed="false">
      <c r="A814" s="396" t="n">
        <f aca="false">IF(B813+0.01&lt;=T_ini+ROUNDUP(Temps_fin_propu,0), 0.01, IF(K813&gt;0, 0.1, 0.0001))</f>
        <v>0.0001</v>
      </c>
      <c r="B814" s="397" t="n">
        <f aca="false">B813+pas</f>
        <v>32.1309000000012</v>
      </c>
      <c r="D814" s="396" t="n">
        <f aca="false">IF(AND(L813&lt;L_rampe,Poussee&lt;Poids*SIN(M813)),0,(-W813+Poussee)/m*COS(M813)-U813/m*SIN(M813))</f>
        <v>-0.727026770190919</v>
      </c>
      <c r="E814" s="398" t="n">
        <f aca="false">IF(AND(L813&lt;L_rampe,Poussee&lt;Poids*SIN(M813)),0,(-W813+Poussee)/m*SIN(M813)+U813/m*COS(M813)-Poids/m)</f>
        <v>-2.49637966316217</v>
      </c>
      <c r="F814" s="397" t="n">
        <f aca="false">SQRT(acc_x^2+acc_z^2)</f>
        <v>2.60009218052435</v>
      </c>
      <c r="G814" s="396" t="n">
        <f aca="false">G813+acc_x*pas</f>
        <v>11.4748316180158</v>
      </c>
      <c r="H814" s="398" t="n">
        <f aca="false">H813+acc_z*pas</f>
        <v>-115.43354184129</v>
      </c>
      <c r="I814" s="397" t="n">
        <f aca="false">SQRT(vit_x^2+vit_z^2)</f>
        <v>116.002475588613</v>
      </c>
      <c r="J814" s="396" t="n">
        <f aca="false">J813+0.5*(vit_x+G813)*pas*(K813&gt;=0)</f>
        <v>690.928492655337</v>
      </c>
      <c r="K814" s="398" t="n">
        <f aca="false">K813+0.5*(vit_z+H813)*pas</f>
        <v>-12.170307542883</v>
      </c>
      <c r="L814" s="397" t="n">
        <f aca="false">SQRT(pos_x^2+pos_z^2)</f>
        <v>691.035670822183</v>
      </c>
      <c r="M814" s="396" t="n">
        <f aca="false">IF(AND(L813&gt;L_rampe,G814&gt;0),ATAN2(G814,H814),$M$4)</f>
        <v>-1.47171544198051</v>
      </c>
      <c r="N814" s="397" t="n">
        <f aca="false">DEGREES(Beta)</f>
        <v>-84.3230834697139</v>
      </c>
      <c r="P814" s="399" t="n">
        <f aca="false">MATCH(t-pas/2-T_ini,CdP_t)</f>
        <v>23</v>
      </c>
      <c r="Q814" s="397" t="n">
        <f aca="false">(INDEX(CdP,2,i_P+1)-INDEX(CdP,2,i_P+0))/(INDEX(CdP,1,i_P+1)-INDEX(CdP,1,i_P+0))*(t-pas/2-T_ini-INDEX(CdP,1,i_P+0))+INDEX(CdP,2,i_P+0)</f>
        <v>0</v>
      </c>
      <c r="R814" s="396" t="n">
        <f aca="false">Poussee/(g*ISP)</f>
        <v>0</v>
      </c>
      <c r="S814" s="398" t="n">
        <f aca="false">S813-Débit*pas</f>
        <v>8.45</v>
      </c>
      <c r="T814" s="397" t="n">
        <f aca="false">m*g</f>
        <v>82.8945</v>
      </c>
      <c r="U814" s="400" t="n">
        <f aca="false">IF(pos_xz&lt;L_rampe,Poids*COS(Beta),0)</f>
        <v>0</v>
      </c>
      <c r="V814" s="396" t="n">
        <f aca="false">Rho_moyen*(20000-Alt_rampe-pos_z)/(20000+Alt_rampe+pos_z)</f>
        <v>1.22649177043925</v>
      </c>
      <c r="W814" s="397" t="n">
        <f aca="false">1/2*Rho*Sref*Cx*vit_xz^2</f>
        <v>62.1050192011912</v>
      </c>
      <c r="Y814" s="408" t="str">
        <f aca="false">IF(AND(pos_z&lt;=0,K813&gt;0),"Impact balistique","") &amp; IF(AND(H815&lt;0,vit_z&gt;=0),"Apogée","") &amp; IF(AND(Poussee=0,Q813&gt;0),"Fin de propulsion","") &amp; IF(AND(L815&gt;L_rampe,pos_xz&lt;=L_rampe),"Sortie de rampe","")</f>
        <v/>
      </c>
      <c r="Z814" s="402" t="str">
        <f aca="false">IF(ABS(t-T_para)&lt;pas/2,"Para","")</f>
        <v/>
      </c>
      <c r="AA814" s="403" t="str">
        <f aca="false">IF(ABS(t-T_satellite)&lt;pas/2,"Satellite","")</f>
        <v/>
      </c>
      <c r="AC814" s="399" t="e">
        <f aca="false">IF(ABS(t-ROUND(t,0))&lt;0.001,t,NA())</f>
        <v>#N/A</v>
      </c>
      <c r="AD814" s="404" t="e">
        <f aca="false">IF(ABS(t-ROUND(t,0))&lt;0.001,pos_x,NA())</f>
        <v>#N/A</v>
      </c>
      <c r="AE814" s="405" t="e">
        <f aca="false">IF(t&lt;T_para, pos_z, NA())</f>
        <v>#N/A</v>
      </c>
      <c r="AG814" s="396" t="n">
        <f aca="false">IF(AND(L813&lt;L_rampe,Poussee&lt;Poids*SIN(M813)),0,(-W813+Poussee)/m-Poids*SIN(M813)/m)</f>
        <v>2.41221871293571</v>
      </c>
      <c r="AH814" s="397" t="n">
        <f aca="false">IF(AND(L813&lt;L_rampe,Poussee&lt;Poids*SIN(M813)), g*SIN(M813), (-W813+Poussee)/m)</f>
        <v>-7.34966736362825</v>
      </c>
    </row>
    <row r="815" customFormat="false" ht="12.75" hidden="false" customHeight="false" outlineLevel="0" collapsed="false">
      <c r="A815" s="396" t="n">
        <f aca="false">IF(B814+0.01&lt;=T_ini+ROUNDUP(Temps_fin_propu,0), 0.01, IF(K814&gt;0, 0.1, 0.0001))</f>
        <v>0.0001</v>
      </c>
      <c r="B815" s="397" t="n">
        <f aca="false">B814+pas</f>
        <v>32.1310000000012</v>
      </c>
      <c r="D815" s="396" t="n">
        <f aca="false">IF(AND(L814&lt;L_rampe,Poussee&lt;Poids*SIN(M814)),0,(-W814+Poussee)/m*COS(M814)-U814/m*SIN(M814))</f>
        <v>-0.727024514938072</v>
      </c>
      <c r="E815" s="398" t="n">
        <f aca="false">IF(AND(L814&lt;L_rampe,Poussee&lt;Poids*SIN(M814)),0,(-W814+Poussee)/m*SIN(M814)+U814/m*COS(M814)-Poids/m)</f>
        <v>-2.49634019579108</v>
      </c>
      <c r="F815" s="397" t="n">
        <f aca="false">SQRT(acc_x^2+acc_z^2)</f>
        <v>2.60005365683926</v>
      </c>
      <c r="G815" s="396" t="n">
        <f aca="false">G814+acc_x*pas</f>
        <v>11.4747589155643</v>
      </c>
      <c r="H815" s="398" t="n">
        <f aca="false">H814+acc_z*pas</f>
        <v>-115.43379147531</v>
      </c>
      <c r="I815" s="397" t="n">
        <f aca="false">SQRT(vit_x^2+vit_z^2)</f>
        <v>116.002716806701</v>
      </c>
      <c r="J815" s="396" t="n">
        <f aca="false">J814+0.5*(vit_x+G814)*pas*(K814&gt;=0)</f>
        <v>690.928492655337</v>
      </c>
      <c r="K815" s="398" t="n">
        <f aca="false">K814+0.5*(vit_z+H814)*pas</f>
        <v>-12.1818509095488</v>
      </c>
      <c r="L815" s="397" t="n">
        <f aca="false">SQRT(pos_x^2+pos_z^2)</f>
        <v>691.035874216786</v>
      </c>
      <c r="M815" s="396" t="n">
        <f aca="false">IF(AND(L814&gt;L_rampe,G815&gt;0),ATAN2(G815,H815),$M$4)</f>
        <v>-1.47171627850741</v>
      </c>
      <c r="N815" s="397" t="n">
        <f aca="false">DEGREES(Beta)</f>
        <v>-84.3231313991747</v>
      </c>
      <c r="P815" s="399" t="n">
        <f aca="false">MATCH(t-pas/2-T_ini,CdP_t)</f>
        <v>23</v>
      </c>
      <c r="Q815" s="397" t="n">
        <f aca="false">(INDEX(CdP,2,i_P+1)-INDEX(CdP,2,i_P+0))/(INDEX(CdP,1,i_P+1)-INDEX(CdP,1,i_P+0))*(t-pas/2-T_ini-INDEX(CdP,1,i_P+0))+INDEX(CdP,2,i_P+0)</f>
        <v>0</v>
      </c>
      <c r="R815" s="396" t="n">
        <f aca="false">Poussee/(g*ISP)</f>
        <v>0</v>
      </c>
      <c r="S815" s="398" t="n">
        <f aca="false">S814-Débit*pas</f>
        <v>8.45</v>
      </c>
      <c r="T815" s="397" t="n">
        <f aca="false">m*g</f>
        <v>82.8945</v>
      </c>
      <c r="U815" s="400" t="n">
        <f aca="false">IF(pos_xz&lt;L_rampe,Poids*COS(Beta),0)</f>
        <v>0</v>
      </c>
      <c r="V815" s="396" t="n">
        <f aca="false">Rho_moyen*(20000-Alt_rampe-pos_z)/(20000+Alt_rampe+pos_z)</f>
        <v>1.22649318622502</v>
      </c>
      <c r="W815" s="397" t="n">
        <f aca="false">1/2*Rho*Sref*Cx*vit_xz^2</f>
        <v>62.1053491770005</v>
      </c>
      <c r="Y815" s="408" t="str">
        <f aca="false">IF(AND(pos_z&lt;=0,K814&gt;0),"Impact balistique","") &amp; IF(AND(H816&lt;0,vit_z&gt;=0),"Apogée","") &amp; IF(AND(Poussee=0,Q814&gt;0),"Fin de propulsion","") &amp; IF(AND(L816&gt;L_rampe,pos_xz&lt;=L_rampe),"Sortie de rampe","")</f>
        <v/>
      </c>
      <c r="Z815" s="402" t="str">
        <f aca="false">IF(ABS(t-T_para)&lt;pas/2,"Para","")</f>
        <v/>
      </c>
      <c r="AA815" s="403" t="str">
        <f aca="false">IF(ABS(t-T_satellite)&lt;pas/2,"Satellite","")</f>
        <v/>
      </c>
      <c r="AC815" s="399" t="e">
        <f aca="false">IF(ABS(t-ROUND(t,0))&lt;0.001,t,NA())</f>
        <v>#N/A</v>
      </c>
      <c r="AD815" s="404" t="e">
        <f aca="false">IF(ABS(t-ROUND(t,0))&lt;0.001,pos_x,NA())</f>
        <v>#N/A</v>
      </c>
      <c r="AE815" s="405" t="e">
        <f aca="false">IF(t&lt;T_para, pos_z, NA())</f>
        <v>#N/A</v>
      </c>
      <c r="AG815" s="396" t="n">
        <f aca="false">IF(AND(L814&lt;L_rampe,Poussee&lt;Poids*SIN(M814)),0,(-W814+Poussee)/m-Poids*SIN(M814)/m)</f>
        <v>2.41218047399437</v>
      </c>
      <c r="AH815" s="397" t="n">
        <f aca="false">IF(AND(L814&lt;L_rampe,Poussee&lt;Poids*SIN(M814)), g*SIN(M814), (-W814+Poussee)/m)</f>
        <v>-7.34970641434215</v>
      </c>
    </row>
    <row r="816" customFormat="false" ht="12.75" hidden="false" customHeight="false" outlineLevel="0" collapsed="false">
      <c r="A816" s="396" t="n">
        <f aca="false">IF(B815+0.01&lt;=T_ini+ROUNDUP(Temps_fin_propu,0), 0.01, IF(K815&gt;0, 0.1, 0.0001))</f>
        <v>0.0001</v>
      </c>
      <c r="B816" s="397" t="n">
        <f aca="false">B815+pas</f>
        <v>32.1311000000012</v>
      </c>
      <c r="D816" s="396" t="n">
        <f aca="false">IF(AND(L815&lt;L_rampe,Poussee&lt;Poids*SIN(M815)),0,(-W815+Poussee)/m*COS(M815)-U815/m*SIN(M815))</f>
        <v>-0.727022259652032</v>
      </c>
      <c r="E816" s="398" t="n">
        <f aca="false">IF(AND(L815&lt;L_rampe,Poussee&lt;Poids*SIN(M815)),0,(-W815+Poussee)/m*SIN(M815)+U815/m*COS(M815)-Poids/m)</f>
        <v>-2.49630072874572</v>
      </c>
      <c r="F816" s="397" t="n">
        <f aca="false">SQRT(acc_x^2+acc_z^2)</f>
        <v>2.60001513348787</v>
      </c>
      <c r="G816" s="396" t="n">
        <f aca="false">G815+acc_x*pas</f>
        <v>11.4746862133383</v>
      </c>
      <c r="H816" s="398" t="n">
        <f aca="false">H815+acc_z*pas</f>
        <v>-115.434041105383</v>
      </c>
      <c r="I816" s="397" t="n">
        <f aca="false">SQRT(vit_x^2+vit_z^2)</f>
        <v>116.002958020965</v>
      </c>
      <c r="J816" s="396" t="n">
        <f aca="false">J815+0.5*(vit_x+G815)*pas*(K815&gt;=0)</f>
        <v>690.928492655337</v>
      </c>
      <c r="K816" s="398" t="n">
        <f aca="false">K815+0.5*(vit_z+H815)*pas</f>
        <v>-12.1933943011778</v>
      </c>
      <c r="L816" s="397" t="n">
        <f aca="false">SQRT(pos_x^2+pos_z^2)</f>
        <v>691.036077804596</v>
      </c>
      <c r="M816" s="396" t="n">
        <f aca="false">IF(AND(L815&gt;L_rampe,G816&gt;0),ATAN2(G816,H816),$M$4)</f>
        <v>-1.47171711502553</v>
      </c>
      <c r="N816" s="397" t="n">
        <f aca="false">DEGREES(Beta)</f>
        <v>-84.3231793281325</v>
      </c>
      <c r="P816" s="399" t="n">
        <f aca="false">MATCH(t-pas/2-T_ini,CdP_t)</f>
        <v>23</v>
      </c>
      <c r="Q816" s="397" t="n">
        <f aca="false">(INDEX(CdP,2,i_P+1)-INDEX(CdP,2,i_P+0))/(INDEX(CdP,1,i_P+1)-INDEX(CdP,1,i_P+0))*(t-pas/2-T_ini-INDEX(CdP,1,i_P+0))+INDEX(CdP,2,i_P+0)</f>
        <v>0</v>
      </c>
      <c r="R816" s="396" t="n">
        <f aca="false">Poussee/(g*ISP)</f>
        <v>0</v>
      </c>
      <c r="S816" s="398" t="n">
        <f aca="false">S815-Débit*pas</f>
        <v>8.45</v>
      </c>
      <c r="T816" s="397" t="n">
        <f aca="false">m*g</f>
        <v>82.8945</v>
      </c>
      <c r="U816" s="400" t="n">
        <f aca="false">IF(pos_xz&lt;L_rampe,Poids*COS(Beta),0)</f>
        <v>0</v>
      </c>
      <c r="V816" s="396" t="n">
        <f aca="false">Rho_moyen*(20000-Alt_rampe-pos_z)/(20000+Alt_rampe+pos_z)</f>
        <v>1.22649460201548</v>
      </c>
      <c r="W816" s="397" t="n">
        <f aca="false">1/2*Rho*Sref*Cx*vit_xz^2</f>
        <v>62.1056791500866</v>
      </c>
      <c r="Y816" s="408" t="str">
        <f aca="false">IF(AND(pos_z&lt;=0,K815&gt;0),"Impact balistique","") &amp; IF(AND(H817&lt;0,vit_z&gt;=0),"Apogée","") &amp; IF(AND(Poussee=0,Q815&gt;0),"Fin de propulsion","") &amp; IF(AND(L817&gt;L_rampe,pos_xz&lt;=L_rampe),"Sortie de rampe","")</f>
        <v/>
      </c>
      <c r="Z816" s="402" t="str">
        <f aca="false">IF(ABS(t-T_para)&lt;pas/2,"Para","")</f>
        <v/>
      </c>
      <c r="AA816" s="403" t="str">
        <f aca="false">IF(ABS(t-T_satellite)&lt;pas/2,"Satellite","")</f>
        <v/>
      </c>
      <c r="AC816" s="399" t="e">
        <f aca="false">IF(ABS(t-ROUND(t,0))&lt;0.001,t,NA())</f>
        <v>#N/A</v>
      </c>
      <c r="AD816" s="404" t="e">
        <f aca="false">IF(ABS(t-ROUND(t,0))&lt;0.001,pos_x,NA())</f>
        <v>#N/A</v>
      </c>
      <c r="AE816" s="405" t="e">
        <f aca="false">IF(t&lt;T_para, pos_z, NA())</f>
        <v>#N/A</v>
      </c>
      <c r="AG816" s="396" t="n">
        <f aca="false">IF(AND(L815&lt;L_rampe,Poussee&lt;Poids*SIN(M815)),0,(-W815+Poussee)/m-Poids*SIN(M815)/m)</f>
        <v>2.41214223535994</v>
      </c>
      <c r="AH816" s="397" t="n">
        <f aca="false">IF(AND(L815&lt;L_rampe,Poussee&lt;Poids*SIN(M815)), g*SIN(M815), (-W815+Poussee)/m)</f>
        <v>-7.34974546473379</v>
      </c>
    </row>
    <row r="817" customFormat="false" ht="12.75" hidden="false" customHeight="false" outlineLevel="0" collapsed="false">
      <c r="A817" s="396" t="n">
        <f aca="false">IF(B816+0.01&lt;=T_ini+ROUNDUP(Temps_fin_propu,0), 0.01, IF(K816&gt;0, 0.1, 0.0001))</f>
        <v>0.0001</v>
      </c>
      <c r="B817" s="397" t="n">
        <f aca="false">B816+pas</f>
        <v>32.1312000000012</v>
      </c>
      <c r="D817" s="396" t="n">
        <f aca="false">IF(AND(L816&lt;L_rampe,Poussee&lt;Poids*SIN(M816)),0,(-W816+Poussee)/m*COS(M816)-U816/m*SIN(M816))</f>
        <v>-0.727020004332797</v>
      </c>
      <c r="E817" s="398" t="n">
        <f aca="false">IF(AND(L816&lt;L_rampe,Poussee&lt;Poids*SIN(M816)),0,(-W816+Poussee)/m*SIN(M816)+U816/m*COS(M816)-Poids/m)</f>
        <v>-2.4962612620261</v>
      </c>
      <c r="F817" s="397" t="n">
        <f aca="false">SQRT(acc_x^2+acc_z^2)</f>
        <v>2.59997661047021</v>
      </c>
      <c r="G817" s="396" t="n">
        <f aca="false">G816+acc_x*pas</f>
        <v>11.4746135113379</v>
      </c>
      <c r="H817" s="398" t="n">
        <f aca="false">H816+acc_z*pas</f>
        <v>-115.434290731509</v>
      </c>
      <c r="I817" s="397" t="n">
        <f aca="false">SQRT(vit_x^2+vit_z^2)</f>
        <v>116.003199231405</v>
      </c>
      <c r="J817" s="396" t="n">
        <f aca="false">J816+0.5*(vit_x+G816)*pas*(K816&gt;=0)</f>
        <v>690.928492655337</v>
      </c>
      <c r="K817" s="398" t="n">
        <f aca="false">K816+0.5*(vit_z+H816)*pas</f>
        <v>-12.2049377177697</v>
      </c>
      <c r="L817" s="397" t="n">
        <f aca="false">SQRT(pos_x^2+pos_z^2)</f>
        <v>691.036281585613</v>
      </c>
      <c r="M817" s="396" t="n">
        <f aca="false">IF(AND(L816&gt;L_rampe,G817&gt;0),ATAN2(G817,H817),$M$4)</f>
        <v>-1.47171795153487</v>
      </c>
      <c r="N817" s="397" t="n">
        <f aca="false">DEGREES(Beta)</f>
        <v>-84.3232272565872</v>
      </c>
      <c r="P817" s="399" t="n">
        <f aca="false">MATCH(t-pas/2-T_ini,CdP_t)</f>
        <v>23</v>
      </c>
      <c r="Q817" s="397" t="n">
        <f aca="false">(INDEX(CdP,2,i_P+1)-INDEX(CdP,2,i_P+0))/(INDEX(CdP,1,i_P+1)-INDEX(CdP,1,i_P+0))*(t-pas/2-T_ini-INDEX(CdP,1,i_P+0))+INDEX(CdP,2,i_P+0)</f>
        <v>0</v>
      </c>
      <c r="R817" s="396" t="n">
        <f aca="false">Poussee/(g*ISP)</f>
        <v>0</v>
      </c>
      <c r="S817" s="398" t="n">
        <f aca="false">S816-Débit*pas</f>
        <v>8.45</v>
      </c>
      <c r="T817" s="397" t="n">
        <f aca="false">m*g</f>
        <v>82.8945</v>
      </c>
      <c r="U817" s="400" t="n">
        <f aca="false">IF(pos_xz&lt;L_rampe,Poids*COS(Beta),0)</f>
        <v>0</v>
      </c>
      <c r="V817" s="396" t="n">
        <f aca="false">Rho_moyen*(20000-Alt_rampe-pos_z)/(20000+Alt_rampe+pos_z)</f>
        <v>1.22649601781064</v>
      </c>
      <c r="W817" s="397" t="n">
        <f aca="false">1/2*Rho*Sref*Cx*vit_xz^2</f>
        <v>62.1060091204495</v>
      </c>
      <c r="Y817" s="408" t="str">
        <f aca="false">IF(AND(pos_z&lt;=0,K816&gt;0),"Impact balistique","") &amp; IF(AND(H818&lt;0,vit_z&gt;=0),"Apogée","") &amp; IF(AND(Poussee=0,Q816&gt;0),"Fin de propulsion","") &amp; IF(AND(L818&gt;L_rampe,pos_xz&lt;=L_rampe),"Sortie de rampe","")</f>
        <v/>
      </c>
      <c r="Z817" s="402" t="str">
        <f aca="false">IF(ABS(t-T_para)&lt;pas/2,"Para","")</f>
        <v/>
      </c>
      <c r="AA817" s="403" t="str">
        <f aca="false">IF(ABS(t-T_satellite)&lt;pas/2,"Satellite","")</f>
        <v/>
      </c>
      <c r="AC817" s="399" t="e">
        <f aca="false">IF(ABS(t-ROUND(t,0))&lt;0.001,t,NA())</f>
        <v>#N/A</v>
      </c>
      <c r="AD817" s="404" t="e">
        <f aca="false">IF(ABS(t-ROUND(t,0))&lt;0.001,pos_x,NA())</f>
        <v>#N/A</v>
      </c>
      <c r="AE817" s="405" t="e">
        <f aca="false">IF(t&lt;T_para, pos_z, NA())</f>
        <v>#N/A</v>
      </c>
      <c r="AG817" s="396" t="n">
        <f aca="false">IF(AND(L816&lt;L_rampe,Poussee&lt;Poids*SIN(M816)),0,(-W816+Poussee)/m-Poids*SIN(M816)/m)</f>
        <v>2.41210399703244</v>
      </c>
      <c r="AH817" s="397" t="n">
        <f aca="false">IF(AND(L816&lt;L_rampe,Poussee&lt;Poids*SIN(M816)), g*SIN(M816), (-W816+Poussee)/m)</f>
        <v>-7.34978451480315</v>
      </c>
    </row>
    <row r="818" customFormat="false" ht="12.75" hidden="false" customHeight="false" outlineLevel="0" collapsed="false">
      <c r="A818" s="396" t="n">
        <f aca="false">IF(B817+0.01&lt;=T_ini+ROUNDUP(Temps_fin_propu,0), 0.01, IF(K817&gt;0, 0.1, 0.0001))</f>
        <v>0.0001</v>
      </c>
      <c r="B818" s="397" t="n">
        <f aca="false">B817+pas</f>
        <v>32.1313000000012</v>
      </c>
      <c r="D818" s="396" t="n">
        <f aca="false">IF(AND(L817&lt;L_rampe,Poussee&lt;Poids*SIN(M817)),0,(-W817+Poussee)/m*COS(M817)-U817/m*SIN(M817))</f>
        <v>-0.727017748980371</v>
      </c>
      <c r="E818" s="398" t="n">
        <f aca="false">IF(AND(L817&lt;L_rampe,Poussee&lt;Poids*SIN(M817)),0,(-W817+Poussee)/m*SIN(M817)+U817/m*COS(M817)-Poids/m)</f>
        <v>-2.4962217956322</v>
      </c>
      <c r="F818" s="397" t="n">
        <f aca="false">SQRT(acc_x^2+acc_z^2)</f>
        <v>2.59993808778627</v>
      </c>
      <c r="G818" s="396" t="n">
        <f aca="false">G817+acc_x*pas</f>
        <v>11.474540809563</v>
      </c>
      <c r="H818" s="398" t="n">
        <f aca="false">H817+acc_z*pas</f>
        <v>-115.434540353689</v>
      </c>
      <c r="I818" s="397" t="n">
        <f aca="false">SQRT(vit_x^2+vit_z^2)</f>
        <v>116.003440438022</v>
      </c>
      <c r="J818" s="396" t="n">
        <f aca="false">J817+0.5*(vit_x+G817)*pas*(K817&gt;=0)</f>
        <v>690.928492655337</v>
      </c>
      <c r="K818" s="398" t="n">
        <f aca="false">K817+0.5*(vit_z+H817)*pas</f>
        <v>-12.2164811593239</v>
      </c>
      <c r="L818" s="397" t="n">
        <f aca="false">SQRT(pos_x^2+pos_z^2)</f>
        <v>691.036485559838</v>
      </c>
      <c r="M818" s="396" t="n">
        <f aca="false">IF(AND(L817&gt;L_rampe,G818&gt;0),ATAN2(G818,H818),$M$4)</f>
        <v>-1.47171878803544</v>
      </c>
      <c r="N818" s="397" t="n">
        <f aca="false">DEGREES(Beta)</f>
        <v>-84.3232751845391</v>
      </c>
      <c r="P818" s="399" t="n">
        <f aca="false">MATCH(t-pas/2-T_ini,CdP_t)</f>
        <v>23</v>
      </c>
      <c r="Q818" s="397" t="n">
        <f aca="false">(INDEX(CdP,2,i_P+1)-INDEX(CdP,2,i_P+0))/(INDEX(CdP,1,i_P+1)-INDEX(CdP,1,i_P+0))*(t-pas/2-T_ini-INDEX(CdP,1,i_P+0))+INDEX(CdP,2,i_P+0)</f>
        <v>0</v>
      </c>
      <c r="R818" s="396" t="n">
        <f aca="false">Poussee/(g*ISP)</f>
        <v>0</v>
      </c>
      <c r="S818" s="398" t="n">
        <f aca="false">S817-Débit*pas</f>
        <v>8.45</v>
      </c>
      <c r="T818" s="397" t="n">
        <f aca="false">m*g</f>
        <v>82.8945</v>
      </c>
      <c r="U818" s="400" t="n">
        <f aca="false">IF(pos_xz&lt;L_rampe,Poids*COS(Beta),0)</f>
        <v>0</v>
      </c>
      <c r="V818" s="396" t="n">
        <f aca="false">Rho_moyen*(20000-Alt_rampe-pos_z)/(20000+Alt_rampe+pos_z)</f>
        <v>1.22649743361049</v>
      </c>
      <c r="W818" s="397" t="n">
        <f aca="false">1/2*Rho*Sref*Cx*vit_xz^2</f>
        <v>62.1063390880891</v>
      </c>
      <c r="Y818" s="408" t="str">
        <f aca="false">IF(AND(pos_z&lt;=0,K817&gt;0),"Impact balistique","") &amp; IF(AND(H819&lt;0,vit_z&gt;=0),"Apogée","") &amp; IF(AND(Poussee=0,Q817&gt;0),"Fin de propulsion","") &amp; IF(AND(L819&gt;L_rampe,pos_xz&lt;=L_rampe),"Sortie de rampe","")</f>
        <v/>
      </c>
      <c r="Z818" s="402" t="str">
        <f aca="false">IF(ABS(t-T_para)&lt;pas/2,"Para","")</f>
        <v/>
      </c>
      <c r="AA818" s="403" t="str">
        <f aca="false">IF(ABS(t-T_satellite)&lt;pas/2,"Satellite","")</f>
        <v/>
      </c>
      <c r="AC818" s="399" t="e">
        <f aca="false">IF(ABS(t-ROUND(t,0))&lt;0.001,t,NA())</f>
        <v>#N/A</v>
      </c>
      <c r="AD818" s="404" t="e">
        <f aca="false">IF(ABS(t-ROUND(t,0))&lt;0.001,pos_x,NA())</f>
        <v>#N/A</v>
      </c>
      <c r="AE818" s="405" t="e">
        <f aca="false">IF(t&lt;T_para, pos_z, NA())</f>
        <v>#N/A</v>
      </c>
      <c r="AG818" s="396" t="n">
        <f aca="false">IF(AND(L817&lt;L_rampe,Poussee&lt;Poids*SIN(M817)),0,(-W817+Poussee)/m-Poids*SIN(M817)/m)</f>
        <v>2.41206575901187</v>
      </c>
      <c r="AH818" s="397" t="n">
        <f aca="false">IF(AND(L817&lt;L_rampe,Poussee&lt;Poids*SIN(M817)), g*SIN(M817), (-W817+Poussee)/m)</f>
        <v>-7.34982356455024</v>
      </c>
    </row>
    <row r="819" customFormat="false" ht="12.75" hidden="false" customHeight="false" outlineLevel="0" collapsed="false">
      <c r="A819" s="396" t="n">
        <f aca="false">IF(B818+0.01&lt;=T_ini+ROUNDUP(Temps_fin_propu,0), 0.01, IF(K818&gt;0, 0.1, 0.0001))</f>
        <v>0.0001</v>
      </c>
      <c r="B819" s="397" t="n">
        <f aca="false">B818+pas</f>
        <v>32.1314000000012</v>
      </c>
      <c r="D819" s="396" t="n">
        <f aca="false">IF(AND(L818&lt;L_rampe,Poussee&lt;Poids*SIN(M818)),0,(-W818+Poussee)/m*COS(M818)-U818/m*SIN(M818))</f>
        <v>-0.727015493594753</v>
      </c>
      <c r="E819" s="398" t="n">
        <f aca="false">IF(AND(L818&lt;L_rampe,Poussee&lt;Poids*SIN(M818)),0,(-W818+Poussee)/m*SIN(M818)+U818/m*COS(M818)-Poids/m)</f>
        <v>-2.49618232956404</v>
      </c>
      <c r="F819" s="397" t="n">
        <f aca="false">SQRT(acc_x^2+acc_z^2)</f>
        <v>2.59989956543605</v>
      </c>
      <c r="G819" s="396" t="n">
        <f aca="false">G818+acc_x*pas</f>
        <v>11.4744681080137</v>
      </c>
      <c r="H819" s="398" t="n">
        <f aca="false">H818+acc_z*pas</f>
        <v>-115.434789971922</v>
      </c>
      <c r="I819" s="397" t="n">
        <f aca="false">SQRT(vit_x^2+vit_z^2)</f>
        <v>116.003681640815</v>
      </c>
      <c r="J819" s="396" t="n">
        <f aca="false">J818+0.5*(vit_x+G818)*pas*(K818&gt;=0)</f>
        <v>690.928492655337</v>
      </c>
      <c r="K819" s="398" t="n">
        <f aca="false">K818+0.5*(vit_z+H818)*pas</f>
        <v>-12.2280246258402</v>
      </c>
      <c r="L819" s="397" t="n">
        <f aca="false">SQRT(pos_x^2+pos_z^2)</f>
        <v>691.036689727272</v>
      </c>
      <c r="M819" s="396" t="n">
        <f aca="false">IF(AND(L818&gt;L_rampe,G819&gt;0),ATAN2(G819,H819),$M$4)</f>
        <v>-1.47171962452722</v>
      </c>
      <c r="N819" s="397" t="n">
        <f aca="false">DEGREES(Beta)</f>
        <v>-84.3233231119879</v>
      </c>
      <c r="P819" s="399" t="n">
        <f aca="false">MATCH(t-pas/2-T_ini,CdP_t)</f>
        <v>23</v>
      </c>
      <c r="Q819" s="397" t="n">
        <f aca="false">(INDEX(CdP,2,i_P+1)-INDEX(CdP,2,i_P+0))/(INDEX(CdP,1,i_P+1)-INDEX(CdP,1,i_P+0))*(t-pas/2-T_ini-INDEX(CdP,1,i_P+0))+INDEX(CdP,2,i_P+0)</f>
        <v>0</v>
      </c>
      <c r="R819" s="396" t="n">
        <f aca="false">Poussee/(g*ISP)</f>
        <v>0</v>
      </c>
      <c r="S819" s="398" t="n">
        <f aca="false">S818-Débit*pas</f>
        <v>8.45</v>
      </c>
      <c r="T819" s="397" t="n">
        <f aca="false">m*g</f>
        <v>82.8945</v>
      </c>
      <c r="U819" s="400" t="n">
        <f aca="false">IF(pos_xz&lt;L_rampe,Poids*COS(Beta),0)</f>
        <v>0</v>
      </c>
      <c r="V819" s="396" t="n">
        <f aca="false">Rho_moyen*(20000-Alt_rampe-pos_z)/(20000+Alt_rampe+pos_z)</f>
        <v>1.22649884941504</v>
      </c>
      <c r="W819" s="397" t="n">
        <f aca="false">1/2*Rho*Sref*Cx*vit_xz^2</f>
        <v>62.1066690530056</v>
      </c>
      <c r="Y819" s="408" t="str">
        <f aca="false">IF(AND(pos_z&lt;=0,K818&gt;0),"Impact balistique","") &amp; IF(AND(H820&lt;0,vit_z&gt;=0),"Apogée","") &amp; IF(AND(Poussee=0,Q818&gt;0),"Fin de propulsion","") &amp; IF(AND(L820&gt;L_rampe,pos_xz&lt;=L_rampe),"Sortie de rampe","")</f>
        <v/>
      </c>
      <c r="Z819" s="402" t="str">
        <f aca="false">IF(ABS(t-T_para)&lt;pas/2,"Para","")</f>
        <v/>
      </c>
      <c r="AA819" s="403" t="str">
        <f aca="false">IF(ABS(t-T_satellite)&lt;pas/2,"Satellite","")</f>
        <v/>
      </c>
      <c r="AC819" s="399" t="e">
        <f aca="false">IF(ABS(t-ROUND(t,0))&lt;0.001,t,NA())</f>
        <v>#N/A</v>
      </c>
      <c r="AD819" s="404" t="e">
        <f aca="false">IF(ABS(t-ROUND(t,0))&lt;0.001,pos_x,NA())</f>
        <v>#N/A</v>
      </c>
      <c r="AE819" s="405" t="e">
        <f aca="false">IF(t&lt;T_para, pos_z, NA())</f>
        <v>#N/A</v>
      </c>
      <c r="AG819" s="396" t="n">
        <f aca="false">IF(AND(L818&lt;L_rampe,Poussee&lt;Poids*SIN(M818)),0,(-W818+Poussee)/m-Poids*SIN(M818)/m)</f>
        <v>2.41202752129822</v>
      </c>
      <c r="AH819" s="397" t="n">
        <f aca="false">IF(AND(L818&lt;L_rampe,Poussee&lt;Poids*SIN(M818)), g*SIN(M818), (-W818+Poussee)/m)</f>
        <v>-7.34986261397505</v>
      </c>
    </row>
    <row r="820" customFormat="false" ht="12.75" hidden="false" customHeight="false" outlineLevel="0" collapsed="false">
      <c r="A820" s="396" t="n">
        <f aca="false">IF(B819+0.01&lt;=T_ini+ROUNDUP(Temps_fin_propu,0), 0.01, IF(K819&gt;0, 0.1, 0.0001))</f>
        <v>0.0001</v>
      </c>
      <c r="B820" s="397" t="n">
        <f aca="false">B819+pas</f>
        <v>32.1315000000012</v>
      </c>
      <c r="D820" s="396" t="n">
        <f aca="false">IF(AND(L819&lt;L_rampe,Poussee&lt;Poids*SIN(M819)),0,(-W819+Poussee)/m*COS(M819)-U819/m*SIN(M819))</f>
        <v>-0.727013238175946</v>
      </c>
      <c r="E820" s="398" t="n">
        <f aca="false">IF(AND(L819&lt;L_rampe,Poussee&lt;Poids*SIN(M819)),0,(-W819+Poussee)/m*SIN(M819)+U819/m*COS(M819)-Poids/m)</f>
        <v>-2.49614286382161</v>
      </c>
      <c r="F820" s="397" t="n">
        <f aca="false">SQRT(acc_x^2+acc_z^2)</f>
        <v>2.59986104341956</v>
      </c>
      <c r="G820" s="396" t="n">
        <f aca="false">G819+acc_x*pas</f>
        <v>11.4743954066898</v>
      </c>
      <c r="H820" s="398" t="n">
        <f aca="false">H819+acc_z*pas</f>
        <v>-115.435039586208</v>
      </c>
      <c r="I820" s="397" t="n">
        <f aca="false">SQRT(vit_x^2+vit_z^2)</f>
        <v>116.003922839784</v>
      </c>
      <c r="J820" s="396" t="n">
        <f aca="false">J819+0.5*(vit_x+G819)*pas*(K819&gt;=0)</f>
        <v>690.928492655337</v>
      </c>
      <c r="K820" s="398" t="n">
        <f aca="false">K819+0.5*(vit_z+H819)*pas</f>
        <v>-12.2395681173181</v>
      </c>
      <c r="L820" s="397" t="n">
        <f aca="false">SQRT(pos_x^2+pos_z^2)</f>
        <v>691.036894087916</v>
      </c>
      <c r="M820" s="396" t="n">
        <f aca="false">IF(AND(L819&gt;L_rampe,G820&gt;0),ATAN2(G820,H820),$M$4)</f>
        <v>-1.47172046101023</v>
      </c>
      <c r="N820" s="397" t="n">
        <f aca="false">DEGREES(Beta)</f>
        <v>-84.3233710389337</v>
      </c>
      <c r="P820" s="399" t="n">
        <f aca="false">MATCH(t-pas/2-T_ini,CdP_t)</f>
        <v>23</v>
      </c>
      <c r="Q820" s="397" t="n">
        <f aca="false">(INDEX(CdP,2,i_P+1)-INDEX(CdP,2,i_P+0))/(INDEX(CdP,1,i_P+1)-INDEX(CdP,1,i_P+0))*(t-pas/2-T_ini-INDEX(CdP,1,i_P+0))+INDEX(CdP,2,i_P+0)</f>
        <v>0</v>
      </c>
      <c r="R820" s="396" t="n">
        <f aca="false">Poussee/(g*ISP)</f>
        <v>0</v>
      </c>
      <c r="S820" s="398" t="n">
        <f aca="false">S819-Débit*pas</f>
        <v>8.45</v>
      </c>
      <c r="T820" s="397" t="n">
        <f aca="false">m*g</f>
        <v>82.8945</v>
      </c>
      <c r="U820" s="400" t="n">
        <f aca="false">IF(pos_xz&lt;L_rampe,Poids*COS(Beta),0)</f>
        <v>0</v>
      </c>
      <c r="V820" s="396" t="n">
        <f aca="false">Rho_moyen*(20000-Alt_rampe-pos_z)/(20000+Alt_rampe+pos_z)</f>
        <v>1.22650026522429</v>
      </c>
      <c r="W820" s="397" t="n">
        <f aca="false">1/2*Rho*Sref*Cx*vit_xz^2</f>
        <v>62.1069990151988</v>
      </c>
      <c r="Y820" s="408" t="str">
        <f aca="false">IF(AND(pos_z&lt;=0,K819&gt;0),"Impact balistique","") &amp; IF(AND(H821&lt;0,vit_z&gt;=0),"Apogée","") &amp; IF(AND(Poussee=0,Q819&gt;0),"Fin de propulsion","") &amp; IF(AND(L821&gt;L_rampe,pos_xz&lt;=L_rampe),"Sortie de rampe","")</f>
        <v/>
      </c>
      <c r="Z820" s="402" t="str">
        <f aca="false">IF(ABS(t-T_para)&lt;pas/2,"Para","")</f>
        <v/>
      </c>
      <c r="AA820" s="403" t="str">
        <f aca="false">IF(ABS(t-T_satellite)&lt;pas/2,"Satellite","")</f>
        <v/>
      </c>
      <c r="AC820" s="399" t="e">
        <f aca="false">IF(ABS(t-ROUND(t,0))&lt;0.001,t,NA())</f>
        <v>#N/A</v>
      </c>
      <c r="AD820" s="404" t="e">
        <f aca="false">IF(ABS(t-ROUND(t,0))&lt;0.001,pos_x,NA())</f>
        <v>#N/A</v>
      </c>
      <c r="AE820" s="405" t="e">
        <f aca="false">IF(t&lt;T_para, pos_z, NA())</f>
        <v>#N/A</v>
      </c>
      <c r="AG820" s="396" t="n">
        <f aca="false">IF(AND(L819&lt;L_rampe,Poussee&lt;Poids*SIN(M819)),0,(-W819+Poussee)/m-Poids*SIN(M819)/m)</f>
        <v>2.41198928389149</v>
      </c>
      <c r="AH820" s="397" t="n">
        <f aca="false">IF(AND(L819&lt;L_rampe,Poussee&lt;Poids*SIN(M819)), g*SIN(M819), (-W819+Poussee)/m)</f>
        <v>-7.34990166307758</v>
      </c>
    </row>
    <row r="821" customFormat="false" ht="12.75" hidden="false" customHeight="false" outlineLevel="0" collapsed="false">
      <c r="A821" s="396" t="n">
        <f aca="false">IF(B820+0.01&lt;=T_ini+ROUNDUP(Temps_fin_propu,0), 0.01, IF(K820&gt;0, 0.1, 0.0001))</f>
        <v>0.0001</v>
      </c>
      <c r="B821" s="397" t="n">
        <f aca="false">B820+pas</f>
        <v>32.1316000000012</v>
      </c>
      <c r="D821" s="396" t="n">
        <f aca="false">IF(AND(L820&lt;L_rampe,Poussee&lt;Poids*SIN(M820)),0,(-W820+Poussee)/m*COS(M820)-U820/m*SIN(M820))</f>
        <v>-0.727010982723949</v>
      </c>
      <c r="E821" s="398" t="n">
        <f aca="false">IF(AND(L820&lt;L_rampe,Poussee&lt;Poids*SIN(M820)),0,(-W820+Poussee)/m*SIN(M820)+U820/m*COS(M820)-Poids/m)</f>
        <v>-2.49610339840492</v>
      </c>
      <c r="F821" s="397" t="n">
        <f aca="false">SQRT(acc_x^2+acc_z^2)</f>
        <v>2.59982252173678</v>
      </c>
      <c r="G821" s="396" t="n">
        <f aca="false">G820+acc_x*pas</f>
        <v>11.4743227055916</v>
      </c>
      <c r="H821" s="398" t="n">
        <f aca="false">H820+acc_z*pas</f>
        <v>-115.435289196548</v>
      </c>
      <c r="I821" s="397" t="n">
        <f aca="false">SQRT(vit_x^2+vit_z^2)</f>
        <v>116.004164034929</v>
      </c>
      <c r="J821" s="396" t="n">
        <f aca="false">J820+0.5*(vit_x+G820)*pas*(K820&gt;=0)</f>
        <v>690.928492655337</v>
      </c>
      <c r="K821" s="398" t="n">
        <f aca="false">K820+0.5*(vit_z+H820)*pas</f>
        <v>-12.2511116337573</v>
      </c>
      <c r="L821" s="397" t="n">
        <f aca="false">SQRT(pos_x^2+pos_z^2)</f>
        <v>691.037098641772</v>
      </c>
      <c r="M821" s="396" t="n">
        <f aca="false">IF(AND(L820&gt;L_rampe,G821&gt;0),ATAN2(G821,H821),$M$4)</f>
        <v>-1.47172129748445</v>
      </c>
      <c r="N821" s="397" t="n">
        <f aca="false">DEGREES(Beta)</f>
        <v>-84.3234189653767</v>
      </c>
      <c r="P821" s="399" t="n">
        <f aca="false">MATCH(t-pas/2-T_ini,CdP_t)</f>
        <v>23</v>
      </c>
      <c r="Q821" s="397" t="n">
        <f aca="false">(INDEX(CdP,2,i_P+1)-INDEX(CdP,2,i_P+0))/(INDEX(CdP,1,i_P+1)-INDEX(CdP,1,i_P+0))*(t-pas/2-T_ini-INDEX(CdP,1,i_P+0))+INDEX(CdP,2,i_P+0)</f>
        <v>0</v>
      </c>
      <c r="R821" s="396" t="n">
        <f aca="false">Poussee/(g*ISP)</f>
        <v>0</v>
      </c>
      <c r="S821" s="398" t="n">
        <f aca="false">S820-Débit*pas</f>
        <v>8.45</v>
      </c>
      <c r="T821" s="397" t="n">
        <f aca="false">m*g</f>
        <v>82.8945</v>
      </c>
      <c r="U821" s="400" t="n">
        <f aca="false">IF(pos_xz&lt;L_rampe,Poids*COS(Beta),0)</f>
        <v>0</v>
      </c>
      <c r="V821" s="396" t="n">
        <f aca="false">Rho_moyen*(20000-Alt_rampe-pos_z)/(20000+Alt_rampe+pos_z)</f>
        <v>1.22650168103824</v>
      </c>
      <c r="W821" s="397" t="n">
        <f aca="false">1/2*Rho*Sref*Cx*vit_xz^2</f>
        <v>62.1073289746687</v>
      </c>
      <c r="Y821" s="408" t="str">
        <f aca="false">IF(AND(pos_z&lt;=0,K820&gt;0),"Impact balistique","") &amp; IF(AND(H822&lt;0,vit_z&gt;=0),"Apogée","") &amp; IF(AND(Poussee=0,Q820&gt;0),"Fin de propulsion","") &amp; IF(AND(L822&gt;L_rampe,pos_xz&lt;=L_rampe),"Sortie de rampe","")</f>
        <v/>
      </c>
      <c r="Z821" s="402" t="str">
        <f aca="false">IF(ABS(t-T_para)&lt;pas/2,"Para","")</f>
        <v/>
      </c>
      <c r="AA821" s="403" t="str">
        <f aca="false">IF(ABS(t-T_satellite)&lt;pas/2,"Satellite","")</f>
        <v/>
      </c>
      <c r="AC821" s="399" t="e">
        <f aca="false">IF(ABS(t-ROUND(t,0))&lt;0.001,t,NA())</f>
        <v>#N/A</v>
      </c>
      <c r="AD821" s="404" t="e">
        <f aca="false">IF(ABS(t-ROUND(t,0))&lt;0.001,pos_x,NA())</f>
        <v>#N/A</v>
      </c>
      <c r="AE821" s="405" t="e">
        <f aca="false">IF(t&lt;T_para, pos_z, NA())</f>
        <v>#N/A</v>
      </c>
      <c r="AG821" s="396" t="n">
        <f aca="false">IF(AND(L820&lt;L_rampe,Poussee&lt;Poids*SIN(M820)),0,(-W820+Poussee)/m-Poids*SIN(M820)/m)</f>
        <v>2.41195104679169</v>
      </c>
      <c r="AH821" s="397" t="n">
        <f aca="false">IF(AND(L820&lt;L_rampe,Poussee&lt;Poids*SIN(M820)), g*SIN(M820), (-W820+Poussee)/m)</f>
        <v>-7.34994071185784</v>
      </c>
    </row>
    <row r="822" customFormat="false" ht="12.75" hidden="false" customHeight="false" outlineLevel="0" collapsed="false">
      <c r="A822" s="396" t="n">
        <f aca="false">IF(B821+0.01&lt;=T_ini+ROUNDUP(Temps_fin_propu,0), 0.01, IF(K821&gt;0, 0.1, 0.0001))</f>
        <v>0.0001</v>
      </c>
      <c r="B822" s="397" t="n">
        <f aca="false">B821+pas</f>
        <v>32.1317000000012</v>
      </c>
      <c r="D822" s="396" t="n">
        <f aca="false">IF(AND(L821&lt;L_rampe,Poussee&lt;Poids*SIN(M821)),0,(-W821+Poussee)/m*COS(M821)-U821/m*SIN(M821))</f>
        <v>-0.727008727238762</v>
      </c>
      <c r="E822" s="398" t="n">
        <f aca="false">IF(AND(L821&lt;L_rampe,Poussee&lt;Poids*SIN(M821)),0,(-W821+Poussee)/m*SIN(M821)+U821/m*COS(M821)-Poids/m)</f>
        <v>-2.49606393331396</v>
      </c>
      <c r="F822" s="397" t="n">
        <f aca="false">SQRT(acc_x^2+acc_z^2)</f>
        <v>2.59978400038774</v>
      </c>
      <c r="G822" s="396" t="n">
        <f aca="false">G821+acc_x*pas</f>
        <v>11.4742500047188</v>
      </c>
      <c r="H822" s="398" t="n">
        <f aca="false">H821+acc_z*pas</f>
        <v>-115.435538802941</v>
      </c>
      <c r="I822" s="397" t="n">
        <f aca="false">SQRT(vit_x^2+vit_z^2)</f>
        <v>116.00440522625</v>
      </c>
      <c r="J822" s="396" t="n">
        <f aca="false">J821+0.5*(vit_x+G821)*pas*(K821&gt;=0)</f>
        <v>690.928492655337</v>
      </c>
      <c r="K822" s="398" t="n">
        <f aca="false">K821+0.5*(vit_z+H821)*pas</f>
        <v>-12.2626551751572</v>
      </c>
      <c r="L822" s="397" t="n">
        <f aca="false">SQRT(pos_x^2+pos_z^2)</f>
        <v>691.037303388841</v>
      </c>
      <c r="M822" s="396" t="n">
        <f aca="false">IF(AND(L821&gt;L_rampe,G822&gt;0),ATAN2(G822,H822),$M$4)</f>
        <v>-1.4717221339499</v>
      </c>
      <c r="N822" s="397" t="n">
        <f aca="false">DEGREES(Beta)</f>
        <v>-84.3234668913166</v>
      </c>
      <c r="P822" s="399" t="n">
        <f aca="false">MATCH(t-pas/2-T_ini,CdP_t)</f>
        <v>23</v>
      </c>
      <c r="Q822" s="397" t="n">
        <f aca="false">(INDEX(CdP,2,i_P+1)-INDEX(CdP,2,i_P+0))/(INDEX(CdP,1,i_P+1)-INDEX(CdP,1,i_P+0))*(t-pas/2-T_ini-INDEX(CdP,1,i_P+0))+INDEX(CdP,2,i_P+0)</f>
        <v>0</v>
      </c>
      <c r="R822" s="396" t="n">
        <f aca="false">Poussee/(g*ISP)</f>
        <v>0</v>
      </c>
      <c r="S822" s="398" t="n">
        <f aca="false">S821-Débit*pas</f>
        <v>8.45</v>
      </c>
      <c r="T822" s="397" t="n">
        <f aca="false">m*g</f>
        <v>82.8945</v>
      </c>
      <c r="U822" s="400" t="n">
        <f aca="false">IF(pos_xz&lt;L_rampe,Poids*COS(Beta),0)</f>
        <v>0</v>
      </c>
      <c r="V822" s="396" t="n">
        <f aca="false">Rho_moyen*(20000-Alt_rampe-pos_z)/(20000+Alt_rampe+pos_z)</f>
        <v>1.22650309685688</v>
      </c>
      <c r="W822" s="397" t="n">
        <f aca="false">1/2*Rho*Sref*Cx*vit_xz^2</f>
        <v>62.1076589314154</v>
      </c>
      <c r="Y822" s="408" t="str">
        <f aca="false">IF(AND(pos_z&lt;=0,K821&gt;0),"Impact balistique","") &amp; IF(AND(H823&lt;0,vit_z&gt;=0),"Apogée","") &amp; IF(AND(Poussee=0,Q821&gt;0),"Fin de propulsion","") &amp; IF(AND(L823&gt;L_rampe,pos_xz&lt;=L_rampe),"Sortie de rampe","")</f>
        <v/>
      </c>
      <c r="Z822" s="402" t="str">
        <f aca="false">IF(ABS(t-T_para)&lt;pas/2,"Para","")</f>
        <v/>
      </c>
      <c r="AA822" s="403" t="str">
        <f aca="false">IF(ABS(t-T_satellite)&lt;pas/2,"Satellite","")</f>
        <v/>
      </c>
      <c r="AC822" s="399" t="e">
        <f aca="false">IF(ABS(t-ROUND(t,0))&lt;0.001,t,NA())</f>
        <v>#N/A</v>
      </c>
      <c r="AD822" s="404" t="e">
        <f aca="false">IF(ABS(t-ROUND(t,0))&lt;0.001,pos_x,NA())</f>
        <v>#N/A</v>
      </c>
      <c r="AE822" s="405" t="e">
        <f aca="false">IF(t&lt;T_para, pos_z, NA())</f>
        <v>#N/A</v>
      </c>
      <c r="AG822" s="396" t="n">
        <f aca="false">IF(AND(L821&lt;L_rampe,Poussee&lt;Poids*SIN(M821)),0,(-W821+Poussee)/m-Poids*SIN(M821)/m)</f>
        <v>2.41191280999883</v>
      </c>
      <c r="AH822" s="397" t="n">
        <f aca="false">IF(AND(L821&lt;L_rampe,Poussee&lt;Poids*SIN(M821)), g*SIN(M821), (-W821+Poussee)/m)</f>
        <v>-7.34997976031582</v>
      </c>
    </row>
    <row r="823" customFormat="false" ht="12.75" hidden="false" customHeight="false" outlineLevel="0" collapsed="false">
      <c r="A823" s="396" t="n">
        <f aca="false">IF(B822+0.01&lt;=T_ini+ROUNDUP(Temps_fin_propu,0), 0.01, IF(K822&gt;0, 0.1, 0.0001))</f>
        <v>0.0001</v>
      </c>
      <c r="B823" s="397" t="n">
        <f aca="false">B822+pas</f>
        <v>32.1318000000012</v>
      </c>
      <c r="D823" s="396" t="n">
        <f aca="false">IF(AND(L822&lt;L_rampe,Poussee&lt;Poids*SIN(M822)),0,(-W822+Poussee)/m*COS(M822)-U822/m*SIN(M822))</f>
        <v>-0.727006471720387</v>
      </c>
      <c r="E823" s="398" t="n">
        <f aca="false">IF(AND(L822&lt;L_rampe,Poussee&lt;Poids*SIN(M822)),0,(-W822+Poussee)/m*SIN(M822)+U822/m*COS(M822)-Poids/m)</f>
        <v>-2.49602446854873</v>
      </c>
      <c r="F823" s="397" t="n">
        <f aca="false">SQRT(acc_x^2+acc_z^2)</f>
        <v>2.59974547937241</v>
      </c>
      <c r="G823" s="396" t="n">
        <f aca="false">G822+acc_x*pas</f>
        <v>11.4741773040717</v>
      </c>
      <c r="H823" s="398" t="n">
        <f aca="false">H822+acc_z*pas</f>
        <v>-115.435788405388</v>
      </c>
      <c r="I823" s="397" t="n">
        <f aca="false">SQRT(vit_x^2+vit_z^2)</f>
        <v>116.004646413748</v>
      </c>
      <c r="J823" s="396" t="n">
        <f aca="false">J822+0.5*(vit_x+G822)*pas*(K822&gt;=0)</f>
        <v>690.928492655337</v>
      </c>
      <c r="K823" s="398" t="n">
        <f aca="false">K822+0.5*(vit_z+H822)*pas</f>
        <v>-12.2741987415177</v>
      </c>
      <c r="L823" s="397" t="n">
        <f aca="false">SQRT(pos_x^2+pos_z^2)</f>
        <v>691.037508329123</v>
      </c>
      <c r="M823" s="396" t="n">
        <f aca="false">IF(AND(L822&gt;L_rampe,G823&gt;0),ATAN2(G823,H823),$M$4)</f>
        <v>-1.47172297040657</v>
      </c>
      <c r="N823" s="397" t="n">
        <f aca="false">DEGREES(Beta)</f>
        <v>-84.3235148167536</v>
      </c>
      <c r="P823" s="399" t="n">
        <f aca="false">MATCH(t-pas/2-T_ini,CdP_t)</f>
        <v>23</v>
      </c>
      <c r="Q823" s="397" t="n">
        <f aca="false">(INDEX(CdP,2,i_P+1)-INDEX(CdP,2,i_P+0))/(INDEX(CdP,1,i_P+1)-INDEX(CdP,1,i_P+0))*(t-pas/2-T_ini-INDEX(CdP,1,i_P+0))+INDEX(CdP,2,i_P+0)</f>
        <v>0</v>
      </c>
      <c r="R823" s="396" t="n">
        <f aca="false">Poussee/(g*ISP)</f>
        <v>0</v>
      </c>
      <c r="S823" s="398" t="n">
        <f aca="false">S822-Débit*pas</f>
        <v>8.45</v>
      </c>
      <c r="T823" s="397" t="n">
        <f aca="false">m*g</f>
        <v>82.8945</v>
      </c>
      <c r="U823" s="400" t="n">
        <f aca="false">IF(pos_xz&lt;L_rampe,Poids*COS(Beta),0)</f>
        <v>0</v>
      </c>
      <c r="V823" s="396" t="n">
        <f aca="false">Rho_moyen*(20000-Alt_rampe-pos_z)/(20000+Alt_rampe+pos_z)</f>
        <v>1.22650451268022</v>
      </c>
      <c r="W823" s="397" t="n">
        <f aca="false">1/2*Rho*Sref*Cx*vit_xz^2</f>
        <v>62.1079888854389</v>
      </c>
      <c r="Y823" s="408" t="str">
        <f aca="false">IF(AND(pos_z&lt;=0,K822&gt;0),"Impact balistique","") &amp; IF(AND(H824&lt;0,vit_z&gt;=0),"Apogée","") &amp; IF(AND(Poussee=0,Q822&gt;0),"Fin de propulsion","") &amp; IF(AND(L824&gt;L_rampe,pos_xz&lt;=L_rampe),"Sortie de rampe","")</f>
        <v/>
      </c>
      <c r="Z823" s="402" t="str">
        <f aca="false">IF(ABS(t-T_para)&lt;pas/2,"Para","")</f>
        <v/>
      </c>
      <c r="AA823" s="403" t="str">
        <f aca="false">IF(ABS(t-T_satellite)&lt;pas/2,"Satellite","")</f>
        <v/>
      </c>
      <c r="AC823" s="399" t="e">
        <f aca="false">IF(ABS(t-ROUND(t,0))&lt;0.001,t,NA())</f>
        <v>#N/A</v>
      </c>
      <c r="AD823" s="404" t="e">
        <f aca="false">IF(ABS(t-ROUND(t,0))&lt;0.001,pos_x,NA())</f>
        <v>#N/A</v>
      </c>
      <c r="AE823" s="405" t="e">
        <f aca="false">IF(t&lt;T_para, pos_z, NA())</f>
        <v>#N/A</v>
      </c>
      <c r="AG823" s="396" t="n">
        <f aca="false">IF(AND(L822&lt;L_rampe,Poussee&lt;Poids*SIN(M822)),0,(-W822+Poussee)/m-Poids*SIN(M822)/m)</f>
        <v>2.41187457351289</v>
      </c>
      <c r="AH823" s="397" t="n">
        <f aca="false">IF(AND(L822&lt;L_rampe,Poussee&lt;Poids*SIN(M822)), g*SIN(M822), (-W822+Poussee)/m)</f>
        <v>-7.35001880845153</v>
      </c>
    </row>
    <row r="824" customFormat="false" ht="12.75" hidden="false" customHeight="false" outlineLevel="0" collapsed="false">
      <c r="A824" s="396" t="n">
        <f aca="false">IF(B823+0.01&lt;=T_ini+ROUNDUP(Temps_fin_propu,0), 0.01, IF(K823&gt;0, 0.1, 0.0001))</f>
        <v>0.0001</v>
      </c>
      <c r="B824" s="397" t="n">
        <f aca="false">B823+pas</f>
        <v>32.1319000000012</v>
      </c>
      <c r="D824" s="396" t="n">
        <f aca="false">IF(AND(L823&lt;L_rampe,Poussee&lt;Poids*SIN(M823)),0,(-W823+Poussee)/m*COS(M823)-U823/m*SIN(M823))</f>
        <v>-0.727004216168826</v>
      </c>
      <c r="E824" s="398" t="n">
        <f aca="false">IF(AND(L823&lt;L_rampe,Poussee&lt;Poids*SIN(M823)),0,(-W823+Poussee)/m*SIN(M823)+U823/m*COS(M823)-Poids/m)</f>
        <v>-2.49598500410924</v>
      </c>
      <c r="F824" s="397" t="n">
        <f aca="false">SQRT(acc_x^2+acc_z^2)</f>
        <v>2.59970695869081</v>
      </c>
      <c r="G824" s="396" t="n">
        <f aca="false">G823+acc_x*pas</f>
        <v>11.47410460365</v>
      </c>
      <c r="H824" s="398" t="n">
        <f aca="false">H823+acc_z*pas</f>
        <v>-115.436038003888</v>
      </c>
      <c r="I824" s="397" t="n">
        <f aca="false">SQRT(vit_x^2+vit_z^2)</f>
        <v>116.004887597423</v>
      </c>
      <c r="J824" s="396" t="n">
        <f aca="false">J823+0.5*(vit_x+G823)*pas*(K823&gt;=0)</f>
        <v>690.928492655337</v>
      </c>
      <c r="K824" s="398" t="n">
        <f aca="false">K823+0.5*(vit_z+H823)*pas</f>
        <v>-12.2857423328381</v>
      </c>
      <c r="L824" s="397" t="n">
        <f aca="false">SQRT(pos_x^2+pos_z^2)</f>
        <v>691.037713462619</v>
      </c>
      <c r="M824" s="396" t="n">
        <f aca="false">IF(AND(L823&gt;L_rampe,G824&gt;0),ATAN2(G824,H824),$M$4)</f>
        <v>-1.47172380685447</v>
      </c>
      <c r="N824" s="397" t="n">
        <f aca="false">DEGREES(Beta)</f>
        <v>-84.3235627416876</v>
      </c>
      <c r="P824" s="399" t="n">
        <f aca="false">MATCH(t-pas/2-T_ini,CdP_t)</f>
        <v>23</v>
      </c>
      <c r="Q824" s="397" t="n">
        <f aca="false">(INDEX(CdP,2,i_P+1)-INDEX(CdP,2,i_P+0))/(INDEX(CdP,1,i_P+1)-INDEX(CdP,1,i_P+0))*(t-pas/2-T_ini-INDEX(CdP,1,i_P+0))+INDEX(CdP,2,i_P+0)</f>
        <v>0</v>
      </c>
      <c r="R824" s="396" t="n">
        <f aca="false">Poussee/(g*ISP)</f>
        <v>0</v>
      </c>
      <c r="S824" s="398" t="n">
        <f aca="false">S823-Débit*pas</f>
        <v>8.45</v>
      </c>
      <c r="T824" s="397" t="n">
        <f aca="false">m*g</f>
        <v>82.8945</v>
      </c>
      <c r="U824" s="400" t="n">
        <f aca="false">IF(pos_xz&lt;L_rampe,Poids*COS(Beta),0)</f>
        <v>0</v>
      </c>
      <c r="V824" s="396" t="n">
        <f aca="false">Rho_moyen*(20000-Alt_rampe-pos_z)/(20000+Alt_rampe+pos_z)</f>
        <v>1.22650592850825</v>
      </c>
      <c r="W824" s="397" t="n">
        <f aca="false">1/2*Rho*Sref*Cx*vit_xz^2</f>
        <v>62.1083188367391</v>
      </c>
      <c r="Y824" s="408" t="str">
        <f aca="false">IF(AND(pos_z&lt;=0,K823&gt;0),"Impact balistique","") &amp; IF(AND(H825&lt;0,vit_z&gt;=0),"Apogée","") &amp; IF(AND(Poussee=0,Q823&gt;0),"Fin de propulsion","") &amp; IF(AND(L825&gt;L_rampe,pos_xz&lt;=L_rampe),"Sortie de rampe","")</f>
        <v/>
      </c>
      <c r="Z824" s="402" t="str">
        <f aca="false">IF(ABS(t-T_para)&lt;pas/2,"Para","")</f>
        <v/>
      </c>
      <c r="AA824" s="403" t="str">
        <f aca="false">IF(ABS(t-T_satellite)&lt;pas/2,"Satellite","")</f>
        <v/>
      </c>
      <c r="AC824" s="399" t="e">
        <f aca="false">IF(ABS(t-ROUND(t,0))&lt;0.001,t,NA())</f>
        <v>#N/A</v>
      </c>
      <c r="AD824" s="404" t="e">
        <f aca="false">IF(ABS(t-ROUND(t,0))&lt;0.001,pos_x,NA())</f>
        <v>#N/A</v>
      </c>
      <c r="AE824" s="405" t="e">
        <f aca="false">IF(t&lt;T_para, pos_z, NA())</f>
        <v>#N/A</v>
      </c>
      <c r="AG824" s="396" t="n">
        <f aca="false">IF(AND(L823&lt;L_rampe,Poussee&lt;Poids*SIN(M823)),0,(-W823+Poussee)/m-Poids*SIN(M823)/m)</f>
        <v>2.41183633733388</v>
      </c>
      <c r="AH824" s="397" t="n">
        <f aca="false">IF(AND(L823&lt;L_rampe,Poussee&lt;Poids*SIN(M823)), g*SIN(M823), (-W823+Poussee)/m)</f>
        <v>-7.35005785626496</v>
      </c>
    </row>
    <row r="825" customFormat="false" ht="12.75" hidden="false" customHeight="false" outlineLevel="0" collapsed="false">
      <c r="A825" s="396" t="n">
        <f aca="false">IF(B824+0.01&lt;=T_ini+ROUNDUP(Temps_fin_propu,0), 0.01, IF(K824&gt;0, 0.1, 0.0001))</f>
        <v>0.0001</v>
      </c>
      <c r="B825" s="397" t="n">
        <f aca="false">B824+pas</f>
        <v>32.1320000000013</v>
      </c>
      <c r="D825" s="396" t="n">
        <f aca="false">IF(AND(L824&lt;L_rampe,Poussee&lt;Poids*SIN(M824)),0,(-W824+Poussee)/m*COS(M824)-U824/m*SIN(M824))</f>
        <v>-0.727001960584078</v>
      </c>
      <c r="E825" s="398" t="n">
        <f aca="false">IF(AND(L824&lt;L_rampe,Poussee&lt;Poids*SIN(M824)),0,(-W824+Poussee)/m*SIN(M824)+U824/m*COS(M824)-Poids/m)</f>
        <v>-2.49594553999548</v>
      </c>
      <c r="F825" s="397" t="n">
        <f aca="false">SQRT(acc_x^2+acc_z^2)</f>
        <v>2.59966843834294</v>
      </c>
      <c r="G825" s="396" t="n">
        <f aca="false">G824+acc_x*pas</f>
        <v>11.474031903454</v>
      </c>
      <c r="H825" s="398" t="n">
        <f aca="false">H824+acc_z*pas</f>
        <v>-115.436287598442</v>
      </c>
      <c r="I825" s="397" t="n">
        <f aca="false">SQRT(vit_x^2+vit_z^2)</f>
        <v>116.005128777273</v>
      </c>
      <c r="J825" s="396" t="n">
        <f aca="false">J824+0.5*(vit_x+G824)*pas*(K824&gt;=0)</f>
        <v>690.928492655337</v>
      </c>
      <c r="K825" s="398" t="n">
        <f aca="false">K824+0.5*(vit_z+H824)*pas</f>
        <v>-12.2972859491182</v>
      </c>
      <c r="L825" s="397" t="n">
        <f aca="false">SQRT(pos_x^2+pos_z^2)</f>
        <v>691.037918789331</v>
      </c>
      <c r="M825" s="396" t="n">
        <f aca="false">IF(AND(L824&gt;L_rampe,G825&gt;0),ATAN2(G825,H825),$M$4)</f>
        <v>-1.47172464329358</v>
      </c>
      <c r="N825" s="397" t="n">
        <f aca="false">DEGREES(Beta)</f>
        <v>-84.3236106661188</v>
      </c>
      <c r="P825" s="399" t="n">
        <f aca="false">MATCH(t-pas/2-T_ini,CdP_t)</f>
        <v>23</v>
      </c>
      <c r="Q825" s="397" t="n">
        <f aca="false">(INDEX(CdP,2,i_P+1)-INDEX(CdP,2,i_P+0))/(INDEX(CdP,1,i_P+1)-INDEX(CdP,1,i_P+0))*(t-pas/2-T_ini-INDEX(CdP,1,i_P+0))+INDEX(CdP,2,i_P+0)</f>
        <v>0</v>
      </c>
      <c r="R825" s="396" t="n">
        <f aca="false">Poussee/(g*ISP)</f>
        <v>0</v>
      </c>
      <c r="S825" s="398" t="n">
        <f aca="false">S824-Débit*pas</f>
        <v>8.45</v>
      </c>
      <c r="T825" s="397" t="n">
        <f aca="false">m*g</f>
        <v>82.8945</v>
      </c>
      <c r="U825" s="400" t="n">
        <f aca="false">IF(pos_xz&lt;L_rampe,Poids*COS(Beta),0)</f>
        <v>0</v>
      </c>
      <c r="V825" s="396" t="n">
        <f aca="false">Rho_moyen*(20000-Alt_rampe-pos_z)/(20000+Alt_rampe+pos_z)</f>
        <v>1.22650734434099</v>
      </c>
      <c r="W825" s="397" t="n">
        <f aca="false">1/2*Rho*Sref*Cx*vit_xz^2</f>
        <v>62.1086487853161</v>
      </c>
      <c r="Y825" s="408" t="str">
        <f aca="false">IF(AND(pos_z&lt;=0,K824&gt;0),"Impact balistique","") &amp; IF(AND(H826&lt;0,vit_z&gt;=0),"Apogée","") &amp; IF(AND(Poussee=0,Q824&gt;0),"Fin de propulsion","") &amp; IF(AND(L826&gt;L_rampe,pos_xz&lt;=L_rampe),"Sortie de rampe","")</f>
        <v/>
      </c>
      <c r="Z825" s="402" t="str">
        <f aca="false">IF(ABS(t-T_para)&lt;pas/2,"Para","")</f>
        <v/>
      </c>
      <c r="AA825" s="403" t="str">
        <f aca="false">IF(ABS(t-T_satellite)&lt;pas/2,"Satellite","")</f>
        <v/>
      </c>
      <c r="AC825" s="399" t="e">
        <f aca="false">IF(ABS(t-ROUND(t,0))&lt;0.001,t,NA())</f>
        <v>#N/A</v>
      </c>
      <c r="AD825" s="404" t="e">
        <f aca="false">IF(ABS(t-ROUND(t,0))&lt;0.001,pos_x,NA())</f>
        <v>#N/A</v>
      </c>
      <c r="AE825" s="405" t="e">
        <f aca="false">IF(t&lt;T_para, pos_z, NA())</f>
        <v>#N/A</v>
      </c>
      <c r="AG825" s="396" t="n">
        <f aca="false">IF(AND(L824&lt;L_rampe,Poussee&lt;Poids*SIN(M824)),0,(-W824+Poussee)/m-Poids*SIN(M824)/m)</f>
        <v>2.4117981014618</v>
      </c>
      <c r="AH825" s="397" t="n">
        <f aca="false">IF(AND(L824&lt;L_rampe,Poussee&lt;Poids*SIN(M824)), g*SIN(M824), (-W824+Poussee)/m)</f>
        <v>-7.35009690375611</v>
      </c>
    </row>
    <row r="826" customFormat="false" ht="12.75" hidden="false" customHeight="false" outlineLevel="0" collapsed="false">
      <c r="A826" s="396" t="n">
        <f aca="false">IF(B825+0.01&lt;=T_ini+ROUNDUP(Temps_fin_propu,0), 0.01, IF(K825&gt;0, 0.1, 0.0001))</f>
        <v>0.0001</v>
      </c>
      <c r="B826" s="397" t="n">
        <f aca="false">B825+pas</f>
        <v>32.1321000000013</v>
      </c>
      <c r="D826" s="396" t="n">
        <f aca="false">IF(AND(L825&lt;L_rampe,Poussee&lt;Poids*SIN(M825)),0,(-W825+Poussee)/m*COS(M825)-U825/m*SIN(M825))</f>
        <v>-0.726999704966145</v>
      </c>
      <c r="E826" s="398" t="n">
        <f aca="false">IF(AND(L825&lt;L_rampe,Poussee&lt;Poids*SIN(M825)),0,(-W825+Poussee)/m*SIN(M825)+U825/m*COS(M825)-Poids/m)</f>
        <v>-2.49590607620746</v>
      </c>
      <c r="F826" s="397" t="n">
        <f aca="false">SQRT(acc_x^2+acc_z^2)</f>
        <v>2.5996299183288</v>
      </c>
      <c r="G826" s="396" t="n">
        <f aca="false">G825+acc_x*pas</f>
        <v>11.4739592034835</v>
      </c>
      <c r="H826" s="398" t="n">
        <f aca="false">H825+acc_z*pas</f>
        <v>-115.43653718905</v>
      </c>
      <c r="I826" s="397" t="n">
        <f aca="false">SQRT(vit_x^2+vit_z^2)</f>
        <v>116.005369953301</v>
      </c>
      <c r="J826" s="396" t="n">
        <f aca="false">J825+0.5*(vit_x+G825)*pas*(K825&gt;=0)</f>
        <v>690.928492655337</v>
      </c>
      <c r="K826" s="398" t="n">
        <f aca="false">K825+0.5*(vit_z+H825)*pas</f>
        <v>-12.3088295903576</v>
      </c>
      <c r="L826" s="397" t="n">
        <f aca="false">SQRT(pos_x^2+pos_z^2)</f>
        <v>691.03812430926</v>
      </c>
      <c r="M826" s="396" t="n">
        <f aca="false">IF(AND(L825&gt;L_rampe,G826&gt;0),ATAN2(G826,H826),$M$4)</f>
        <v>-1.47172547972392</v>
      </c>
      <c r="N826" s="397" t="n">
        <f aca="false">DEGREES(Beta)</f>
        <v>-84.323658590047</v>
      </c>
      <c r="P826" s="399" t="n">
        <f aca="false">MATCH(t-pas/2-T_ini,CdP_t)</f>
        <v>23</v>
      </c>
      <c r="Q826" s="397" t="n">
        <f aca="false">(INDEX(CdP,2,i_P+1)-INDEX(CdP,2,i_P+0))/(INDEX(CdP,1,i_P+1)-INDEX(CdP,1,i_P+0))*(t-pas/2-T_ini-INDEX(CdP,1,i_P+0))+INDEX(CdP,2,i_P+0)</f>
        <v>0</v>
      </c>
      <c r="R826" s="396" t="n">
        <f aca="false">Poussee/(g*ISP)</f>
        <v>0</v>
      </c>
      <c r="S826" s="398" t="n">
        <f aca="false">S825-Débit*pas</f>
        <v>8.45</v>
      </c>
      <c r="T826" s="397" t="n">
        <f aca="false">m*g</f>
        <v>82.8945</v>
      </c>
      <c r="U826" s="400" t="n">
        <f aca="false">IF(pos_xz&lt;L_rampe,Poids*COS(Beta),0)</f>
        <v>0</v>
      </c>
      <c r="V826" s="396" t="n">
        <f aca="false">Rho_moyen*(20000-Alt_rampe-pos_z)/(20000+Alt_rampe+pos_z)</f>
        <v>1.22650876017842</v>
      </c>
      <c r="W826" s="397" t="n">
        <f aca="false">1/2*Rho*Sref*Cx*vit_xz^2</f>
        <v>62.1089787311698</v>
      </c>
      <c r="Y826" s="408" t="str">
        <f aca="false">IF(AND(pos_z&lt;=0,K825&gt;0),"Impact balistique","") &amp; IF(AND(H827&lt;0,vit_z&gt;=0),"Apogée","") &amp; IF(AND(Poussee=0,Q825&gt;0),"Fin de propulsion","") &amp; IF(AND(L827&gt;L_rampe,pos_xz&lt;=L_rampe),"Sortie de rampe","")</f>
        <v/>
      </c>
      <c r="Z826" s="402" t="str">
        <f aca="false">IF(ABS(t-T_para)&lt;pas/2,"Para","")</f>
        <v/>
      </c>
      <c r="AA826" s="403" t="str">
        <f aca="false">IF(ABS(t-T_satellite)&lt;pas/2,"Satellite","")</f>
        <v/>
      </c>
      <c r="AC826" s="399" t="e">
        <f aca="false">IF(ABS(t-ROUND(t,0))&lt;0.001,t,NA())</f>
        <v>#N/A</v>
      </c>
      <c r="AD826" s="404" t="e">
        <f aca="false">IF(ABS(t-ROUND(t,0))&lt;0.001,pos_x,NA())</f>
        <v>#N/A</v>
      </c>
      <c r="AE826" s="405" t="e">
        <f aca="false">IF(t&lt;T_para, pos_z, NA())</f>
        <v>#N/A</v>
      </c>
      <c r="AG826" s="396" t="n">
        <f aca="false">IF(AND(L825&lt;L_rampe,Poussee&lt;Poids*SIN(M825)),0,(-W825+Poussee)/m-Poids*SIN(M825)/m)</f>
        <v>2.41175986589665</v>
      </c>
      <c r="AH826" s="397" t="n">
        <f aca="false">IF(AND(L825&lt;L_rampe,Poussee&lt;Poids*SIN(M825)), g*SIN(M825), (-W825+Poussee)/m)</f>
        <v>-7.35013595092498</v>
      </c>
    </row>
    <row r="827" customFormat="false" ht="12.75" hidden="false" customHeight="false" outlineLevel="0" collapsed="false">
      <c r="A827" s="396" t="n">
        <f aca="false">IF(B826+0.01&lt;=T_ini+ROUNDUP(Temps_fin_propu,0), 0.01, IF(K826&gt;0, 0.1, 0.0001))</f>
        <v>0.0001</v>
      </c>
      <c r="B827" s="397" t="n">
        <f aca="false">B826+pas</f>
        <v>32.1322000000013</v>
      </c>
      <c r="D827" s="396" t="n">
        <f aca="false">IF(AND(L826&lt;L_rampe,Poussee&lt;Poids*SIN(M826)),0,(-W826+Poussee)/m*COS(M826)-U826/m*SIN(M826))</f>
        <v>-0.726997449315025</v>
      </c>
      <c r="E827" s="398" t="n">
        <f aca="false">IF(AND(L826&lt;L_rampe,Poussee&lt;Poids*SIN(M826)),0,(-W826+Poussee)/m*SIN(M826)+U826/m*COS(M826)-Poids/m)</f>
        <v>-2.49586661274518</v>
      </c>
      <c r="F827" s="397" t="n">
        <f aca="false">SQRT(acc_x^2+acc_z^2)</f>
        <v>2.59959139864838</v>
      </c>
      <c r="G827" s="396" t="n">
        <f aca="false">G826+acc_x*pas</f>
        <v>11.4738865037386</v>
      </c>
      <c r="H827" s="398" t="n">
        <f aca="false">H826+acc_z*pas</f>
        <v>-115.436786775711</v>
      </c>
      <c r="I827" s="397" t="n">
        <f aca="false">SQRT(vit_x^2+vit_z^2)</f>
        <v>116.005611125504</v>
      </c>
      <c r="J827" s="396" t="n">
        <f aca="false">J826+0.5*(vit_x+G826)*pas*(K826&gt;=0)</f>
        <v>690.928492655337</v>
      </c>
      <c r="K827" s="398" t="n">
        <f aca="false">K826+0.5*(vit_z+H826)*pas</f>
        <v>-12.3203732565558</v>
      </c>
      <c r="L827" s="397" t="n">
        <f aca="false">SQRT(pos_x^2+pos_z^2)</f>
        <v>691.038330022407</v>
      </c>
      <c r="M827" s="396" t="n">
        <f aca="false">IF(AND(L826&gt;L_rampe,G827&gt;0),ATAN2(G827,H827),$M$4)</f>
        <v>-1.47172631614548</v>
      </c>
      <c r="N827" s="397" t="n">
        <f aca="false">DEGREES(Beta)</f>
        <v>-84.3237065134723</v>
      </c>
      <c r="P827" s="399" t="n">
        <f aca="false">MATCH(t-pas/2-T_ini,CdP_t)</f>
        <v>23</v>
      </c>
      <c r="Q827" s="397" t="n">
        <f aca="false">(INDEX(CdP,2,i_P+1)-INDEX(CdP,2,i_P+0))/(INDEX(CdP,1,i_P+1)-INDEX(CdP,1,i_P+0))*(t-pas/2-T_ini-INDEX(CdP,1,i_P+0))+INDEX(CdP,2,i_P+0)</f>
        <v>0</v>
      </c>
      <c r="R827" s="396" t="n">
        <f aca="false">Poussee/(g*ISP)</f>
        <v>0</v>
      </c>
      <c r="S827" s="398" t="n">
        <f aca="false">S826-Débit*pas</f>
        <v>8.45</v>
      </c>
      <c r="T827" s="397" t="n">
        <f aca="false">m*g</f>
        <v>82.8945</v>
      </c>
      <c r="U827" s="400" t="n">
        <f aca="false">IF(pos_xz&lt;L_rampe,Poids*COS(Beta),0)</f>
        <v>0</v>
      </c>
      <c r="V827" s="396" t="n">
        <f aca="false">Rho_moyen*(20000-Alt_rampe-pos_z)/(20000+Alt_rampe+pos_z)</f>
        <v>1.22651017602054</v>
      </c>
      <c r="W827" s="397" t="n">
        <f aca="false">1/2*Rho*Sref*Cx*vit_xz^2</f>
        <v>62.1093086743002</v>
      </c>
      <c r="Y827" s="408" t="str">
        <f aca="false">IF(AND(pos_z&lt;=0,K826&gt;0),"Impact balistique","") &amp; IF(AND(H828&lt;0,vit_z&gt;=0),"Apogée","") &amp; IF(AND(Poussee=0,Q826&gt;0),"Fin de propulsion","") &amp; IF(AND(L828&gt;L_rampe,pos_xz&lt;=L_rampe),"Sortie de rampe","")</f>
        <v/>
      </c>
      <c r="Z827" s="402" t="str">
        <f aca="false">IF(ABS(t-T_para)&lt;pas/2,"Para","")</f>
        <v/>
      </c>
      <c r="AA827" s="403" t="str">
        <f aca="false">IF(ABS(t-T_satellite)&lt;pas/2,"Satellite","")</f>
        <v/>
      </c>
      <c r="AC827" s="399" t="e">
        <f aca="false">IF(ABS(t-ROUND(t,0))&lt;0.001,t,NA())</f>
        <v>#N/A</v>
      </c>
      <c r="AD827" s="404" t="e">
        <f aca="false">IF(ABS(t-ROUND(t,0))&lt;0.001,pos_x,NA())</f>
        <v>#N/A</v>
      </c>
      <c r="AE827" s="405" t="e">
        <f aca="false">IF(t&lt;T_para, pos_z, NA())</f>
        <v>#N/A</v>
      </c>
      <c r="AG827" s="396" t="n">
        <f aca="false">IF(AND(L826&lt;L_rampe,Poussee&lt;Poids*SIN(M826)),0,(-W826+Poussee)/m-Poids*SIN(M826)/m)</f>
        <v>2.41172163063844</v>
      </c>
      <c r="AH827" s="397" t="n">
        <f aca="false">IF(AND(L826&lt;L_rampe,Poussee&lt;Poids*SIN(M826)), g*SIN(M826), (-W826+Poussee)/m)</f>
        <v>-7.35017499777157</v>
      </c>
    </row>
    <row r="828" customFormat="false" ht="12.75" hidden="false" customHeight="false" outlineLevel="0" collapsed="false">
      <c r="A828" s="396" t="n">
        <f aca="false">IF(B827+0.01&lt;=T_ini+ROUNDUP(Temps_fin_propu,0), 0.01, IF(K827&gt;0, 0.1, 0.0001))</f>
        <v>0.0001</v>
      </c>
      <c r="B828" s="397" t="n">
        <f aca="false">B827+pas</f>
        <v>32.1323000000013</v>
      </c>
      <c r="D828" s="396" t="n">
        <f aca="false">IF(AND(L827&lt;L_rampe,Poussee&lt;Poids*SIN(M827)),0,(-W827+Poussee)/m*COS(M827)-U827/m*SIN(M827))</f>
        <v>-0.726995193630722</v>
      </c>
      <c r="E828" s="398" t="n">
        <f aca="false">IF(AND(L827&lt;L_rampe,Poussee&lt;Poids*SIN(M827)),0,(-W827+Poussee)/m*SIN(M827)+U827/m*COS(M827)-Poids/m)</f>
        <v>-2.49582714960863</v>
      </c>
      <c r="F828" s="397" t="n">
        <f aca="false">SQRT(acc_x^2+acc_z^2)</f>
        <v>2.59955287930169</v>
      </c>
      <c r="G828" s="396" t="n">
        <f aca="false">G827+acc_x*pas</f>
        <v>11.4738138042192</v>
      </c>
      <c r="H828" s="398" t="n">
        <f aca="false">H827+acc_z*pas</f>
        <v>-115.437036358426</v>
      </c>
      <c r="I828" s="397" t="n">
        <f aca="false">SQRT(vit_x^2+vit_z^2)</f>
        <v>116.005852293884</v>
      </c>
      <c r="J828" s="396" t="n">
        <f aca="false">J827+0.5*(vit_x+G827)*pas*(K827&gt;=0)</f>
        <v>690.928492655337</v>
      </c>
      <c r="K828" s="398" t="n">
        <f aca="false">K827+0.5*(vit_z+H827)*pas</f>
        <v>-12.3319169477126</v>
      </c>
      <c r="L828" s="397" t="n">
        <f aca="false">SQRT(pos_x^2+pos_z^2)</f>
        <v>691.038535928772</v>
      </c>
      <c r="M828" s="396" t="n">
        <f aca="false">IF(AND(L827&gt;L_rampe,G828&gt;0),ATAN2(G828,H828),$M$4)</f>
        <v>-1.47172715255826</v>
      </c>
      <c r="N828" s="397" t="n">
        <f aca="false">DEGREES(Beta)</f>
        <v>-84.3237544363947</v>
      </c>
      <c r="P828" s="399" t="n">
        <f aca="false">MATCH(t-pas/2-T_ini,CdP_t)</f>
        <v>23</v>
      </c>
      <c r="Q828" s="397" t="n">
        <f aca="false">(INDEX(CdP,2,i_P+1)-INDEX(CdP,2,i_P+0))/(INDEX(CdP,1,i_P+1)-INDEX(CdP,1,i_P+0))*(t-pas/2-T_ini-INDEX(CdP,1,i_P+0))+INDEX(CdP,2,i_P+0)</f>
        <v>0</v>
      </c>
      <c r="R828" s="396" t="n">
        <f aca="false">Poussee/(g*ISP)</f>
        <v>0</v>
      </c>
      <c r="S828" s="398" t="n">
        <f aca="false">S827-Débit*pas</f>
        <v>8.45</v>
      </c>
      <c r="T828" s="397" t="n">
        <f aca="false">m*g</f>
        <v>82.8945</v>
      </c>
      <c r="U828" s="400" t="n">
        <f aca="false">IF(pos_xz&lt;L_rampe,Poids*COS(Beta),0)</f>
        <v>0</v>
      </c>
      <c r="V828" s="396" t="n">
        <f aca="false">Rho_moyen*(20000-Alt_rampe-pos_z)/(20000+Alt_rampe+pos_z)</f>
        <v>1.22651159186736</v>
      </c>
      <c r="W828" s="397" t="n">
        <f aca="false">1/2*Rho*Sref*Cx*vit_xz^2</f>
        <v>62.1096386147074</v>
      </c>
      <c r="Y828" s="408" t="str">
        <f aca="false">IF(AND(pos_z&lt;=0,K827&gt;0),"Impact balistique","") &amp; IF(AND(H829&lt;0,vit_z&gt;=0),"Apogée","") &amp; IF(AND(Poussee=0,Q827&gt;0),"Fin de propulsion","") &amp; IF(AND(L829&gt;L_rampe,pos_xz&lt;=L_rampe),"Sortie de rampe","")</f>
        <v/>
      </c>
      <c r="Z828" s="402" t="str">
        <f aca="false">IF(ABS(t-T_para)&lt;pas/2,"Para","")</f>
        <v/>
      </c>
      <c r="AA828" s="403" t="str">
        <f aca="false">IF(ABS(t-T_satellite)&lt;pas/2,"Satellite","")</f>
        <v/>
      </c>
      <c r="AC828" s="399" t="e">
        <f aca="false">IF(ABS(t-ROUND(t,0))&lt;0.001,t,NA())</f>
        <v>#N/A</v>
      </c>
      <c r="AD828" s="404" t="e">
        <f aca="false">IF(ABS(t-ROUND(t,0))&lt;0.001,pos_x,NA())</f>
        <v>#N/A</v>
      </c>
      <c r="AE828" s="405" t="e">
        <f aca="false">IF(t&lt;T_para, pos_z, NA())</f>
        <v>#N/A</v>
      </c>
      <c r="AG828" s="396" t="n">
        <f aca="false">IF(AND(L827&lt;L_rampe,Poussee&lt;Poids*SIN(M827)),0,(-W827+Poussee)/m-Poids*SIN(M827)/m)</f>
        <v>2.41168339568716</v>
      </c>
      <c r="AH828" s="397" t="n">
        <f aca="false">IF(AND(L827&lt;L_rampe,Poussee&lt;Poids*SIN(M827)), g*SIN(M827), (-W827+Poussee)/m)</f>
        <v>-7.35021404429588</v>
      </c>
    </row>
    <row r="829" customFormat="false" ht="12.75" hidden="false" customHeight="false" outlineLevel="0" collapsed="false">
      <c r="A829" s="396" t="n">
        <f aca="false">IF(B828+0.01&lt;=T_ini+ROUNDUP(Temps_fin_propu,0), 0.01, IF(K828&gt;0, 0.1, 0.0001))</f>
        <v>0.0001</v>
      </c>
      <c r="B829" s="397" t="n">
        <f aca="false">B828+pas</f>
        <v>32.1324000000013</v>
      </c>
      <c r="D829" s="396" t="n">
        <f aca="false">IF(AND(L828&lt;L_rampe,Poussee&lt;Poids*SIN(M828)),0,(-W828+Poussee)/m*COS(M828)-U828/m*SIN(M828))</f>
        <v>-0.726992937913234</v>
      </c>
      <c r="E829" s="398" t="n">
        <f aca="false">IF(AND(L828&lt;L_rampe,Poussee&lt;Poids*SIN(M828)),0,(-W828+Poussee)/m*SIN(M828)+U828/m*COS(M828)-Poids/m)</f>
        <v>-2.49578768679782</v>
      </c>
      <c r="F829" s="397" t="n">
        <f aca="false">SQRT(acc_x^2+acc_z^2)</f>
        <v>2.59951436028873</v>
      </c>
      <c r="G829" s="396" t="n">
        <f aca="false">G828+acc_x*pas</f>
        <v>11.4737411049254</v>
      </c>
      <c r="H829" s="398" t="n">
        <f aca="false">H828+acc_z*pas</f>
        <v>-115.437285937195</v>
      </c>
      <c r="I829" s="397" t="n">
        <f aca="false">SQRT(vit_x^2+vit_z^2)</f>
        <v>116.006093458441</v>
      </c>
      <c r="J829" s="396" t="n">
        <f aca="false">J828+0.5*(vit_x+G828)*pas*(K828&gt;=0)</f>
        <v>690.928492655337</v>
      </c>
      <c r="K829" s="398" t="n">
        <f aca="false">K828+0.5*(vit_z+H828)*pas</f>
        <v>-12.3434606638273</v>
      </c>
      <c r="L829" s="397" t="n">
        <f aca="false">SQRT(pos_x^2+pos_z^2)</f>
        <v>691.038742028358</v>
      </c>
      <c r="M829" s="396" t="n">
        <f aca="false">IF(AND(L828&gt;L_rampe,G829&gt;0),ATAN2(G829,H829),$M$4)</f>
        <v>-1.47172798896227</v>
      </c>
      <c r="N829" s="397" t="n">
        <f aca="false">DEGREES(Beta)</f>
        <v>-84.3238023588142</v>
      </c>
      <c r="P829" s="399" t="n">
        <f aca="false">MATCH(t-pas/2-T_ini,CdP_t)</f>
        <v>23</v>
      </c>
      <c r="Q829" s="397" t="n">
        <f aca="false">(INDEX(CdP,2,i_P+1)-INDEX(CdP,2,i_P+0))/(INDEX(CdP,1,i_P+1)-INDEX(CdP,1,i_P+0))*(t-pas/2-T_ini-INDEX(CdP,1,i_P+0))+INDEX(CdP,2,i_P+0)</f>
        <v>0</v>
      </c>
      <c r="R829" s="396" t="n">
        <f aca="false">Poussee/(g*ISP)</f>
        <v>0</v>
      </c>
      <c r="S829" s="398" t="n">
        <f aca="false">S828-Débit*pas</f>
        <v>8.45</v>
      </c>
      <c r="T829" s="397" t="n">
        <f aca="false">m*g</f>
        <v>82.8945</v>
      </c>
      <c r="U829" s="400" t="n">
        <f aca="false">IF(pos_xz&lt;L_rampe,Poids*COS(Beta),0)</f>
        <v>0</v>
      </c>
      <c r="V829" s="396" t="n">
        <f aca="false">Rho_moyen*(20000-Alt_rampe-pos_z)/(20000+Alt_rampe+pos_z)</f>
        <v>1.22651300771888</v>
      </c>
      <c r="W829" s="397" t="n">
        <f aca="false">1/2*Rho*Sref*Cx*vit_xz^2</f>
        <v>62.1099685523913</v>
      </c>
      <c r="Y829" s="408" t="str">
        <f aca="false">IF(AND(pos_z&lt;=0,K828&gt;0),"Impact balistique","") &amp; IF(AND(H830&lt;0,vit_z&gt;=0),"Apogée","") &amp; IF(AND(Poussee=0,Q828&gt;0),"Fin de propulsion","") &amp; IF(AND(L830&gt;L_rampe,pos_xz&lt;=L_rampe),"Sortie de rampe","")</f>
        <v/>
      </c>
      <c r="Z829" s="402" t="str">
        <f aca="false">IF(ABS(t-T_para)&lt;pas/2,"Para","")</f>
        <v/>
      </c>
      <c r="AA829" s="403" t="str">
        <f aca="false">IF(ABS(t-T_satellite)&lt;pas/2,"Satellite","")</f>
        <v/>
      </c>
      <c r="AC829" s="399" t="e">
        <f aca="false">IF(ABS(t-ROUND(t,0))&lt;0.001,t,NA())</f>
        <v>#N/A</v>
      </c>
      <c r="AD829" s="404" t="e">
        <f aca="false">IF(ABS(t-ROUND(t,0))&lt;0.001,pos_x,NA())</f>
        <v>#N/A</v>
      </c>
      <c r="AE829" s="405" t="e">
        <f aca="false">IF(t&lt;T_para, pos_z, NA())</f>
        <v>#N/A</v>
      </c>
      <c r="AG829" s="396" t="n">
        <f aca="false">IF(AND(L828&lt;L_rampe,Poussee&lt;Poids*SIN(M828)),0,(-W828+Poussee)/m-Poids*SIN(M828)/m)</f>
        <v>2.41164516104282</v>
      </c>
      <c r="AH829" s="397" t="n">
        <f aca="false">IF(AND(L828&lt;L_rampe,Poussee&lt;Poids*SIN(M828)), g*SIN(M828), (-W828+Poussee)/m)</f>
        <v>-7.35025309049791</v>
      </c>
    </row>
    <row r="830" customFormat="false" ht="12.75" hidden="false" customHeight="false" outlineLevel="0" collapsed="false">
      <c r="A830" s="396" t="n">
        <f aca="false">IF(B829+0.01&lt;=T_ini+ROUNDUP(Temps_fin_propu,0), 0.01, IF(K829&gt;0, 0.1, 0.0001))</f>
        <v>0.0001</v>
      </c>
      <c r="B830" s="397" t="n">
        <f aca="false">B829+pas</f>
        <v>32.1325000000013</v>
      </c>
      <c r="D830" s="396" t="n">
        <f aca="false">IF(AND(L829&lt;L_rampe,Poussee&lt;Poids*SIN(M829)),0,(-W829+Poussee)/m*COS(M829)-U829/m*SIN(M829))</f>
        <v>-0.726990682162566</v>
      </c>
      <c r="E830" s="398" t="n">
        <f aca="false">IF(AND(L829&lt;L_rampe,Poussee&lt;Poids*SIN(M829)),0,(-W829+Poussee)/m*SIN(M829)+U829/m*COS(M829)-Poids/m)</f>
        <v>-2.49574822431275</v>
      </c>
      <c r="F830" s="397" t="n">
        <f aca="false">SQRT(acc_x^2+acc_z^2)</f>
        <v>2.5994758416095</v>
      </c>
      <c r="G830" s="396" t="n">
        <f aca="false">G829+acc_x*pas</f>
        <v>11.4736684058572</v>
      </c>
      <c r="H830" s="398" t="n">
        <f aca="false">H829+acc_z*pas</f>
        <v>-115.437535512017</v>
      </c>
      <c r="I830" s="397" t="n">
        <f aca="false">SQRT(vit_x^2+vit_z^2)</f>
        <v>116.006334619174</v>
      </c>
      <c r="J830" s="396" t="n">
        <f aca="false">J829+0.5*(vit_x+G829)*pas*(K829&gt;=0)</f>
        <v>690.928492655337</v>
      </c>
      <c r="K830" s="398" t="n">
        <f aca="false">K829+0.5*(vit_z+H829)*pas</f>
        <v>-12.3550044048998</v>
      </c>
      <c r="L830" s="397" t="n">
        <f aca="false">SQRT(pos_x^2+pos_z^2)</f>
        <v>691.038948321164</v>
      </c>
      <c r="M830" s="396" t="n">
        <f aca="false">IF(AND(L829&gt;L_rampe,G830&gt;0),ATAN2(G830,H830),$M$4)</f>
        <v>-1.4717288253575</v>
      </c>
      <c r="N830" s="397" t="n">
        <f aca="false">DEGREES(Beta)</f>
        <v>-84.3238502807308</v>
      </c>
      <c r="P830" s="399" t="n">
        <f aca="false">MATCH(t-pas/2-T_ini,CdP_t)</f>
        <v>23</v>
      </c>
      <c r="Q830" s="397" t="n">
        <f aca="false">(INDEX(CdP,2,i_P+1)-INDEX(CdP,2,i_P+0))/(INDEX(CdP,1,i_P+1)-INDEX(CdP,1,i_P+0))*(t-pas/2-T_ini-INDEX(CdP,1,i_P+0))+INDEX(CdP,2,i_P+0)</f>
        <v>0</v>
      </c>
      <c r="R830" s="396" t="n">
        <f aca="false">Poussee/(g*ISP)</f>
        <v>0</v>
      </c>
      <c r="S830" s="398" t="n">
        <f aca="false">S829-Débit*pas</f>
        <v>8.45</v>
      </c>
      <c r="T830" s="397" t="n">
        <f aca="false">m*g</f>
        <v>82.8945</v>
      </c>
      <c r="U830" s="400" t="n">
        <f aca="false">IF(pos_xz&lt;L_rampe,Poids*COS(Beta),0)</f>
        <v>0</v>
      </c>
      <c r="V830" s="396" t="n">
        <f aca="false">Rho_moyen*(20000-Alt_rampe-pos_z)/(20000+Alt_rampe+pos_z)</f>
        <v>1.2265144235751</v>
      </c>
      <c r="W830" s="397" t="n">
        <f aca="false">1/2*Rho*Sref*Cx*vit_xz^2</f>
        <v>62.1102984873519</v>
      </c>
      <c r="Y830" s="408" t="str">
        <f aca="false">IF(AND(pos_z&lt;=0,K829&gt;0),"Impact balistique","") &amp; IF(AND(H831&lt;0,vit_z&gt;=0),"Apogée","") &amp; IF(AND(Poussee=0,Q829&gt;0),"Fin de propulsion","") &amp; IF(AND(L831&gt;L_rampe,pos_xz&lt;=L_rampe),"Sortie de rampe","")</f>
        <v/>
      </c>
      <c r="Z830" s="402" t="str">
        <f aca="false">IF(ABS(t-T_para)&lt;pas/2,"Para","")</f>
        <v/>
      </c>
      <c r="AA830" s="403" t="str">
        <f aca="false">IF(ABS(t-T_satellite)&lt;pas/2,"Satellite","")</f>
        <v/>
      </c>
      <c r="AC830" s="399" t="e">
        <f aca="false">IF(ABS(t-ROUND(t,0))&lt;0.001,t,NA())</f>
        <v>#N/A</v>
      </c>
      <c r="AD830" s="404" t="e">
        <f aca="false">IF(ABS(t-ROUND(t,0))&lt;0.001,pos_x,NA())</f>
        <v>#N/A</v>
      </c>
      <c r="AE830" s="405" t="e">
        <f aca="false">IF(t&lt;T_para, pos_z, NA())</f>
        <v>#N/A</v>
      </c>
      <c r="AG830" s="396" t="n">
        <f aca="false">IF(AND(L829&lt;L_rampe,Poussee&lt;Poids*SIN(M829)),0,(-W829+Poussee)/m-Poids*SIN(M829)/m)</f>
        <v>2.4116069267054</v>
      </c>
      <c r="AH830" s="397" t="n">
        <f aca="false">IF(AND(L829&lt;L_rampe,Poussee&lt;Poids*SIN(M829)), g*SIN(M829), (-W829+Poussee)/m)</f>
        <v>-7.35029213637767</v>
      </c>
    </row>
    <row r="831" customFormat="false" ht="12.75" hidden="false" customHeight="false" outlineLevel="0" collapsed="false">
      <c r="A831" s="396" t="n">
        <f aca="false">IF(B830+0.01&lt;=T_ini+ROUNDUP(Temps_fin_propu,0), 0.01, IF(K830&gt;0, 0.1, 0.0001))</f>
        <v>0.0001</v>
      </c>
      <c r="B831" s="397" t="n">
        <f aca="false">B830+pas</f>
        <v>32.1326000000013</v>
      </c>
      <c r="D831" s="396" t="n">
        <f aca="false">IF(AND(L830&lt;L_rampe,Poussee&lt;Poids*SIN(M830)),0,(-W830+Poussee)/m*COS(M830)-U830/m*SIN(M830))</f>
        <v>-0.726988426378715</v>
      </c>
      <c r="E831" s="398" t="n">
        <f aca="false">IF(AND(L830&lt;L_rampe,Poussee&lt;Poids*SIN(M830)),0,(-W830+Poussee)/m*SIN(M830)+U830/m*COS(M830)-Poids/m)</f>
        <v>-2.49570876215341</v>
      </c>
      <c r="F831" s="397" t="n">
        <f aca="false">SQRT(acc_x^2+acc_z^2)</f>
        <v>2.599437323264</v>
      </c>
      <c r="G831" s="396" t="n">
        <f aca="false">G830+acc_x*pas</f>
        <v>11.4735957070146</v>
      </c>
      <c r="H831" s="398" t="n">
        <f aca="false">H830+acc_z*pas</f>
        <v>-115.437785082894</v>
      </c>
      <c r="I831" s="397" t="n">
        <f aca="false">SQRT(vit_x^2+vit_z^2)</f>
        <v>116.006575776084</v>
      </c>
      <c r="J831" s="396" t="n">
        <f aca="false">J830+0.5*(vit_x+G830)*pas*(K830&gt;=0)</f>
        <v>690.928492655337</v>
      </c>
      <c r="K831" s="398" t="n">
        <f aca="false">K830+0.5*(vit_z+H830)*pas</f>
        <v>-12.3665481709295</v>
      </c>
      <c r="L831" s="397" t="n">
        <f aca="false">SQRT(pos_x^2+pos_z^2)</f>
        <v>691.039154807193</v>
      </c>
      <c r="M831" s="396" t="n">
        <f aca="false">IF(AND(L830&gt;L_rampe,G831&gt;0),ATAN2(G831,H831),$M$4)</f>
        <v>-1.47172966174395</v>
      </c>
      <c r="N831" s="397" t="n">
        <f aca="false">DEGREES(Beta)</f>
        <v>-84.3238982021445</v>
      </c>
      <c r="P831" s="399" t="n">
        <f aca="false">MATCH(t-pas/2-T_ini,CdP_t)</f>
        <v>23</v>
      </c>
      <c r="Q831" s="397" t="n">
        <f aca="false">(INDEX(CdP,2,i_P+1)-INDEX(CdP,2,i_P+0))/(INDEX(CdP,1,i_P+1)-INDEX(CdP,1,i_P+0))*(t-pas/2-T_ini-INDEX(CdP,1,i_P+0))+INDEX(CdP,2,i_P+0)</f>
        <v>0</v>
      </c>
      <c r="R831" s="396" t="n">
        <f aca="false">Poussee/(g*ISP)</f>
        <v>0</v>
      </c>
      <c r="S831" s="398" t="n">
        <f aca="false">S830-Débit*pas</f>
        <v>8.45</v>
      </c>
      <c r="T831" s="397" t="n">
        <f aca="false">m*g</f>
        <v>82.8945</v>
      </c>
      <c r="U831" s="400" t="n">
        <f aca="false">IF(pos_xz&lt;L_rampe,Poids*COS(Beta),0)</f>
        <v>0</v>
      </c>
      <c r="V831" s="396" t="n">
        <f aca="false">Rho_moyen*(20000-Alt_rampe-pos_z)/(20000+Alt_rampe+pos_z)</f>
        <v>1.22651583943601</v>
      </c>
      <c r="W831" s="397" t="n">
        <f aca="false">1/2*Rho*Sref*Cx*vit_xz^2</f>
        <v>62.1106284195893</v>
      </c>
      <c r="Y831" s="408" t="str">
        <f aca="false">IF(AND(pos_z&lt;=0,K830&gt;0),"Impact balistique","") &amp; IF(AND(H832&lt;0,vit_z&gt;=0),"Apogée","") &amp; IF(AND(Poussee=0,Q830&gt;0),"Fin de propulsion","") &amp; IF(AND(L832&gt;L_rampe,pos_xz&lt;=L_rampe),"Sortie de rampe","")</f>
        <v/>
      </c>
      <c r="Z831" s="402" t="str">
        <f aca="false">IF(ABS(t-T_para)&lt;pas/2,"Para","")</f>
        <v/>
      </c>
      <c r="AA831" s="403" t="str">
        <f aca="false">IF(ABS(t-T_satellite)&lt;pas/2,"Satellite","")</f>
        <v/>
      </c>
      <c r="AC831" s="399" t="e">
        <f aca="false">IF(ABS(t-ROUND(t,0))&lt;0.001,t,NA())</f>
        <v>#N/A</v>
      </c>
      <c r="AD831" s="404" t="e">
        <f aca="false">IF(ABS(t-ROUND(t,0))&lt;0.001,pos_x,NA())</f>
        <v>#N/A</v>
      </c>
      <c r="AE831" s="405" t="e">
        <f aca="false">IF(t&lt;T_para, pos_z, NA())</f>
        <v>#N/A</v>
      </c>
      <c r="AG831" s="396" t="n">
        <f aca="false">IF(AND(L830&lt;L_rampe,Poussee&lt;Poids*SIN(M830)),0,(-W830+Poussee)/m-Poids*SIN(M830)/m)</f>
        <v>2.41156869267492</v>
      </c>
      <c r="AH831" s="397" t="n">
        <f aca="false">IF(AND(L830&lt;L_rampe,Poussee&lt;Poids*SIN(M830)), g*SIN(M830), (-W830+Poussee)/m)</f>
        <v>-7.35033118193514</v>
      </c>
    </row>
    <row r="832" customFormat="false" ht="12.75" hidden="false" customHeight="false" outlineLevel="0" collapsed="false">
      <c r="A832" s="396" t="n">
        <f aca="false">IF(B831+0.01&lt;=T_ini+ROUNDUP(Temps_fin_propu,0), 0.01, IF(K831&gt;0, 0.1, 0.0001))</f>
        <v>0.0001</v>
      </c>
      <c r="B832" s="397" t="n">
        <f aca="false">B831+pas</f>
        <v>32.1327000000013</v>
      </c>
      <c r="D832" s="396" t="n">
        <f aca="false">IF(AND(L831&lt;L_rampe,Poussee&lt;Poids*SIN(M831)),0,(-W831+Poussee)/m*COS(M831)-U831/m*SIN(M831))</f>
        <v>-0.726986170561682</v>
      </c>
      <c r="E832" s="398" t="n">
        <f aca="false">IF(AND(L831&lt;L_rampe,Poussee&lt;Poids*SIN(M831)),0,(-W831+Poussee)/m*SIN(M831)+U831/m*COS(M831)-Poids/m)</f>
        <v>-2.49566930031981</v>
      </c>
      <c r="F832" s="397" t="n">
        <f aca="false">SQRT(acc_x^2+acc_z^2)</f>
        <v>2.59939880525223</v>
      </c>
      <c r="G832" s="396" t="n">
        <f aca="false">G831+acc_x*pas</f>
        <v>11.4735230083975</v>
      </c>
      <c r="H832" s="398" t="n">
        <f aca="false">H831+acc_z*pas</f>
        <v>-115.438034649824</v>
      </c>
      <c r="I832" s="397" t="n">
        <f aca="false">SQRT(vit_x^2+vit_z^2)</f>
        <v>116.006816929171</v>
      </c>
      <c r="J832" s="396" t="n">
        <f aca="false">J831+0.5*(vit_x+G831)*pas*(K831&gt;=0)</f>
        <v>690.928492655337</v>
      </c>
      <c r="K832" s="398" t="n">
        <f aca="false">K831+0.5*(vit_z+H831)*pas</f>
        <v>-12.3780919619162</v>
      </c>
      <c r="L832" s="397" t="n">
        <f aca="false">SQRT(pos_x^2+pos_z^2)</f>
        <v>691.039361486445</v>
      </c>
      <c r="M832" s="396" t="n">
        <f aca="false">IF(AND(L831&gt;L_rampe,G832&gt;0),ATAN2(G832,H832),$M$4)</f>
        <v>-1.47173049812162</v>
      </c>
      <c r="N832" s="397" t="n">
        <f aca="false">DEGREES(Beta)</f>
        <v>-84.3239461230554</v>
      </c>
      <c r="P832" s="399" t="n">
        <f aca="false">MATCH(t-pas/2-T_ini,CdP_t)</f>
        <v>23</v>
      </c>
      <c r="Q832" s="397" t="n">
        <f aca="false">(INDEX(CdP,2,i_P+1)-INDEX(CdP,2,i_P+0))/(INDEX(CdP,1,i_P+1)-INDEX(CdP,1,i_P+0))*(t-pas/2-T_ini-INDEX(CdP,1,i_P+0))+INDEX(CdP,2,i_P+0)</f>
        <v>0</v>
      </c>
      <c r="R832" s="396" t="n">
        <f aca="false">Poussee/(g*ISP)</f>
        <v>0</v>
      </c>
      <c r="S832" s="398" t="n">
        <f aca="false">S831-Débit*pas</f>
        <v>8.45</v>
      </c>
      <c r="T832" s="397" t="n">
        <f aca="false">m*g</f>
        <v>82.8945</v>
      </c>
      <c r="U832" s="400" t="n">
        <f aca="false">IF(pos_xz&lt;L_rampe,Poids*COS(Beta),0)</f>
        <v>0</v>
      </c>
      <c r="V832" s="396" t="n">
        <f aca="false">Rho_moyen*(20000-Alt_rampe-pos_z)/(20000+Alt_rampe+pos_z)</f>
        <v>1.22651725530162</v>
      </c>
      <c r="W832" s="397" t="n">
        <f aca="false">1/2*Rho*Sref*Cx*vit_xz^2</f>
        <v>62.1109583491034</v>
      </c>
      <c r="Y832" s="408" t="str">
        <f aca="false">IF(AND(pos_z&lt;=0,K831&gt;0),"Impact balistique","") &amp; IF(AND(H833&lt;0,vit_z&gt;=0),"Apogée","") &amp; IF(AND(Poussee=0,Q831&gt;0),"Fin de propulsion","") &amp; IF(AND(L833&gt;L_rampe,pos_xz&lt;=L_rampe),"Sortie de rampe","")</f>
        <v/>
      </c>
      <c r="Z832" s="402" t="str">
        <f aca="false">IF(ABS(t-T_para)&lt;pas/2,"Para","")</f>
        <v/>
      </c>
      <c r="AA832" s="403" t="str">
        <f aca="false">IF(ABS(t-T_satellite)&lt;pas/2,"Satellite","")</f>
        <v/>
      </c>
      <c r="AC832" s="399" t="e">
        <f aca="false">IF(ABS(t-ROUND(t,0))&lt;0.001,t,NA())</f>
        <v>#N/A</v>
      </c>
      <c r="AD832" s="404" t="e">
        <f aca="false">IF(ABS(t-ROUND(t,0))&lt;0.001,pos_x,NA())</f>
        <v>#N/A</v>
      </c>
      <c r="AE832" s="405" t="e">
        <f aca="false">IF(t&lt;T_para, pos_z, NA())</f>
        <v>#N/A</v>
      </c>
      <c r="AG832" s="396" t="n">
        <f aca="false">IF(AND(L831&lt;L_rampe,Poussee&lt;Poids*SIN(M831)),0,(-W831+Poussee)/m-Poids*SIN(M831)/m)</f>
        <v>2.41153045895138</v>
      </c>
      <c r="AH832" s="397" t="n">
        <f aca="false">IF(AND(L831&lt;L_rampe,Poussee&lt;Poids*SIN(M831)), g*SIN(M831), (-W831+Poussee)/m)</f>
        <v>-7.35037022717033</v>
      </c>
    </row>
    <row r="833" customFormat="false" ht="12.75" hidden="false" customHeight="false" outlineLevel="0" collapsed="false">
      <c r="A833" s="396" t="n">
        <f aca="false">IF(B832+0.01&lt;=T_ini+ROUNDUP(Temps_fin_propu,0), 0.01, IF(K832&gt;0, 0.1, 0.0001))</f>
        <v>0.0001</v>
      </c>
      <c r="B833" s="397" t="n">
        <f aca="false">B832+pas</f>
        <v>32.1328000000013</v>
      </c>
      <c r="D833" s="396" t="n">
        <f aca="false">IF(AND(L832&lt;L_rampe,Poussee&lt;Poids*SIN(M832)),0,(-W832+Poussee)/m*COS(M832)-U832/m*SIN(M832))</f>
        <v>-0.72698391471147</v>
      </c>
      <c r="E833" s="398" t="n">
        <f aca="false">IF(AND(L832&lt;L_rampe,Poussee&lt;Poids*SIN(M832)),0,(-W832+Poussee)/m*SIN(M832)+U832/m*COS(M832)-Poids/m)</f>
        <v>-2.49562983881195</v>
      </c>
      <c r="F833" s="397" t="n">
        <f aca="false">SQRT(acc_x^2+acc_z^2)</f>
        <v>2.59936028757419</v>
      </c>
      <c r="G833" s="396" t="n">
        <f aca="false">G832+acc_x*pas</f>
        <v>11.473450310006</v>
      </c>
      <c r="H833" s="398" t="n">
        <f aca="false">H832+acc_z*pas</f>
        <v>-115.438284212808</v>
      </c>
      <c r="I833" s="397" t="n">
        <f aca="false">SQRT(vit_x^2+vit_z^2)</f>
        <v>116.007058078434</v>
      </c>
      <c r="J833" s="396" t="n">
        <f aca="false">J832+0.5*(vit_x+G832)*pas*(K832&gt;=0)</f>
        <v>690.928492655337</v>
      </c>
      <c r="K833" s="398" t="n">
        <f aca="false">K832+0.5*(vit_z+H832)*pas</f>
        <v>-12.3896357778593</v>
      </c>
      <c r="L833" s="397" t="n">
        <f aca="false">SQRT(pos_x^2+pos_z^2)</f>
        <v>691.039568358921</v>
      </c>
      <c r="M833" s="396" t="n">
        <f aca="false">IF(AND(L832&gt;L_rampe,G833&gt;0),ATAN2(G833,H833),$M$4)</f>
        <v>-1.47173133449052</v>
      </c>
      <c r="N833" s="397" t="n">
        <f aca="false">DEGREES(Beta)</f>
        <v>-84.3239940434633</v>
      </c>
      <c r="P833" s="399" t="n">
        <f aca="false">MATCH(t-pas/2-T_ini,CdP_t)</f>
        <v>23</v>
      </c>
      <c r="Q833" s="397" t="n">
        <f aca="false">(INDEX(CdP,2,i_P+1)-INDEX(CdP,2,i_P+0))/(INDEX(CdP,1,i_P+1)-INDEX(CdP,1,i_P+0))*(t-pas/2-T_ini-INDEX(CdP,1,i_P+0))+INDEX(CdP,2,i_P+0)</f>
        <v>0</v>
      </c>
      <c r="R833" s="396" t="n">
        <f aca="false">Poussee/(g*ISP)</f>
        <v>0</v>
      </c>
      <c r="S833" s="398" t="n">
        <f aca="false">S832-Débit*pas</f>
        <v>8.45</v>
      </c>
      <c r="T833" s="397" t="n">
        <f aca="false">m*g</f>
        <v>82.8945</v>
      </c>
      <c r="U833" s="400" t="n">
        <f aca="false">IF(pos_xz&lt;L_rampe,Poids*COS(Beta),0)</f>
        <v>0</v>
      </c>
      <c r="V833" s="396" t="n">
        <f aca="false">Rho_moyen*(20000-Alt_rampe-pos_z)/(20000+Alt_rampe+pos_z)</f>
        <v>1.22651867117192</v>
      </c>
      <c r="W833" s="397" t="n">
        <f aca="false">1/2*Rho*Sref*Cx*vit_xz^2</f>
        <v>62.1112882758942</v>
      </c>
      <c r="Y833" s="408" t="str">
        <f aca="false">IF(AND(pos_z&lt;=0,K832&gt;0),"Impact balistique","") &amp; IF(AND(H834&lt;0,vit_z&gt;=0),"Apogée","") &amp; IF(AND(Poussee=0,Q832&gt;0),"Fin de propulsion","") &amp; IF(AND(L834&gt;L_rampe,pos_xz&lt;=L_rampe),"Sortie de rampe","")</f>
        <v/>
      </c>
      <c r="Z833" s="402" t="str">
        <f aca="false">IF(ABS(t-T_para)&lt;pas/2,"Para","")</f>
        <v/>
      </c>
      <c r="AA833" s="403" t="str">
        <f aca="false">IF(ABS(t-T_satellite)&lt;pas/2,"Satellite","")</f>
        <v/>
      </c>
      <c r="AC833" s="399" t="e">
        <f aca="false">IF(ABS(t-ROUND(t,0))&lt;0.001,t,NA())</f>
        <v>#N/A</v>
      </c>
      <c r="AD833" s="404" t="e">
        <f aca="false">IF(ABS(t-ROUND(t,0))&lt;0.001,pos_x,NA())</f>
        <v>#N/A</v>
      </c>
      <c r="AE833" s="405" t="e">
        <f aca="false">IF(t&lt;T_para, pos_z, NA())</f>
        <v>#N/A</v>
      </c>
      <c r="AG833" s="396" t="n">
        <f aca="false">IF(AND(L832&lt;L_rampe,Poussee&lt;Poids*SIN(M832)),0,(-W832+Poussee)/m-Poids*SIN(M832)/m)</f>
        <v>2.41149222553478</v>
      </c>
      <c r="AH833" s="397" t="n">
        <f aca="false">IF(AND(L832&lt;L_rampe,Poussee&lt;Poids*SIN(M832)), g*SIN(M832), (-W832+Poussee)/m)</f>
        <v>-7.35040927208324</v>
      </c>
    </row>
    <row r="834" customFormat="false" ht="12.75" hidden="false" customHeight="false" outlineLevel="0" collapsed="false">
      <c r="A834" s="396" t="n">
        <f aca="false">IF(B833+0.01&lt;=T_ini+ROUNDUP(Temps_fin_propu,0), 0.01, IF(K833&gt;0, 0.1, 0.0001))</f>
        <v>0.0001</v>
      </c>
      <c r="B834" s="397" t="n">
        <f aca="false">B833+pas</f>
        <v>32.1329000000013</v>
      </c>
      <c r="D834" s="396" t="n">
        <f aca="false">IF(AND(L833&lt;L_rampe,Poussee&lt;Poids*SIN(M833)),0,(-W833+Poussee)/m*COS(M833)-U833/m*SIN(M833))</f>
        <v>-0.726981658828079</v>
      </c>
      <c r="E834" s="398" t="n">
        <f aca="false">IF(AND(L833&lt;L_rampe,Poussee&lt;Poids*SIN(M833)),0,(-W833+Poussee)/m*SIN(M833)+U833/m*COS(M833)-Poids/m)</f>
        <v>-2.49559037762984</v>
      </c>
      <c r="F834" s="397" t="n">
        <f aca="false">SQRT(acc_x^2+acc_z^2)</f>
        <v>2.59932177022989</v>
      </c>
      <c r="G834" s="396" t="n">
        <f aca="false">G833+acc_x*pas</f>
        <v>11.4733776118401</v>
      </c>
      <c r="H834" s="398" t="n">
        <f aca="false">H833+acc_z*pas</f>
        <v>-115.438533771845</v>
      </c>
      <c r="I834" s="397" t="n">
        <f aca="false">SQRT(vit_x^2+vit_z^2)</f>
        <v>116.007299223874</v>
      </c>
      <c r="J834" s="396" t="n">
        <f aca="false">J833+0.5*(vit_x+G833)*pas*(K833&gt;=0)</f>
        <v>690.928492655337</v>
      </c>
      <c r="K834" s="398" t="n">
        <f aca="false">K833+0.5*(vit_z+H833)*pas</f>
        <v>-12.4011796187585</v>
      </c>
      <c r="L834" s="397" t="n">
        <f aca="false">SQRT(pos_x^2+pos_z^2)</f>
        <v>691.039775424622</v>
      </c>
      <c r="M834" s="396" t="n">
        <f aca="false">IF(AND(L833&gt;L_rampe,G834&gt;0),ATAN2(G834,H834),$M$4)</f>
        <v>-1.47173217085064</v>
      </c>
      <c r="N834" s="397" t="n">
        <f aca="false">DEGREES(Beta)</f>
        <v>-84.3240419633685</v>
      </c>
      <c r="P834" s="399" t="n">
        <f aca="false">MATCH(t-pas/2-T_ini,CdP_t)</f>
        <v>23</v>
      </c>
      <c r="Q834" s="397" t="n">
        <f aca="false">(INDEX(CdP,2,i_P+1)-INDEX(CdP,2,i_P+0))/(INDEX(CdP,1,i_P+1)-INDEX(CdP,1,i_P+0))*(t-pas/2-T_ini-INDEX(CdP,1,i_P+0))+INDEX(CdP,2,i_P+0)</f>
        <v>0</v>
      </c>
      <c r="R834" s="396" t="n">
        <f aca="false">Poussee/(g*ISP)</f>
        <v>0</v>
      </c>
      <c r="S834" s="398" t="n">
        <f aca="false">S833-Débit*pas</f>
        <v>8.45</v>
      </c>
      <c r="T834" s="397" t="n">
        <f aca="false">m*g</f>
        <v>82.8945</v>
      </c>
      <c r="U834" s="400" t="n">
        <f aca="false">IF(pos_xz&lt;L_rampe,Poids*COS(Beta),0)</f>
        <v>0</v>
      </c>
      <c r="V834" s="396" t="n">
        <f aca="false">Rho_moyen*(20000-Alt_rampe-pos_z)/(20000+Alt_rampe+pos_z)</f>
        <v>1.22652008704692</v>
      </c>
      <c r="W834" s="397" t="n">
        <f aca="false">1/2*Rho*Sref*Cx*vit_xz^2</f>
        <v>62.1116181999617</v>
      </c>
      <c r="Y834" s="408" t="str">
        <f aca="false">IF(AND(pos_z&lt;=0,K833&gt;0),"Impact balistique","") &amp; IF(AND(H835&lt;0,vit_z&gt;=0),"Apogée","") &amp; IF(AND(Poussee=0,Q833&gt;0),"Fin de propulsion","") &amp; IF(AND(L835&gt;L_rampe,pos_xz&lt;=L_rampe),"Sortie de rampe","")</f>
        <v/>
      </c>
      <c r="Z834" s="402" t="str">
        <f aca="false">IF(ABS(t-T_para)&lt;pas/2,"Para","")</f>
        <v/>
      </c>
      <c r="AA834" s="403" t="str">
        <f aca="false">IF(ABS(t-T_satellite)&lt;pas/2,"Satellite","")</f>
        <v/>
      </c>
      <c r="AC834" s="399" t="e">
        <f aca="false">IF(ABS(t-ROUND(t,0))&lt;0.001,t,NA())</f>
        <v>#N/A</v>
      </c>
      <c r="AD834" s="404" t="e">
        <f aca="false">IF(ABS(t-ROUND(t,0))&lt;0.001,pos_x,NA())</f>
        <v>#N/A</v>
      </c>
      <c r="AE834" s="405" t="e">
        <f aca="false">IF(t&lt;T_para, pos_z, NA())</f>
        <v>#N/A</v>
      </c>
      <c r="AG834" s="396" t="n">
        <f aca="false">IF(AND(L833&lt;L_rampe,Poussee&lt;Poids*SIN(M833)),0,(-W833+Poussee)/m-Poids*SIN(M833)/m)</f>
        <v>2.41145399242511</v>
      </c>
      <c r="AH834" s="397" t="n">
        <f aca="false">IF(AND(L833&lt;L_rampe,Poussee&lt;Poids*SIN(M833)), g*SIN(M833), (-W833+Poussee)/m)</f>
        <v>-7.35044831667387</v>
      </c>
    </row>
    <row r="835" customFormat="false" ht="12.75" hidden="false" customHeight="false" outlineLevel="0" collapsed="false">
      <c r="A835" s="396" t="n">
        <f aca="false">IF(B834+0.01&lt;=T_ini+ROUNDUP(Temps_fin_propu,0), 0.01, IF(K834&gt;0, 0.1, 0.0001))</f>
        <v>0.0001</v>
      </c>
      <c r="B835" s="397" t="n">
        <f aca="false">B834+pas</f>
        <v>32.1330000000013</v>
      </c>
      <c r="D835" s="396" t="n">
        <f aca="false">IF(AND(L834&lt;L_rampe,Poussee&lt;Poids*SIN(M834)),0,(-W834+Poussee)/m*COS(M834)-U834/m*SIN(M834))</f>
        <v>-0.726979402911508</v>
      </c>
      <c r="E835" s="398" t="n">
        <f aca="false">IF(AND(L834&lt;L_rampe,Poussee&lt;Poids*SIN(M834)),0,(-W834+Poussee)/m*SIN(M834)+U834/m*COS(M834)-Poids/m)</f>
        <v>-2.49555091677346</v>
      </c>
      <c r="F835" s="397" t="n">
        <f aca="false">SQRT(acc_x^2+acc_z^2)</f>
        <v>2.59928325321932</v>
      </c>
      <c r="G835" s="396" t="n">
        <f aca="false">G834+acc_x*pas</f>
        <v>11.4733049138998</v>
      </c>
      <c r="H835" s="398" t="n">
        <f aca="false">H834+acc_z*pas</f>
        <v>-115.438783326937</v>
      </c>
      <c r="I835" s="397" t="n">
        <f aca="false">SQRT(vit_x^2+vit_z^2)</f>
        <v>116.00754036549</v>
      </c>
      <c r="J835" s="396" t="n">
        <f aca="false">J834+0.5*(vit_x+G834)*pas*(K834&gt;=0)</f>
        <v>690.928492655337</v>
      </c>
      <c r="K835" s="398" t="n">
        <f aca="false">K834+0.5*(vit_z+H834)*pas</f>
        <v>-12.4127234846135</v>
      </c>
      <c r="L835" s="397" t="n">
        <f aca="false">SQRT(pos_x^2+pos_z^2)</f>
        <v>691.03998268355</v>
      </c>
      <c r="M835" s="396" t="n">
        <f aca="false">IF(AND(L834&gt;L_rampe,G835&gt;0),ATAN2(G835,H835),$M$4)</f>
        <v>-1.47173300720199</v>
      </c>
      <c r="N835" s="397" t="n">
        <f aca="false">DEGREES(Beta)</f>
        <v>-84.3240898827707</v>
      </c>
      <c r="P835" s="399" t="n">
        <f aca="false">MATCH(t-pas/2-T_ini,CdP_t)</f>
        <v>23</v>
      </c>
      <c r="Q835" s="397" t="n">
        <f aca="false">(INDEX(CdP,2,i_P+1)-INDEX(CdP,2,i_P+0))/(INDEX(CdP,1,i_P+1)-INDEX(CdP,1,i_P+0))*(t-pas/2-T_ini-INDEX(CdP,1,i_P+0))+INDEX(CdP,2,i_P+0)</f>
        <v>0</v>
      </c>
      <c r="R835" s="396" t="n">
        <f aca="false">Poussee/(g*ISP)</f>
        <v>0</v>
      </c>
      <c r="S835" s="398" t="n">
        <f aca="false">S834-Débit*pas</f>
        <v>8.45</v>
      </c>
      <c r="T835" s="397" t="n">
        <f aca="false">m*g</f>
        <v>82.8945</v>
      </c>
      <c r="U835" s="400" t="n">
        <f aca="false">IF(pos_xz&lt;L_rampe,Poids*COS(Beta),0)</f>
        <v>0</v>
      </c>
      <c r="V835" s="396" t="n">
        <f aca="false">Rho_moyen*(20000-Alt_rampe-pos_z)/(20000+Alt_rampe+pos_z)</f>
        <v>1.22652150292662</v>
      </c>
      <c r="W835" s="397" t="n">
        <f aca="false">1/2*Rho*Sref*Cx*vit_xz^2</f>
        <v>62.111948121306</v>
      </c>
      <c r="Y835" s="408" t="str">
        <f aca="false">IF(AND(pos_z&lt;=0,K834&gt;0),"Impact balistique","") &amp; IF(AND(H836&lt;0,vit_z&gt;=0),"Apogée","") &amp; IF(AND(Poussee=0,Q834&gt;0),"Fin de propulsion","") &amp; IF(AND(L836&gt;L_rampe,pos_xz&lt;=L_rampe),"Sortie de rampe","")</f>
        <v/>
      </c>
      <c r="Z835" s="402" t="str">
        <f aca="false">IF(ABS(t-T_para)&lt;pas/2,"Para","")</f>
        <v/>
      </c>
      <c r="AA835" s="403" t="str">
        <f aca="false">IF(ABS(t-T_satellite)&lt;pas/2,"Satellite","")</f>
        <v/>
      </c>
      <c r="AC835" s="399" t="e">
        <f aca="false">IF(ABS(t-ROUND(t,0))&lt;0.001,t,NA())</f>
        <v>#N/A</v>
      </c>
      <c r="AD835" s="404" t="e">
        <f aca="false">IF(ABS(t-ROUND(t,0))&lt;0.001,pos_x,NA())</f>
        <v>#N/A</v>
      </c>
      <c r="AE835" s="405" t="e">
        <f aca="false">IF(t&lt;T_para, pos_z, NA())</f>
        <v>#N/A</v>
      </c>
      <c r="AG835" s="396" t="n">
        <f aca="false">IF(AND(L834&lt;L_rampe,Poussee&lt;Poids*SIN(M834)),0,(-W834+Poussee)/m-Poids*SIN(M834)/m)</f>
        <v>2.41141575962238</v>
      </c>
      <c r="AH835" s="397" t="n">
        <f aca="false">IF(AND(L834&lt;L_rampe,Poussee&lt;Poids*SIN(M834)), g*SIN(M834), (-W834+Poussee)/m)</f>
        <v>-7.35048736094221</v>
      </c>
    </row>
    <row r="836" customFormat="false" ht="12.75" hidden="false" customHeight="false" outlineLevel="0" collapsed="false">
      <c r="A836" s="396" t="n">
        <f aca="false">IF(B835+0.01&lt;=T_ini+ROUNDUP(Temps_fin_propu,0), 0.01, IF(K835&gt;0, 0.1, 0.0001))</f>
        <v>0.0001</v>
      </c>
      <c r="B836" s="397" t="n">
        <f aca="false">B835+pas</f>
        <v>32.1331000000013</v>
      </c>
      <c r="D836" s="396" t="n">
        <f aca="false">IF(AND(L835&lt;L_rampe,Poussee&lt;Poids*SIN(M835)),0,(-W835+Poussee)/m*COS(M835)-U835/m*SIN(M835))</f>
        <v>-0.72697714696176</v>
      </c>
      <c r="E836" s="398" t="n">
        <f aca="false">IF(AND(L835&lt;L_rampe,Poussee&lt;Poids*SIN(M835)),0,(-W835+Poussee)/m*SIN(M835)+U835/m*COS(M835)-Poids/m)</f>
        <v>-2.49551145624281</v>
      </c>
      <c r="F836" s="397" t="n">
        <f aca="false">SQRT(acc_x^2+acc_z^2)</f>
        <v>2.59924473654248</v>
      </c>
      <c r="G836" s="396" t="n">
        <f aca="false">G835+acc_x*pas</f>
        <v>11.4732322161852</v>
      </c>
      <c r="H836" s="398" t="n">
        <f aca="false">H835+acc_z*pas</f>
        <v>-115.439032878083</v>
      </c>
      <c r="I836" s="397" t="n">
        <f aca="false">SQRT(vit_x^2+vit_z^2)</f>
        <v>116.007781503283</v>
      </c>
      <c r="J836" s="396" t="n">
        <f aca="false">J835+0.5*(vit_x+G835)*pas*(K835&gt;=0)</f>
        <v>690.928492655337</v>
      </c>
      <c r="K836" s="398" t="n">
        <f aca="false">K835+0.5*(vit_z+H835)*pas</f>
        <v>-12.4242673754237</v>
      </c>
      <c r="L836" s="397" t="n">
        <f aca="false">SQRT(pos_x^2+pos_z^2)</f>
        <v>691.040190135705</v>
      </c>
      <c r="M836" s="396" t="n">
        <f aca="false">IF(AND(L835&gt;L_rampe,G836&gt;0),ATAN2(G836,H836),$M$4)</f>
        <v>-1.47173384354456</v>
      </c>
      <c r="N836" s="397" t="n">
        <f aca="false">DEGREES(Beta)</f>
        <v>-84.3241378016702</v>
      </c>
      <c r="P836" s="399" t="n">
        <f aca="false">MATCH(t-pas/2-T_ini,CdP_t)</f>
        <v>23</v>
      </c>
      <c r="Q836" s="397" t="n">
        <f aca="false">(INDEX(CdP,2,i_P+1)-INDEX(CdP,2,i_P+0))/(INDEX(CdP,1,i_P+1)-INDEX(CdP,1,i_P+0))*(t-pas/2-T_ini-INDEX(CdP,1,i_P+0))+INDEX(CdP,2,i_P+0)</f>
        <v>0</v>
      </c>
      <c r="R836" s="396" t="n">
        <f aca="false">Poussee/(g*ISP)</f>
        <v>0</v>
      </c>
      <c r="S836" s="398" t="n">
        <f aca="false">S835-Débit*pas</f>
        <v>8.45</v>
      </c>
      <c r="T836" s="397" t="n">
        <f aca="false">m*g</f>
        <v>82.8945</v>
      </c>
      <c r="U836" s="400" t="n">
        <f aca="false">IF(pos_xz&lt;L_rampe,Poids*COS(Beta),0)</f>
        <v>0</v>
      </c>
      <c r="V836" s="396" t="n">
        <f aca="false">Rho_moyen*(20000-Alt_rampe-pos_z)/(20000+Alt_rampe+pos_z)</f>
        <v>1.22652291881101</v>
      </c>
      <c r="W836" s="397" t="n">
        <f aca="false">1/2*Rho*Sref*Cx*vit_xz^2</f>
        <v>62.1122780399268</v>
      </c>
      <c r="Y836" s="408" t="str">
        <f aca="false">IF(AND(pos_z&lt;=0,K835&gt;0),"Impact balistique","") &amp; IF(AND(H837&lt;0,vit_z&gt;=0),"Apogée","") &amp; IF(AND(Poussee=0,Q835&gt;0),"Fin de propulsion","") &amp; IF(AND(L837&gt;L_rampe,pos_xz&lt;=L_rampe),"Sortie de rampe","")</f>
        <v/>
      </c>
      <c r="Z836" s="402" t="str">
        <f aca="false">IF(ABS(t-T_para)&lt;pas/2,"Para","")</f>
        <v/>
      </c>
      <c r="AA836" s="403" t="str">
        <f aca="false">IF(ABS(t-T_satellite)&lt;pas/2,"Satellite","")</f>
        <v/>
      </c>
      <c r="AC836" s="399" t="e">
        <f aca="false">IF(ABS(t-ROUND(t,0))&lt;0.001,t,NA())</f>
        <v>#N/A</v>
      </c>
      <c r="AD836" s="404" t="e">
        <f aca="false">IF(ABS(t-ROUND(t,0))&lt;0.001,pos_x,NA())</f>
        <v>#N/A</v>
      </c>
      <c r="AE836" s="405" t="e">
        <f aca="false">IF(t&lt;T_para, pos_z, NA())</f>
        <v>#N/A</v>
      </c>
      <c r="AG836" s="396" t="n">
        <f aca="false">IF(AND(L835&lt;L_rampe,Poussee&lt;Poids*SIN(M835)),0,(-W835+Poussee)/m-Poids*SIN(M835)/m)</f>
        <v>2.41137752712659</v>
      </c>
      <c r="AH836" s="397" t="n">
        <f aca="false">IF(AND(L835&lt;L_rampe,Poussee&lt;Poids*SIN(M835)), g*SIN(M835), (-W835+Poussee)/m)</f>
        <v>-7.35052640488828</v>
      </c>
    </row>
    <row r="837" customFormat="false" ht="12.75" hidden="false" customHeight="false" outlineLevel="0" collapsed="false">
      <c r="A837" s="396" t="n">
        <f aca="false">IF(B836+0.01&lt;=T_ini+ROUNDUP(Temps_fin_propu,0), 0.01, IF(K836&gt;0, 0.1, 0.0001))</f>
        <v>0.0001</v>
      </c>
      <c r="B837" s="397" t="n">
        <f aca="false">B836+pas</f>
        <v>32.1332000000013</v>
      </c>
      <c r="D837" s="396" t="n">
        <f aca="false">IF(AND(L836&lt;L_rampe,Poussee&lt;Poids*SIN(M836)),0,(-W836+Poussee)/m*COS(M836)-U836/m*SIN(M836))</f>
        <v>-0.726974890978835</v>
      </c>
      <c r="E837" s="398" t="n">
        <f aca="false">IF(AND(L836&lt;L_rampe,Poussee&lt;Poids*SIN(M836)),0,(-W836+Poussee)/m*SIN(M836)+U836/m*COS(M836)-Poids/m)</f>
        <v>-2.49547199603792</v>
      </c>
      <c r="F837" s="397" t="n">
        <f aca="false">SQRT(acc_x^2+acc_z^2)</f>
        <v>2.59920622019938</v>
      </c>
      <c r="G837" s="396" t="n">
        <f aca="false">G836+acc_x*pas</f>
        <v>11.4731595186961</v>
      </c>
      <c r="H837" s="398" t="n">
        <f aca="false">H836+acc_z*pas</f>
        <v>-115.439282425282</v>
      </c>
      <c r="I837" s="397" t="n">
        <f aca="false">SQRT(vit_x^2+vit_z^2)</f>
        <v>116.008022637253</v>
      </c>
      <c r="J837" s="396" t="n">
        <f aca="false">J836+0.5*(vit_x+G836)*pas*(K836&gt;=0)</f>
        <v>690.928492655337</v>
      </c>
      <c r="K837" s="398" t="n">
        <f aca="false">K836+0.5*(vit_z+H836)*pas</f>
        <v>-12.4358112911889</v>
      </c>
      <c r="L837" s="397" t="n">
        <f aca="false">SQRT(pos_x^2+pos_z^2)</f>
        <v>691.040397781089</v>
      </c>
      <c r="M837" s="396" t="n">
        <f aca="false">IF(AND(L836&gt;L_rampe,G837&gt;0),ATAN2(G837,H837),$M$4)</f>
        <v>-1.47173467987835</v>
      </c>
      <c r="N837" s="397" t="n">
        <f aca="false">DEGREES(Beta)</f>
        <v>-84.3241857200668</v>
      </c>
      <c r="P837" s="399" t="n">
        <f aca="false">MATCH(t-pas/2-T_ini,CdP_t)</f>
        <v>23</v>
      </c>
      <c r="Q837" s="397" t="n">
        <f aca="false">(INDEX(CdP,2,i_P+1)-INDEX(CdP,2,i_P+0))/(INDEX(CdP,1,i_P+1)-INDEX(CdP,1,i_P+0))*(t-pas/2-T_ini-INDEX(CdP,1,i_P+0))+INDEX(CdP,2,i_P+0)</f>
        <v>0</v>
      </c>
      <c r="R837" s="396" t="n">
        <f aca="false">Poussee/(g*ISP)</f>
        <v>0</v>
      </c>
      <c r="S837" s="398" t="n">
        <f aca="false">S836-Débit*pas</f>
        <v>8.45</v>
      </c>
      <c r="T837" s="397" t="n">
        <f aca="false">m*g</f>
        <v>82.8945</v>
      </c>
      <c r="U837" s="400" t="n">
        <f aca="false">IF(pos_xz&lt;L_rampe,Poids*COS(Beta),0)</f>
        <v>0</v>
      </c>
      <c r="V837" s="396" t="n">
        <f aca="false">Rho_moyen*(20000-Alt_rampe-pos_z)/(20000+Alt_rampe+pos_z)</f>
        <v>1.2265243347001</v>
      </c>
      <c r="W837" s="397" t="n">
        <f aca="false">1/2*Rho*Sref*Cx*vit_xz^2</f>
        <v>62.1126079558245</v>
      </c>
      <c r="Y837" s="408" t="str">
        <f aca="false">IF(AND(pos_z&lt;=0,K836&gt;0),"Impact balistique","") &amp; IF(AND(H838&lt;0,vit_z&gt;=0),"Apogée","") &amp; IF(AND(Poussee=0,Q836&gt;0),"Fin de propulsion","") &amp; IF(AND(L838&gt;L_rampe,pos_xz&lt;=L_rampe),"Sortie de rampe","")</f>
        <v/>
      </c>
      <c r="Z837" s="402" t="str">
        <f aca="false">IF(ABS(t-T_para)&lt;pas/2,"Para","")</f>
        <v/>
      </c>
      <c r="AA837" s="403" t="str">
        <f aca="false">IF(ABS(t-T_satellite)&lt;pas/2,"Satellite","")</f>
        <v/>
      </c>
      <c r="AC837" s="399" t="e">
        <f aca="false">IF(ABS(t-ROUND(t,0))&lt;0.001,t,NA())</f>
        <v>#N/A</v>
      </c>
      <c r="AD837" s="404" t="e">
        <f aca="false">IF(ABS(t-ROUND(t,0))&lt;0.001,pos_x,NA())</f>
        <v>#N/A</v>
      </c>
      <c r="AE837" s="405" t="e">
        <f aca="false">IF(t&lt;T_para, pos_z, NA())</f>
        <v>#N/A</v>
      </c>
      <c r="AG837" s="396" t="n">
        <f aca="false">IF(AND(L836&lt;L_rampe,Poussee&lt;Poids*SIN(M836)),0,(-W836+Poussee)/m-Poids*SIN(M836)/m)</f>
        <v>2.41133929493775</v>
      </c>
      <c r="AH837" s="397" t="n">
        <f aca="false">IF(AND(L836&lt;L_rampe,Poussee&lt;Poids*SIN(M836)), g*SIN(M836), (-W836+Poussee)/m)</f>
        <v>-7.35056544851205</v>
      </c>
    </row>
    <row r="838" customFormat="false" ht="12.75" hidden="false" customHeight="false" outlineLevel="0" collapsed="false">
      <c r="A838" s="396" t="n">
        <f aca="false">IF(B837+0.01&lt;=T_ini+ROUNDUP(Temps_fin_propu,0), 0.01, IF(K837&gt;0, 0.1, 0.0001))</f>
        <v>0.0001</v>
      </c>
      <c r="B838" s="397" t="n">
        <f aca="false">B837+pas</f>
        <v>32.1333000000013</v>
      </c>
      <c r="D838" s="396" t="n">
        <f aca="false">IF(AND(L837&lt;L_rampe,Poussee&lt;Poids*SIN(M837)),0,(-W837+Poussee)/m*COS(M837)-U837/m*SIN(M837))</f>
        <v>-0.726972634962734</v>
      </c>
      <c r="E838" s="398" t="n">
        <f aca="false">IF(AND(L837&lt;L_rampe,Poussee&lt;Poids*SIN(M837)),0,(-W837+Poussee)/m*SIN(M837)+U837/m*COS(M837)-Poids/m)</f>
        <v>-2.49543253615876</v>
      </c>
      <c r="F838" s="397" t="n">
        <f aca="false">SQRT(acc_x^2+acc_z^2)</f>
        <v>2.59916770419002</v>
      </c>
      <c r="G838" s="396" t="n">
        <f aca="false">G837+acc_x*pas</f>
        <v>11.4730868214326</v>
      </c>
      <c r="H838" s="398" t="n">
        <f aca="false">H837+acc_z*pas</f>
        <v>-115.439531968536</v>
      </c>
      <c r="I838" s="397" t="n">
        <f aca="false">SQRT(vit_x^2+vit_z^2)</f>
        <v>116.0082637674</v>
      </c>
      <c r="J838" s="396" t="n">
        <f aca="false">J837+0.5*(vit_x+G837)*pas*(K837&gt;=0)</f>
        <v>690.928492655337</v>
      </c>
      <c r="K838" s="398" t="n">
        <f aca="false">K837+0.5*(vit_z+H837)*pas</f>
        <v>-12.4473552319086</v>
      </c>
      <c r="L838" s="397" t="n">
        <f aca="false">SQRT(pos_x^2+pos_z^2)</f>
        <v>691.040605619702</v>
      </c>
      <c r="M838" s="396" t="n">
        <f aca="false">IF(AND(L837&gt;L_rampe,G838&gt;0),ATAN2(G838,H838),$M$4)</f>
        <v>-1.47173551620337</v>
      </c>
      <c r="N838" s="397" t="n">
        <f aca="false">DEGREES(Beta)</f>
        <v>-84.3242336379606</v>
      </c>
      <c r="P838" s="399" t="n">
        <f aca="false">MATCH(t-pas/2-T_ini,CdP_t)</f>
        <v>23</v>
      </c>
      <c r="Q838" s="397" t="n">
        <f aca="false">(INDEX(CdP,2,i_P+1)-INDEX(CdP,2,i_P+0))/(INDEX(CdP,1,i_P+1)-INDEX(CdP,1,i_P+0))*(t-pas/2-T_ini-INDEX(CdP,1,i_P+0))+INDEX(CdP,2,i_P+0)</f>
        <v>0</v>
      </c>
      <c r="R838" s="396" t="n">
        <f aca="false">Poussee/(g*ISP)</f>
        <v>0</v>
      </c>
      <c r="S838" s="398" t="n">
        <f aca="false">S837-Débit*pas</f>
        <v>8.45</v>
      </c>
      <c r="T838" s="397" t="n">
        <f aca="false">m*g</f>
        <v>82.8945</v>
      </c>
      <c r="U838" s="400" t="n">
        <f aca="false">IF(pos_xz&lt;L_rampe,Poids*COS(Beta),0)</f>
        <v>0</v>
      </c>
      <c r="V838" s="396" t="n">
        <f aca="false">Rho_moyen*(20000-Alt_rampe-pos_z)/(20000+Alt_rampe+pos_z)</f>
        <v>1.22652575059389</v>
      </c>
      <c r="W838" s="397" t="n">
        <f aca="false">1/2*Rho*Sref*Cx*vit_xz^2</f>
        <v>62.1129378689988</v>
      </c>
      <c r="Y838" s="408" t="str">
        <f aca="false">IF(AND(pos_z&lt;=0,K837&gt;0),"Impact balistique","") &amp; IF(AND(H839&lt;0,vit_z&gt;=0),"Apogée","") &amp; IF(AND(Poussee=0,Q837&gt;0),"Fin de propulsion","") &amp; IF(AND(L839&gt;L_rampe,pos_xz&lt;=L_rampe),"Sortie de rampe","")</f>
        <v/>
      </c>
      <c r="Z838" s="402" t="str">
        <f aca="false">IF(ABS(t-T_para)&lt;pas/2,"Para","")</f>
        <v/>
      </c>
      <c r="AA838" s="403" t="str">
        <f aca="false">IF(ABS(t-T_satellite)&lt;pas/2,"Satellite","")</f>
        <v/>
      </c>
      <c r="AC838" s="399" t="e">
        <f aca="false">IF(ABS(t-ROUND(t,0))&lt;0.001,t,NA())</f>
        <v>#N/A</v>
      </c>
      <c r="AD838" s="404" t="e">
        <f aca="false">IF(ABS(t-ROUND(t,0))&lt;0.001,pos_x,NA())</f>
        <v>#N/A</v>
      </c>
      <c r="AE838" s="405" t="e">
        <f aca="false">IF(t&lt;T_para, pos_z, NA())</f>
        <v>#N/A</v>
      </c>
      <c r="AG838" s="396" t="n">
        <f aca="false">IF(AND(L837&lt;L_rampe,Poussee&lt;Poids*SIN(M837)),0,(-W837+Poussee)/m-Poids*SIN(M837)/m)</f>
        <v>2.41130106305584</v>
      </c>
      <c r="AH838" s="397" t="n">
        <f aca="false">IF(AND(L837&lt;L_rampe,Poussee&lt;Poids*SIN(M837)), g*SIN(M837), (-W837+Poussee)/m)</f>
        <v>-7.35060449181355</v>
      </c>
    </row>
    <row r="839" customFormat="false" ht="12.75" hidden="false" customHeight="false" outlineLevel="0" collapsed="false">
      <c r="A839" s="396" t="n">
        <f aca="false">IF(B838+0.01&lt;=T_ini+ROUNDUP(Temps_fin_propu,0), 0.01, IF(K838&gt;0, 0.1, 0.0001))</f>
        <v>0.0001</v>
      </c>
      <c r="B839" s="397" t="n">
        <f aca="false">B838+pas</f>
        <v>32.1334000000013</v>
      </c>
      <c r="D839" s="396" t="n">
        <f aca="false">IF(AND(L838&lt;L_rampe,Poussee&lt;Poids*SIN(M838)),0,(-W838+Poussee)/m*COS(M838)-U838/m*SIN(M838))</f>
        <v>-0.726970378913456</v>
      </c>
      <c r="E839" s="398" t="n">
        <f aca="false">IF(AND(L838&lt;L_rampe,Poussee&lt;Poids*SIN(M838)),0,(-W838+Poussee)/m*SIN(M838)+U838/m*COS(M838)-Poids/m)</f>
        <v>-2.49539307660535</v>
      </c>
      <c r="F839" s="397" t="n">
        <f aca="false">SQRT(acc_x^2+acc_z^2)</f>
        <v>2.59912918851439</v>
      </c>
      <c r="G839" s="396" t="n">
        <f aca="false">G838+acc_x*pas</f>
        <v>11.4730141243947</v>
      </c>
      <c r="H839" s="398" t="n">
        <f aca="false">H838+acc_z*pas</f>
        <v>-115.439781507843</v>
      </c>
      <c r="I839" s="397" t="n">
        <f aca="false">SQRT(vit_x^2+vit_z^2)</f>
        <v>116.008504893724</v>
      </c>
      <c r="J839" s="396" t="n">
        <f aca="false">J838+0.5*(vit_x+G838)*pas*(K838&gt;=0)</f>
        <v>690.928492655337</v>
      </c>
      <c r="K839" s="398" t="n">
        <f aca="false">K838+0.5*(vit_z+H838)*pas</f>
        <v>-12.4588991975824</v>
      </c>
      <c r="L839" s="397" t="n">
        <f aca="false">SQRT(pos_x^2+pos_z^2)</f>
        <v>691.040813651546</v>
      </c>
      <c r="M839" s="396" t="n">
        <f aca="false">IF(AND(L838&gt;L_rampe,G839&gt;0),ATAN2(G839,H839),$M$4)</f>
        <v>-1.47173635251961</v>
      </c>
      <c r="N839" s="397" t="n">
        <f aca="false">DEGREES(Beta)</f>
        <v>-84.3242815553515</v>
      </c>
      <c r="P839" s="399" t="n">
        <f aca="false">MATCH(t-pas/2-T_ini,CdP_t)</f>
        <v>23</v>
      </c>
      <c r="Q839" s="397" t="n">
        <f aca="false">(INDEX(CdP,2,i_P+1)-INDEX(CdP,2,i_P+0))/(INDEX(CdP,1,i_P+1)-INDEX(CdP,1,i_P+0))*(t-pas/2-T_ini-INDEX(CdP,1,i_P+0))+INDEX(CdP,2,i_P+0)</f>
        <v>0</v>
      </c>
      <c r="R839" s="396" t="n">
        <f aca="false">Poussee/(g*ISP)</f>
        <v>0</v>
      </c>
      <c r="S839" s="398" t="n">
        <f aca="false">S838-Débit*pas</f>
        <v>8.45</v>
      </c>
      <c r="T839" s="397" t="n">
        <f aca="false">m*g</f>
        <v>82.8945</v>
      </c>
      <c r="U839" s="400" t="n">
        <f aca="false">IF(pos_xz&lt;L_rampe,Poids*COS(Beta),0)</f>
        <v>0</v>
      </c>
      <c r="V839" s="396" t="n">
        <f aca="false">Rho_moyen*(20000-Alt_rampe-pos_z)/(20000+Alt_rampe+pos_z)</f>
        <v>1.22652716649237</v>
      </c>
      <c r="W839" s="397" t="n">
        <f aca="false">1/2*Rho*Sref*Cx*vit_xz^2</f>
        <v>62.1132677794498</v>
      </c>
      <c r="Y839" s="408" t="str">
        <f aca="false">IF(AND(pos_z&lt;=0,K838&gt;0),"Impact balistique","") &amp; IF(AND(H840&lt;0,vit_z&gt;=0),"Apogée","") &amp; IF(AND(Poussee=0,Q838&gt;0),"Fin de propulsion","") &amp; IF(AND(L840&gt;L_rampe,pos_xz&lt;=L_rampe),"Sortie de rampe","")</f>
        <v/>
      </c>
      <c r="Z839" s="402" t="str">
        <f aca="false">IF(ABS(t-T_para)&lt;pas/2,"Para","")</f>
        <v/>
      </c>
      <c r="AA839" s="403" t="str">
        <f aca="false">IF(ABS(t-T_satellite)&lt;pas/2,"Satellite","")</f>
        <v/>
      </c>
      <c r="AC839" s="399" t="e">
        <f aca="false">IF(ABS(t-ROUND(t,0))&lt;0.001,t,NA())</f>
        <v>#N/A</v>
      </c>
      <c r="AD839" s="404" t="e">
        <f aca="false">IF(ABS(t-ROUND(t,0))&lt;0.001,pos_x,NA())</f>
        <v>#N/A</v>
      </c>
      <c r="AE839" s="405" t="e">
        <f aca="false">IF(t&lt;T_para, pos_z, NA())</f>
        <v>#N/A</v>
      </c>
      <c r="AG839" s="396" t="n">
        <f aca="false">IF(AND(L838&lt;L_rampe,Poussee&lt;Poids*SIN(M838)),0,(-W838+Poussee)/m-Poids*SIN(M838)/m)</f>
        <v>2.41126283148087</v>
      </c>
      <c r="AH839" s="397" t="n">
        <f aca="false">IF(AND(L838&lt;L_rampe,Poussee&lt;Poids*SIN(M838)), g*SIN(M838), (-W838+Poussee)/m)</f>
        <v>-7.35064353479276</v>
      </c>
    </row>
    <row r="840" customFormat="false" ht="12.75" hidden="false" customHeight="false" outlineLevel="0" collapsed="false">
      <c r="A840" s="396" t="n">
        <f aca="false">IF(B839+0.01&lt;=T_ini+ROUNDUP(Temps_fin_propu,0), 0.01, IF(K839&gt;0, 0.1, 0.0001))</f>
        <v>0.0001</v>
      </c>
      <c r="B840" s="397" t="n">
        <f aca="false">B839+pas</f>
        <v>32.1335000000013</v>
      </c>
      <c r="D840" s="396" t="n">
        <f aca="false">IF(AND(L839&lt;L_rampe,Poussee&lt;Poids*SIN(M839)),0,(-W839+Poussee)/m*COS(M839)-U839/m*SIN(M839))</f>
        <v>-0.726968122831004</v>
      </c>
      <c r="E840" s="398" t="n">
        <f aca="false">IF(AND(L839&lt;L_rampe,Poussee&lt;Poids*SIN(M839)),0,(-W839+Poussee)/m*SIN(M839)+U839/m*COS(M839)-Poids/m)</f>
        <v>-2.49535361737767</v>
      </c>
      <c r="F840" s="397" t="n">
        <f aca="false">SQRT(acc_x^2+acc_z^2)</f>
        <v>2.5990906731725</v>
      </c>
      <c r="G840" s="396" t="n">
        <f aca="false">G839+acc_x*pas</f>
        <v>11.4729414275824</v>
      </c>
      <c r="H840" s="398" t="n">
        <f aca="false">H839+acc_z*pas</f>
        <v>-115.440031043205</v>
      </c>
      <c r="I840" s="397" t="n">
        <f aca="false">SQRT(vit_x^2+vit_z^2)</f>
        <v>116.008746016225</v>
      </c>
      <c r="J840" s="396" t="n">
        <f aca="false">J839+0.5*(vit_x+G839)*pas*(K839&gt;=0)</f>
        <v>690.928492655337</v>
      </c>
      <c r="K840" s="398" t="n">
        <f aca="false">K839+0.5*(vit_z+H839)*pas</f>
        <v>-12.47044318821</v>
      </c>
      <c r="L840" s="397" t="n">
        <f aca="false">SQRT(pos_x^2+pos_z^2)</f>
        <v>691.041021876622</v>
      </c>
      <c r="M840" s="396" t="n">
        <f aca="false">IF(AND(L839&gt;L_rampe,G840&gt;0),ATAN2(G840,H840),$M$4)</f>
        <v>-1.47173718882707</v>
      </c>
      <c r="N840" s="397" t="n">
        <f aca="false">DEGREES(Beta)</f>
        <v>-84.3243294722396</v>
      </c>
      <c r="P840" s="399" t="n">
        <f aca="false">MATCH(t-pas/2-T_ini,CdP_t)</f>
        <v>23</v>
      </c>
      <c r="Q840" s="397" t="n">
        <f aca="false">(INDEX(CdP,2,i_P+1)-INDEX(CdP,2,i_P+0))/(INDEX(CdP,1,i_P+1)-INDEX(CdP,1,i_P+0))*(t-pas/2-T_ini-INDEX(CdP,1,i_P+0))+INDEX(CdP,2,i_P+0)</f>
        <v>0</v>
      </c>
      <c r="R840" s="396" t="n">
        <f aca="false">Poussee/(g*ISP)</f>
        <v>0</v>
      </c>
      <c r="S840" s="398" t="n">
        <f aca="false">S839-Débit*pas</f>
        <v>8.45</v>
      </c>
      <c r="T840" s="397" t="n">
        <f aca="false">m*g</f>
        <v>82.8945</v>
      </c>
      <c r="U840" s="400" t="n">
        <f aca="false">IF(pos_xz&lt;L_rampe,Poids*COS(Beta),0)</f>
        <v>0</v>
      </c>
      <c r="V840" s="396" t="n">
        <f aca="false">Rho_moyen*(20000-Alt_rampe-pos_z)/(20000+Alt_rampe+pos_z)</f>
        <v>1.22652858239555</v>
      </c>
      <c r="W840" s="397" t="n">
        <f aca="false">1/2*Rho*Sref*Cx*vit_xz^2</f>
        <v>62.1135976871776</v>
      </c>
      <c r="Y840" s="408" t="str">
        <f aca="false">IF(AND(pos_z&lt;=0,K839&gt;0),"Impact balistique","") &amp; IF(AND(H841&lt;0,vit_z&gt;=0),"Apogée","") &amp; IF(AND(Poussee=0,Q839&gt;0),"Fin de propulsion","") &amp; IF(AND(L841&gt;L_rampe,pos_xz&lt;=L_rampe),"Sortie de rampe","")</f>
        <v/>
      </c>
      <c r="Z840" s="402" t="str">
        <f aca="false">IF(ABS(t-T_para)&lt;pas/2,"Para","")</f>
        <v/>
      </c>
      <c r="AA840" s="403" t="str">
        <f aca="false">IF(ABS(t-T_satellite)&lt;pas/2,"Satellite","")</f>
        <v/>
      </c>
      <c r="AC840" s="399" t="e">
        <f aca="false">IF(ABS(t-ROUND(t,0))&lt;0.001,t,NA())</f>
        <v>#N/A</v>
      </c>
      <c r="AD840" s="404" t="e">
        <f aca="false">IF(ABS(t-ROUND(t,0))&lt;0.001,pos_x,NA())</f>
        <v>#N/A</v>
      </c>
      <c r="AE840" s="405" t="e">
        <f aca="false">IF(t&lt;T_para, pos_z, NA())</f>
        <v>#N/A</v>
      </c>
      <c r="AG840" s="396" t="n">
        <f aca="false">IF(AND(L839&lt;L_rampe,Poussee&lt;Poids*SIN(M839)),0,(-W839+Poussee)/m-Poids*SIN(M839)/m)</f>
        <v>2.41122460021285</v>
      </c>
      <c r="AH840" s="397" t="n">
        <f aca="false">IF(AND(L839&lt;L_rampe,Poussee&lt;Poids*SIN(M839)), g*SIN(M839), (-W839+Poussee)/m)</f>
        <v>-7.35068257744969</v>
      </c>
    </row>
    <row r="841" customFormat="false" ht="12.75" hidden="false" customHeight="false" outlineLevel="0" collapsed="false">
      <c r="A841" s="396" t="n">
        <f aca="false">IF(B840+0.01&lt;=T_ini+ROUNDUP(Temps_fin_propu,0), 0.01, IF(K840&gt;0, 0.1, 0.0001))</f>
        <v>0.0001</v>
      </c>
      <c r="B841" s="397" t="n">
        <f aca="false">B840+pas</f>
        <v>32.1336000000013</v>
      </c>
      <c r="D841" s="396" t="n">
        <f aca="false">IF(AND(L840&lt;L_rampe,Poussee&lt;Poids*SIN(M840)),0,(-W840+Poussee)/m*COS(M840)-U840/m*SIN(M840))</f>
        <v>-0.726965866715379</v>
      </c>
      <c r="E841" s="398" t="n">
        <f aca="false">IF(AND(L840&lt;L_rampe,Poussee&lt;Poids*SIN(M840)),0,(-W840+Poussee)/m*SIN(M840)+U840/m*COS(M840)-Poids/m)</f>
        <v>-2.49531415847574</v>
      </c>
      <c r="F841" s="397" t="n">
        <f aca="false">SQRT(acc_x^2+acc_z^2)</f>
        <v>2.59905215816435</v>
      </c>
      <c r="G841" s="396" t="n">
        <f aca="false">G840+acc_x*pas</f>
        <v>11.4728687309957</v>
      </c>
      <c r="H841" s="398" t="n">
        <f aca="false">H840+acc_z*pas</f>
        <v>-115.440280574621</v>
      </c>
      <c r="I841" s="397" t="n">
        <f aca="false">SQRT(vit_x^2+vit_z^2)</f>
        <v>116.008987134902</v>
      </c>
      <c r="J841" s="396" t="n">
        <f aca="false">J840+0.5*(vit_x+G840)*pas*(K840&gt;=0)</f>
        <v>690.928492655337</v>
      </c>
      <c r="K841" s="398" t="n">
        <f aca="false">K840+0.5*(vit_z+H840)*pas</f>
        <v>-12.4819872037909</v>
      </c>
      <c r="L841" s="397" t="n">
        <f aca="false">SQRT(pos_x^2+pos_z^2)</f>
        <v>691.041230294931</v>
      </c>
      <c r="M841" s="396" t="n">
        <f aca="false">IF(AND(L840&gt;L_rampe,G841&gt;0),ATAN2(G841,H841),$M$4)</f>
        <v>-1.47173802512576</v>
      </c>
      <c r="N841" s="397" t="n">
        <f aca="false">DEGREES(Beta)</f>
        <v>-84.324377388625</v>
      </c>
      <c r="P841" s="399" t="n">
        <f aca="false">MATCH(t-pas/2-T_ini,CdP_t)</f>
        <v>23</v>
      </c>
      <c r="Q841" s="397" t="n">
        <f aca="false">(INDEX(CdP,2,i_P+1)-INDEX(CdP,2,i_P+0))/(INDEX(CdP,1,i_P+1)-INDEX(CdP,1,i_P+0))*(t-pas/2-T_ini-INDEX(CdP,1,i_P+0))+INDEX(CdP,2,i_P+0)</f>
        <v>0</v>
      </c>
      <c r="R841" s="396" t="n">
        <f aca="false">Poussee/(g*ISP)</f>
        <v>0</v>
      </c>
      <c r="S841" s="398" t="n">
        <f aca="false">S840-Débit*pas</f>
        <v>8.45</v>
      </c>
      <c r="T841" s="397" t="n">
        <f aca="false">m*g</f>
        <v>82.8945</v>
      </c>
      <c r="U841" s="400" t="n">
        <f aca="false">IF(pos_xz&lt;L_rampe,Poids*COS(Beta),0)</f>
        <v>0</v>
      </c>
      <c r="V841" s="396" t="n">
        <f aca="false">Rho_moyen*(20000-Alt_rampe-pos_z)/(20000+Alt_rampe+pos_z)</f>
        <v>1.22652999830343</v>
      </c>
      <c r="W841" s="397" t="n">
        <f aca="false">1/2*Rho*Sref*Cx*vit_xz^2</f>
        <v>62.113927592182</v>
      </c>
      <c r="Y841" s="408" t="str">
        <f aca="false">IF(AND(pos_z&lt;=0,K840&gt;0),"Impact balistique","") &amp; IF(AND(H842&lt;0,vit_z&gt;=0),"Apogée","") &amp; IF(AND(Poussee=0,Q840&gt;0),"Fin de propulsion","") &amp; IF(AND(L842&gt;L_rampe,pos_xz&lt;=L_rampe),"Sortie de rampe","")</f>
        <v/>
      </c>
      <c r="Z841" s="402" t="str">
        <f aca="false">IF(ABS(t-T_para)&lt;pas/2,"Para","")</f>
        <v/>
      </c>
      <c r="AA841" s="403" t="str">
        <f aca="false">IF(ABS(t-T_satellite)&lt;pas/2,"Satellite","")</f>
        <v/>
      </c>
      <c r="AC841" s="399" t="e">
        <f aca="false">IF(ABS(t-ROUND(t,0))&lt;0.001,t,NA())</f>
        <v>#N/A</v>
      </c>
      <c r="AD841" s="404" t="e">
        <f aca="false">IF(ABS(t-ROUND(t,0))&lt;0.001,pos_x,NA())</f>
        <v>#N/A</v>
      </c>
      <c r="AE841" s="405" t="e">
        <f aca="false">IF(t&lt;T_para, pos_z, NA())</f>
        <v>#N/A</v>
      </c>
      <c r="AG841" s="396" t="n">
        <f aca="false">IF(AND(L840&lt;L_rampe,Poussee&lt;Poids*SIN(M840)),0,(-W840+Poussee)/m-Poids*SIN(M840)/m)</f>
        <v>2.41118636925177</v>
      </c>
      <c r="AH841" s="397" t="n">
        <f aca="false">IF(AND(L840&lt;L_rampe,Poussee&lt;Poids*SIN(M840)), g*SIN(M840), (-W840+Poussee)/m)</f>
        <v>-7.35072161978433</v>
      </c>
    </row>
    <row r="842" customFormat="false" ht="12.75" hidden="false" customHeight="false" outlineLevel="0" collapsed="false">
      <c r="A842" s="396" t="n">
        <f aca="false">IF(B841+0.01&lt;=T_ini+ROUNDUP(Temps_fin_propu,0), 0.01, IF(K841&gt;0, 0.1, 0.0001))</f>
        <v>0.0001</v>
      </c>
      <c r="B842" s="397" t="n">
        <f aca="false">B841+pas</f>
        <v>32.1337000000013</v>
      </c>
      <c r="D842" s="396" t="n">
        <f aca="false">IF(AND(L841&lt;L_rampe,Poussee&lt;Poids*SIN(M841)),0,(-W841+Poussee)/m*COS(M841)-U841/m*SIN(M841))</f>
        <v>-0.726963610566581</v>
      </c>
      <c r="E842" s="398" t="n">
        <f aca="false">IF(AND(L841&lt;L_rampe,Poussee&lt;Poids*SIN(M841)),0,(-W841+Poussee)/m*SIN(M841)+U841/m*COS(M841)-Poids/m)</f>
        <v>-2.49527469989955</v>
      </c>
      <c r="F842" s="397" t="n">
        <f aca="false">SQRT(acc_x^2+acc_z^2)</f>
        <v>2.59901364348993</v>
      </c>
      <c r="G842" s="396" t="n">
        <f aca="false">G841+acc_x*pas</f>
        <v>11.4727960346347</v>
      </c>
      <c r="H842" s="398" t="n">
        <f aca="false">H841+acc_z*pas</f>
        <v>-115.440530102091</v>
      </c>
      <c r="I842" s="397" t="n">
        <f aca="false">SQRT(vit_x^2+vit_z^2)</f>
        <v>116.009228249757</v>
      </c>
      <c r="J842" s="396" t="n">
        <f aca="false">J841+0.5*(vit_x+G841)*pas*(K841&gt;=0)</f>
        <v>690.928492655337</v>
      </c>
      <c r="K842" s="398" t="n">
        <f aca="false">K841+0.5*(vit_z+H841)*pas</f>
        <v>-12.4935312443247</v>
      </c>
      <c r="L842" s="397" t="n">
        <f aca="false">SQRT(pos_x^2+pos_z^2)</f>
        <v>691.041438906473</v>
      </c>
      <c r="M842" s="396" t="n">
        <f aca="false">IF(AND(L841&gt;L_rampe,G842&gt;0),ATAN2(G842,H842),$M$4)</f>
        <v>-1.47173886141568</v>
      </c>
      <c r="N842" s="397" t="n">
        <f aca="false">DEGREES(Beta)</f>
        <v>-84.3244253045075</v>
      </c>
      <c r="P842" s="399" t="n">
        <f aca="false">MATCH(t-pas/2-T_ini,CdP_t)</f>
        <v>23</v>
      </c>
      <c r="Q842" s="397" t="n">
        <f aca="false">(INDEX(CdP,2,i_P+1)-INDEX(CdP,2,i_P+0))/(INDEX(CdP,1,i_P+1)-INDEX(CdP,1,i_P+0))*(t-pas/2-T_ini-INDEX(CdP,1,i_P+0))+INDEX(CdP,2,i_P+0)</f>
        <v>0</v>
      </c>
      <c r="R842" s="396" t="n">
        <f aca="false">Poussee/(g*ISP)</f>
        <v>0</v>
      </c>
      <c r="S842" s="398" t="n">
        <f aca="false">S841-Débit*pas</f>
        <v>8.45</v>
      </c>
      <c r="T842" s="397" t="n">
        <f aca="false">m*g</f>
        <v>82.8945</v>
      </c>
      <c r="U842" s="400" t="n">
        <f aca="false">IF(pos_xz&lt;L_rampe,Poids*COS(Beta),0)</f>
        <v>0</v>
      </c>
      <c r="V842" s="396" t="n">
        <f aca="false">Rho_moyen*(20000-Alt_rampe-pos_z)/(20000+Alt_rampe+pos_z)</f>
        <v>1.226531414216</v>
      </c>
      <c r="W842" s="397" t="n">
        <f aca="false">1/2*Rho*Sref*Cx*vit_xz^2</f>
        <v>62.1142574944631</v>
      </c>
      <c r="Y842" s="408" t="str">
        <f aca="false">IF(AND(pos_z&lt;=0,K841&gt;0),"Impact balistique","") &amp; IF(AND(H843&lt;0,vit_z&gt;=0),"Apogée","") &amp; IF(AND(Poussee=0,Q841&gt;0),"Fin de propulsion","") &amp; IF(AND(L843&gt;L_rampe,pos_xz&lt;=L_rampe),"Sortie de rampe","")</f>
        <v/>
      </c>
      <c r="Z842" s="402" t="str">
        <f aca="false">IF(ABS(t-T_para)&lt;pas/2,"Para","")</f>
        <v/>
      </c>
      <c r="AA842" s="403" t="str">
        <f aca="false">IF(ABS(t-T_satellite)&lt;pas/2,"Satellite","")</f>
        <v/>
      </c>
      <c r="AC842" s="399" t="e">
        <f aca="false">IF(ABS(t-ROUND(t,0))&lt;0.001,t,NA())</f>
        <v>#N/A</v>
      </c>
      <c r="AD842" s="404" t="e">
        <f aca="false">IF(ABS(t-ROUND(t,0))&lt;0.001,pos_x,NA())</f>
        <v>#N/A</v>
      </c>
      <c r="AE842" s="405" t="e">
        <f aca="false">IF(t&lt;T_para, pos_z, NA())</f>
        <v>#N/A</v>
      </c>
      <c r="AG842" s="396" t="n">
        <f aca="false">IF(AND(L841&lt;L_rampe,Poussee&lt;Poids*SIN(M841)),0,(-W841+Poussee)/m-Poids*SIN(M841)/m)</f>
        <v>2.41114813859764</v>
      </c>
      <c r="AH842" s="397" t="n">
        <f aca="false">IF(AND(L841&lt;L_rampe,Poussee&lt;Poids*SIN(M841)), g*SIN(M841), (-W841+Poussee)/m)</f>
        <v>-7.35076066179668</v>
      </c>
    </row>
    <row r="843" customFormat="false" ht="12.75" hidden="false" customHeight="false" outlineLevel="0" collapsed="false">
      <c r="A843" s="396" t="n">
        <f aca="false">IF(B842+0.01&lt;=T_ini+ROUNDUP(Temps_fin_propu,0), 0.01, IF(K842&gt;0, 0.1, 0.0001))</f>
        <v>0.0001</v>
      </c>
      <c r="B843" s="397" t="n">
        <f aca="false">B842+pas</f>
        <v>32.1338000000013</v>
      </c>
      <c r="D843" s="396" t="n">
        <f aca="false">IF(AND(L842&lt;L_rampe,Poussee&lt;Poids*SIN(M842)),0,(-W842+Poussee)/m*COS(M842)-U842/m*SIN(M842))</f>
        <v>-0.72696135438461</v>
      </c>
      <c r="E843" s="398" t="n">
        <f aca="false">IF(AND(L842&lt;L_rampe,Poussee&lt;Poids*SIN(M842)),0,(-W842+Poussee)/m*SIN(M842)+U842/m*COS(M842)-Poids/m)</f>
        <v>-2.49523524164911</v>
      </c>
      <c r="F843" s="397" t="n">
        <f aca="false">SQRT(acc_x^2+acc_z^2)</f>
        <v>2.59897512914925</v>
      </c>
      <c r="G843" s="396" t="n">
        <f aca="false">G842+acc_x*pas</f>
        <v>11.4727233384992</v>
      </c>
      <c r="H843" s="398" t="n">
        <f aca="false">H842+acc_z*pas</f>
        <v>-115.440779625615</v>
      </c>
      <c r="I843" s="397" t="n">
        <f aca="false">SQRT(vit_x^2+vit_z^2)</f>
        <v>116.009469360788</v>
      </c>
      <c r="J843" s="396" t="n">
        <f aca="false">J842+0.5*(vit_x+G842)*pas*(K842&gt;=0)</f>
        <v>690.928492655337</v>
      </c>
      <c r="K843" s="398" t="n">
        <f aca="false">K842+0.5*(vit_z+H842)*pas</f>
        <v>-12.5050753098111</v>
      </c>
      <c r="L843" s="397" t="n">
        <f aca="false">SQRT(pos_x^2+pos_z^2)</f>
        <v>691.04164771125</v>
      </c>
      <c r="M843" s="396" t="n">
        <f aca="false">IF(AND(L842&gt;L_rampe,G843&gt;0),ATAN2(G843,H843),$M$4)</f>
        <v>-1.47173969769682</v>
      </c>
      <c r="N843" s="397" t="n">
        <f aca="false">DEGREES(Beta)</f>
        <v>-84.3244732198873</v>
      </c>
      <c r="P843" s="399" t="n">
        <f aca="false">MATCH(t-pas/2-T_ini,CdP_t)</f>
        <v>23</v>
      </c>
      <c r="Q843" s="397" t="n">
        <f aca="false">(INDEX(CdP,2,i_P+1)-INDEX(CdP,2,i_P+0))/(INDEX(CdP,1,i_P+1)-INDEX(CdP,1,i_P+0))*(t-pas/2-T_ini-INDEX(CdP,1,i_P+0))+INDEX(CdP,2,i_P+0)</f>
        <v>0</v>
      </c>
      <c r="R843" s="396" t="n">
        <f aca="false">Poussee/(g*ISP)</f>
        <v>0</v>
      </c>
      <c r="S843" s="398" t="n">
        <f aca="false">S842-Débit*pas</f>
        <v>8.45</v>
      </c>
      <c r="T843" s="397" t="n">
        <f aca="false">m*g</f>
        <v>82.8945</v>
      </c>
      <c r="U843" s="400" t="n">
        <f aca="false">IF(pos_xz&lt;L_rampe,Poids*COS(Beta),0)</f>
        <v>0</v>
      </c>
      <c r="V843" s="396" t="n">
        <f aca="false">Rho_moyen*(20000-Alt_rampe-pos_z)/(20000+Alt_rampe+pos_z)</f>
        <v>1.22653283013326</v>
      </c>
      <c r="W843" s="397" t="n">
        <f aca="false">1/2*Rho*Sref*Cx*vit_xz^2</f>
        <v>62.1145873940208</v>
      </c>
      <c r="Y843" s="408" t="str">
        <f aca="false">IF(AND(pos_z&lt;=0,K842&gt;0),"Impact balistique","") &amp; IF(AND(H844&lt;0,vit_z&gt;=0),"Apogée","") &amp; IF(AND(Poussee=0,Q842&gt;0),"Fin de propulsion","") &amp; IF(AND(L844&gt;L_rampe,pos_xz&lt;=L_rampe),"Sortie de rampe","")</f>
        <v/>
      </c>
      <c r="Z843" s="402" t="str">
        <f aca="false">IF(ABS(t-T_para)&lt;pas/2,"Para","")</f>
        <v/>
      </c>
      <c r="AA843" s="403" t="str">
        <f aca="false">IF(ABS(t-T_satellite)&lt;pas/2,"Satellite","")</f>
        <v/>
      </c>
      <c r="AC843" s="399" t="e">
        <f aca="false">IF(ABS(t-ROUND(t,0))&lt;0.001,t,NA())</f>
        <v>#N/A</v>
      </c>
      <c r="AD843" s="404" t="e">
        <f aca="false">IF(ABS(t-ROUND(t,0))&lt;0.001,pos_x,NA())</f>
        <v>#N/A</v>
      </c>
      <c r="AE843" s="405" t="e">
        <f aca="false">IF(t&lt;T_para, pos_z, NA())</f>
        <v>#N/A</v>
      </c>
      <c r="AG843" s="396" t="n">
        <f aca="false">IF(AND(L842&lt;L_rampe,Poussee&lt;Poids*SIN(M842)),0,(-W842+Poussee)/m-Poids*SIN(M842)/m)</f>
        <v>2.41110990825044</v>
      </c>
      <c r="AH843" s="397" t="n">
        <f aca="false">IF(AND(L842&lt;L_rampe,Poussee&lt;Poids*SIN(M842)), g*SIN(M842), (-W842+Poussee)/m)</f>
        <v>-7.35079970348675</v>
      </c>
    </row>
    <row r="844" customFormat="false" ht="12.75" hidden="false" customHeight="false" outlineLevel="0" collapsed="false">
      <c r="A844" s="396" t="n">
        <f aca="false">IF(B843+0.01&lt;=T_ini+ROUNDUP(Temps_fin_propu,0), 0.01, IF(K843&gt;0, 0.1, 0.0001))</f>
        <v>0.0001</v>
      </c>
      <c r="B844" s="397" t="n">
        <f aca="false">B843+pas</f>
        <v>32.1339000000013</v>
      </c>
      <c r="D844" s="396" t="n">
        <f aca="false">IF(AND(L843&lt;L_rampe,Poussee&lt;Poids*SIN(M843)),0,(-W843+Poussee)/m*COS(M843)-U843/m*SIN(M843))</f>
        <v>-0.726959098169468</v>
      </c>
      <c r="E844" s="398" t="n">
        <f aca="false">IF(AND(L843&lt;L_rampe,Poussee&lt;Poids*SIN(M843)),0,(-W843+Poussee)/m*SIN(M843)+U843/m*COS(M843)-Poids/m)</f>
        <v>-2.49519578372441</v>
      </c>
      <c r="F844" s="397" t="n">
        <f aca="false">SQRT(acc_x^2+acc_z^2)</f>
        <v>2.59893661514232</v>
      </c>
      <c r="G844" s="396" t="n">
        <f aca="false">G843+acc_x*pas</f>
        <v>11.4726506425894</v>
      </c>
      <c r="H844" s="398" t="n">
        <f aca="false">H843+acc_z*pas</f>
        <v>-115.441029145194</v>
      </c>
      <c r="I844" s="397" t="n">
        <f aca="false">SQRT(vit_x^2+vit_z^2)</f>
        <v>116.009710467996</v>
      </c>
      <c r="J844" s="396" t="n">
        <f aca="false">J843+0.5*(vit_x+G843)*pas*(K843&gt;=0)</f>
        <v>690.928492655337</v>
      </c>
      <c r="K844" s="398" t="n">
        <f aca="false">K843+0.5*(vit_z+H843)*pas</f>
        <v>-12.5166194002496</v>
      </c>
      <c r="L844" s="397" t="n">
        <f aca="false">SQRT(pos_x^2+pos_z^2)</f>
        <v>691.041856709264</v>
      </c>
      <c r="M844" s="396" t="n">
        <f aca="false">IF(AND(L843&gt;L_rampe,G844&gt;0),ATAN2(G844,H844),$M$4)</f>
        <v>-1.47174053396918</v>
      </c>
      <c r="N844" s="397" t="n">
        <f aca="false">DEGREES(Beta)</f>
        <v>-84.3245211347643</v>
      </c>
      <c r="P844" s="399" t="n">
        <f aca="false">MATCH(t-pas/2-T_ini,CdP_t)</f>
        <v>23</v>
      </c>
      <c r="Q844" s="397" t="n">
        <f aca="false">(INDEX(CdP,2,i_P+1)-INDEX(CdP,2,i_P+0))/(INDEX(CdP,1,i_P+1)-INDEX(CdP,1,i_P+0))*(t-pas/2-T_ini-INDEX(CdP,1,i_P+0))+INDEX(CdP,2,i_P+0)</f>
        <v>0</v>
      </c>
      <c r="R844" s="396" t="n">
        <f aca="false">Poussee/(g*ISP)</f>
        <v>0</v>
      </c>
      <c r="S844" s="398" t="n">
        <f aca="false">S843-Débit*pas</f>
        <v>8.45</v>
      </c>
      <c r="T844" s="397" t="n">
        <f aca="false">m*g</f>
        <v>82.8945</v>
      </c>
      <c r="U844" s="400" t="n">
        <f aca="false">IF(pos_xz&lt;L_rampe,Poids*COS(Beta),0)</f>
        <v>0</v>
      </c>
      <c r="V844" s="396" t="n">
        <f aca="false">Rho_moyen*(20000-Alt_rampe-pos_z)/(20000+Alt_rampe+pos_z)</f>
        <v>1.22653424605523</v>
      </c>
      <c r="W844" s="397" t="n">
        <f aca="false">1/2*Rho*Sref*Cx*vit_xz^2</f>
        <v>62.1149172908553</v>
      </c>
      <c r="Y844" s="408" t="str">
        <f aca="false">IF(AND(pos_z&lt;=0,K843&gt;0),"Impact balistique","") &amp; IF(AND(H845&lt;0,vit_z&gt;=0),"Apogée","") &amp; IF(AND(Poussee=0,Q843&gt;0),"Fin de propulsion","") &amp; IF(AND(L845&gt;L_rampe,pos_xz&lt;=L_rampe),"Sortie de rampe","")</f>
        <v/>
      </c>
      <c r="Z844" s="402" t="str">
        <f aca="false">IF(ABS(t-T_para)&lt;pas/2,"Para","")</f>
        <v/>
      </c>
      <c r="AA844" s="403" t="str">
        <f aca="false">IF(ABS(t-T_satellite)&lt;pas/2,"Satellite","")</f>
        <v/>
      </c>
      <c r="AC844" s="399" t="e">
        <f aca="false">IF(ABS(t-ROUND(t,0))&lt;0.001,t,NA())</f>
        <v>#N/A</v>
      </c>
      <c r="AD844" s="404" t="e">
        <f aca="false">IF(ABS(t-ROUND(t,0))&lt;0.001,pos_x,NA())</f>
        <v>#N/A</v>
      </c>
      <c r="AE844" s="405" t="e">
        <f aca="false">IF(t&lt;T_para, pos_z, NA())</f>
        <v>#N/A</v>
      </c>
      <c r="AG844" s="396" t="n">
        <f aca="false">IF(AND(L843&lt;L_rampe,Poussee&lt;Poids*SIN(M843)),0,(-W843+Poussee)/m-Poids*SIN(M843)/m)</f>
        <v>2.4110716782102</v>
      </c>
      <c r="AH844" s="397" t="n">
        <f aca="false">IF(AND(L843&lt;L_rampe,Poussee&lt;Poids*SIN(M843)), g*SIN(M843), (-W843+Poussee)/m)</f>
        <v>-7.35083874485453</v>
      </c>
    </row>
    <row r="845" customFormat="false" ht="12.75" hidden="false" customHeight="false" outlineLevel="0" collapsed="false">
      <c r="A845" s="396" t="n">
        <f aca="false">IF(B844+0.01&lt;=T_ini+ROUNDUP(Temps_fin_propu,0), 0.01, IF(K844&gt;0, 0.1, 0.0001))</f>
        <v>0.0001</v>
      </c>
      <c r="B845" s="397" t="n">
        <f aca="false">B844+pas</f>
        <v>32.1340000000013</v>
      </c>
      <c r="D845" s="396" t="n">
        <f aca="false">IF(AND(L844&lt;L_rampe,Poussee&lt;Poids*SIN(M844)),0,(-W844+Poussee)/m*COS(M844)-U844/m*SIN(M844))</f>
        <v>-0.726956841921154</v>
      </c>
      <c r="E845" s="398" t="n">
        <f aca="false">IF(AND(L844&lt;L_rampe,Poussee&lt;Poids*SIN(M844)),0,(-W844+Poussee)/m*SIN(M844)+U844/m*COS(M844)-Poids/m)</f>
        <v>-2.49515632612545</v>
      </c>
      <c r="F845" s="397" t="n">
        <f aca="false">SQRT(acc_x^2+acc_z^2)</f>
        <v>2.59889810146913</v>
      </c>
      <c r="G845" s="396" t="n">
        <f aca="false">G844+acc_x*pas</f>
        <v>11.4725779469052</v>
      </c>
      <c r="H845" s="398" t="n">
        <f aca="false">H844+acc_z*pas</f>
        <v>-115.441278660826</v>
      </c>
      <c r="I845" s="397" t="n">
        <f aca="false">SQRT(vit_x^2+vit_z^2)</f>
        <v>116.009951571382</v>
      </c>
      <c r="J845" s="396" t="n">
        <f aca="false">J844+0.5*(vit_x+G844)*pas*(K844&gt;=0)</f>
        <v>690.928492655337</v>
      </c>
      <c r="K845" s="398" t="n">
        <f aca="false">K844+0.5*(vit_z+H844)*pas</f>
        <v>-12.5281635156399</v>
      </c>
      <c r="L845" s="397" t="n">
        <f aca="false">SQRT(pos_x^2+pos_z^2)</f>
        <v>691.042065900514</v>
      </c>
      <c r="M845" s="396" t="n">
        <f aca="false">IF(AND(L844&gt;L_rampe,G845&gt;0),ATAN2(G845,H845),$M$4)</f>
        <v>-1.47174137023277</v>
      </c>
      <c r="N845" s="397" t="n">
        <f aca="false">DEGREES(Beta)</f>
        <v>-84.3245690491385</v>
      </c>
      <c r="P845" s="399" t="n">
        <f aca="false">MATCH(t-pas/2-T_ini,CdP_t)</f>
        <v>23</v>
      </c>
      <c r="Q845" s="397" t="n">
        <f aca="false">(INDEX(CdP,2,i_P+1)-INDEX(CdP,2,i_P+0))/(INDEX(CdP,1,i_P+1)-INDEX(CdP,1,i_P+0))*(t-pas/2-T_ini-INDEX(CdP,1,i_P+0))+INDEX(CdP,2,i_P+0)</f>
        <v>0</v>
      </c>
      <c r="R845" s="396" t="n">
        <f aca="false">Poussee/(g*ISP)</f>
        <v>0</v>
      </c>
      <c r="S845" s="398" t="n">
        <f aca="false">S844-Débit*pas</f>
        <v>8.45</v>
      </c>
      <c r="T845" s="397" t="n">
        <f aca="false">m*g</f>
        <v>82.8945</v>
      </c>
      <c r="U845" s="400" t="n">
        <f aca="false">IF(pos_xz&lt;L_rampe,Poids*COS(Beta),0)</f>
        <v>0</v>
      </c>
      <c r="V845" s="396" t="n">
        <f aca="false">Rho_moyen*(20000-Alt_rampe-pos_z)/(20000+Alt_rampe+pos_z)</f>
        <v>1.22653566198189</v>
      </c>
      <c r="W845" s="397" t="n">
        <f aca="false">1/2*Rho*Sref*Cx*vit_xz^2</f>
        <v>62.1152471849664</v>
      </c>
      <c r="Y845" s="408" t="str">
        <f aca="false">IF(AND(pos_z&lt;=0,K844&gt;0),"Impact balistique","") &amp; IF(AND(H846&lt;0,vit_z&gt;=0),"Apogée","") &amp; IF(AND(Poussee=0,Q844&gt;0),"Fin de propulsion","") &amp; IF(AND(L846&gt;L_rampe,pos_xz&lt;=L_rampe),"Sortie de rampe","")</f>
        <v/>
      </c>
      <c r="Z845" s="402" t="str">
        <f aca="false">IF(ABS(t-T_para)&lt;pas/2,"Para","")</f>
        <v/>
      </c>
      <c r="AA845" s="403" t="str">
        <f aca="false">IF(ABS(t-T_satellite)&lt;pas/2,"Satellite","")</f>
        <v/>
      </c>
      <c r="AC845" s="399" t="e">
        <f aca="false">IF(ABS(t-ROUND(t,0))&lt;0.001,t,NA())</f>
        <v>#N/A</v>
      </c>
      <c r="AD845" s="404" t="e">
        <f aca="false">IF(ABS(t-ROUND(t,0))&lt;0.001,pos_x,NA())</f>
        <v>#N/A</v>
      </c>
      <c r="AE845" s="405" t="e">
        <f aca="false">IF(t&lt;T_para, pos_z, NA())</f>
        <v>#N/A</v>
      </c>
      <c r="AG845" s="396" t="n">
        <f aca="false">IF(AND(L844&lt;L_rampe,Poussee&lt;Poids*SIN(M844)),0,(-W844+Poussee)/m-Poids*SIN(M844)/m)</f>
        <v>2.4110334484769</v>
      </c>
      <c r="AH845" s="397" t="n">
        <f aca="false">IF(AND(L844&lt;L_rampe,Poussee&lt;Poids*SIN(M844)), g*SIN(M844), (-W844+Poussee)/m)</f>
        <v>-7.35087778590003</v>
      </c>
    </row>
    <row r="846" customFormat="false" ht="12.75" hidden="false" customHeight="false" outlineLevel="0" collapsed="false">
      <c r="A846" s="396" t="n">
        <f aca="false">IF(B845+0.01&lt;=T_ini+ROUNDUP(Temps_fin_propu,0), 0.01, IF(K845&gt;0, 0.1, 0.0001))</f>
        <v>0.0001</v>
      </c>
      <c r="B846" s="397" t="n">
        <f aca="false">B845+pas</f>
        <v>32.1341000000013</v>
      </c>
      <c r="D846" s="396" t="n">
        <f aca="false">IF(AND(L845&lt;L_rampe,Poussee&lt;Poids*SIN(M845)),0,(-W845+Poussee)/m*COS(M845)-U845/m*SIN(M845))</f>
        <v>-0.726954585639672</v>
      </c>
      <c r="E846" s="398" t="n">
        <f aca="false">IF(AND(L845&lt;L_rampe,Poussee&lt;Poids*SIN(M845)),0,(-W845+Poussee)/m*SIN(M845)+U845/m*COS(M845)-Poids/m)</f>
        <v>-2.49511686885224</v>
      </c>
      <c r="F846" s="397" t="n">
        <f aca="false">SQRT(acc_x^2+acc_z^2)</f>
        <v>2.59885958812967</v>
      </c>
      <c r="G846" s="396" t="n">
        <f aca="false">G845+acc_x*pas</f>
        <v>11.4725052514466</v>
      </c>
      <c r="H846" s="398" t="n">
        <f aca="false">H845+acc_z*pas</f>
        <v>-115.441528172513</v>
      </c>
      <c r="I846" s="397" t="n">
        <f aca="false">SQRT(vit_x^2+vit_z^2)</f>
        <v>116.010192670944</v>
      </c>
      <c r="J846" s="396" t="n">
        <f aca="false">J845+0.5*(vit_x+G845)*pas*(K845&gt;=0)</f>
        <v>690.928492655337</v>
      </c>
      <c r="K846" s="398" t="n">
        <f aca="false">K845+0.5*(vit_z+H845)*pas</f>
        <v>-12.5397076559816</v>
      </c>
      <c r="L846" s="397" t="n">
        <f aca="false">SQRT(pos_x^2+pos_z^2)</f>
        <v>691.042275285003</v>
      </c>
      <c r="M846" s="396" t="n">
        <f aca="false">IF(AND(L845&gt;L_rampe,G846&gt;0),ATAN2(G846,H846),$M$4)</f>
        <v>-1.47174220648758</v>
      </c>
      <c r="N846" s="397" t="n">
        <f aca="false">DEGREES(Beta)</f>
        <v>-84.3246169630099</v>
      </c>
      <c r="P846" s="399" t="n">
        <f aca="false">MATCH(t-pas/2-T_ini,CdP_t)</f>
        <v>23</v>
      </c>
      <c r="Q846" s="397" t="n">
        <f aca="false">(INDEX(CdP,2,i_P+1)-INDEX(CdP,2,i_P+0))/(INDEX(CdP,1,i_P+1)-INDEX(CdP,1,i_P+0))*(t-pas/2-T_ini-INDEX(CdP,1,i_P+0))+INDEX(CdP,2,i_P+0)</f>
        <v>0</v>
      </c>
      <c r="R846" s="396" t="n">
        <f aca="false">Poussee/(g*ISP)</f>
        <v>0</v>
      </c>
      <c r="S846" s="398" t="n">
        <f aca="false">S845-Débit*pas</f>
        <v>8.45</v>
      </c>
      <c r="T846" s="397" t="n">
        <f aca="false">m*g</f>
        <v>82.8945</v>
      </c>
      <c r="U846" s="400" t="n">
        <f aca="false">IF(pos_xz&lt;L_rampe,Poids*COS(Beta),0)</f>
        <v>0</v>
      </c>
      <c r="V846" s="396" t="n">
        <f aca="false">Rho_moyen*(20000-Alt_rampe-pos_z)/(20000+Alt_rampe+pos_z)</f>
        <v>1.22653707791324</v>
      </c>
      <c r="W846" s="397" t="n">
        <f aca="false">1/2*Rho*Sref*Cx*vit_xz^2</f>
        <v>62.1155770763542</v>
      </c>
      <c r="Y846" s="408" t="str">
        <f aca="false">IF(AND(pos_z&lt;=0,K845&gt;0),"Impact balistique","") &amp; IF(AND(H847&lt;0,vit_z&gt;=0),"Apogée","") &amp; IF(AND(Poussee=0,Q845&gt;0),"Fin de propulsion","") &amp; IF(AND(L847&gt;L_rampe,pos_xz&lt;=L_rampe),"Sortie de rampe","")</f>
        <v/>
      </c>
      <c r="Z846" s="402" t="str">
        <f aca="false">IF(ABS(t-T_para)&lt;pas/2,"Para","")</f>
        <v/>
      </c>
      <c r="AA846" s="403" t="str">
        <f aca="false">IF(ABS(t-T_satellite)&lt;pas/2,"Satellite","")</f>
        <v/>
      </c>
      <c r="AC846" s="399" t="e">
        <f aca="false">IF(ABS(t-ROUND(t,0))&lt;0.001,t,NA())</f>
        <v>#N/A</v>
      </c>
      <c r="AD846" s="404" t="e">
        <f aca="false">IF(ABS(t-ROUND(t,0))&lt;0.001,pos_x,NA())</f>
        <v>#N/A</v>
      </c>
      <c r="AE846" s="405" t="e">
        <f aca="false">IF(t&lt;T_para, pos_z, NA())</f>
        <v>#N/A</v>
      </c>
      <c r="AG846" s="396" t="n">
        <f aca="false">IF(AND(L845&lt;L_rampe,Poussee&lt;Poids*SIN(M845)),0,(-W845+Poussee)/m-Poids*SIN(M845)/m)</f>
        <v>2.41099521905056</v>
      </c>
      <c r="AH846" s="397" t="n">
        <f aca="false">IF(AND(L845&lt;L_rampe,Poussee&lt;Poids*SIN(M845)), g*SIN(M845), (-W845+Poussee)/m)</f>
        <v>-7.35091682662324</v>
      </c>
    </row>
    <row r="847" customFormat="false" ht="12.75" hidden="false" customHeight="false" outlineLevel="0" collapsed="false">
      <c r="A847" s="396" t="n">
        <f aca="false">IF(B846+0.01&lt;=T_ini+ROUNDUP(Temps_fin_propu,0), 0.01, IF(K846&gt;0, 0.1, 0.0001))</f>
        <v>0.0001</v>
      </c>
      <c r="B847" s="397" t="n">
        <f aca="false">B846+pas</f>
        <v>32.1342000000013</v>
      </c>
      <c r="D847" s="396" t="n">
        <f aca="false">IF(AND(L846&lt;L_rampe,Poussee&lt;Poids*SIN(M846)),0,(-W846+Poussee)/m*COS(M846)-U846/m*SIN(M846))</f>
        <v>-0.726952329325019</v>
      </c>
      <c r="E847" s="398" t="n">
        <f aca="false">IF(AND(L846&lt;L_rampe,Poussee&lt;Poids*SIN(M846)),0,(-W846+Poussee)/m*SIN(M846)+U846/m*COS(M846)-Poids/m)</f>
        <v>-2.49507741190477</v>
      </c>
      <c r="F847" s="397" t="n">
        <f aca="false">SQRT(acc_x^2+acc_z^2)</f>
        <v>2.59882107512396</v>
      </c>
      <c r="G847" s="396" t="n">
        <f aca="false">G846+acc_x*pas</f>
        <v>11.4724325562137</v>
      </c>
      <c r="H847" s="398" t="n">
        <f aca="false">H846+acc_z*pas</f>
        <v>-115.441777680254</v>
      </c>
      <c r="I847" s="397" t="n">
        <f aca="false">SQRT(vit_x^2+vit_z^2)</f>
        <v>116.010433766684</v>
      </c>
      <c r="J847" s="396" t="n">
        <f aca="false">J846+0.5*(vit_x+G846)*pas*(K846&gt;=0)</f>
        <v>690.928492655337</v>
      </c>
      <c r="K847" s="398" t="n">
        <f aca="false">K846+0.5*(vit_z+H846)*pas</f>
        <v>-12.5512518212742</v>
      </c>
      <c r="L847" s="397" t="n">
        <f aca="false">SQRT(pos_x^2+pos_z^2)</f>
        <v>691.04248486273</v>
      </c>
      <c r="M847" s="396" t="n">
        <f aca="false">IF(AND(L846&gt;L_rampe,G847&gt;0),ATAN2(G847,H847),$M$4)</f>
        <v>-1.47174304273362</v>
      </c>
      <c r="N847" s="397" t="n">
        <f aca="false">DEGREES(Beta)</f>
        <v>-84.3246648763786</v>
      </c>
      <c r="P847" s="399" t="n">
        <f aca="false">MATCH(t-pas/2-T_ini,CdP_t)</f>
        <v>23</v>
      </c>
      <c r="Q847" s="397" t="n">
        <f aca="false">(INDEX(CdP,2,i_P+1)-INDEX(CdP,2,i_P+0))/(INDEX(CdP,1,i_P+1)-INDEX(CdP,1,i_P+0))*(t-pas/2-T_ini-INDEX(CdP,1,i_P+0))+INDEX(CdP,2,i_P+0)</f>
        <v>0</v>
      </c>
      <c r="R847" s="396" t="n">
        <f aca="false">Poussee/(g*ISP)</f>
        <v>0</v>
      </c>
      <c r="S847" s="398" t="n">
        <f aca="false">S846-Débit*pas</f>
        <v>8.45</v>
      </c>
      <c r="T847" s="397" t="n">
        <f aca="false">m*g</f>
        <v>82.8945</v>
      </c>
      <c r="U847" s="400" t="n">
        <f aca="false">IF(pos_xz&lt;L_rampe,Poids*COS(Beta),0)</f>
        <v>0</v>
      </c>
      <c r="V847" s="396" t="n">
        <f aca="false">Rho_moyen*(20000-Alt_rampe-pos_z)/(20000+Alt_rampe+pos_z)</f>
        <v>1.22653849384929</v>
      </c>
      <c r="W847" s="397" t="n">
        <f aca="false">1/2*Rho*Sref*Cx*vit_xz^2</f>
        <v>62.1159069650186</v>
      </c>
      <c r="Y847" s="408" t="str">
        <f aca="false">IF(AND(pos_z&lt;=0,K846&gt;0),"Impact balistique","") &amp; IF(AND(H848&lt;0,vit_z&gt;=0),"Apogée","") &amp; IF(AND(Poussee=0,Q846&gt;0),"Fin de propulsion","") &amp; IF(AND(L848&gt;L_rampe,pos_xz&lt;=L_rampe),"Sortie de rampe","")</f>
        <v/>
      </c>
      <c r="Z847" s="402" t="str">
        <f aca="false">IF(ABS(t-T_para)&lt;pas/2,"Para","")</f>
        <v/>
      </c>
      <c r="AA847" s="403" t="str">
        <f aca="false">IF(ABS(t-T_satellite)&lt;pas/2,"Satellite","")</f>
        <v/>
      </c>
      <c r="AC847" s="399" t="e">
        <f aca="false">IF(ABS(t-ROUND(t,0))&lt;0.001,t,NA())</f>
        <v>#N/A</v>
      </c>
      <c r="AD847" s="404" t="e">
        <f aca="false">IF(ABS(t-ROUND(t,0))&lt;0.001,pos_x,NA())</f>
        <v>#N/A</v>
      </c>
      <c r="AE847" s="405" t="e">
        <f aca="false">IF(t&lt;T_para, pos_z, NA())</f>
        <v>#N/A</v>
      </c>
      <c r="AG847" s="396" t="n">
        <f aca="false">IF(AND(L846&lt;L_rampe,Poussee&lt;Poids*SIN(M846)),0,(-W846+Poussee)/m-Poids*SIN(M846)/m)</f>
        <v>2.41095698993115</v>
      </c>
      <c r="AH847" s="397" t="n">
        <f aca="false">IF(AND(L846&lt;L_rampe,Poussee&lt;Poids*SIN(M846)), g*SIN(M846), (-W846+Poussee)/m)</f>
        <v>-7.35095586702416</v>
      </c>
    </row>
    <row r="848" customFormat="false" ht="12.75" hidden="false" customHeight="false" outlineLevel="0" collapsed="false">
      <c r="A848" s="396" t="n">
        <f aca="false">IF(B847+0.01&lt;=T_ini+ROUNDUP(Temps_fin_propu,0), 0.01, IF(K847&gt;0, 0.1, 0.0001))</f>
        <v>0.0001</v>
      </c>
      <c r="B848" s="397" t="n">
        <f aca="false">B847+pas</f>
        <v>32.1343000000013</v>
      </c>
      <c r="D848" s="396" t="n">
        <f aca="false">IF(AND(L847&lt;L_rampe,Poussee&lt;Poids*SIN(M847)),0,(-W847+Poussee)/m*COS(M847)-U847/m*SIN(M847))</f>
        <v>-0.726950072977199</v>
      </c>
      <c r="E848" s="398" t="n">
        <f aca="false">IF(AND(L847&lt;L_rampe,Poussee&lt;Poids*SIN(M847)),0,(-W847+Poussee)/m*SIN(M847)+U847/m*COS(M847)-Poids/m)</f>
        <v>-2.49503795528305</v>
      </c>
      <c r="F848" s="397" t="n">
        <f aca="false">SQRT(acc_x^2+acc_z^2)</f>
        <v>2.598782562452</v>
      </c>
      <c r="G848" s="396" t="n">
        <f aca="false">G847+acc_x*pas</f>
        <v>11.4723598612064</v>
      </c>
      <c r="H848" s="398" t="n">
        <f aca="false">H847+acc_z*pas</f>
        <v>-115.44202718405</v>
      </c>
      <c r="I848" s="397" t="n">
        <f aca="false">SQRT(vit_x^2+vit_z^2)</f>
        <v>116.0106748586</v>
      </c>
      <c r="J848" s="396" t="n">
        <f aca="false">J847+0.5*(vit_x+G847)*pas*(K847&gt;=0)</f>
        <v>690.928492655337</v>
      </c>
      <c r="K848" s="398" t="n">
        <f aca="false">K847+0.5*(vit_z+H847)*pas</f>
        <v>-12.5627960115174</v>
      </c>
      <c r="L848" s="397" t="n">
        <f aca="false">SQRT(pos_x^2+pos_z^2)</f>
        <v>691.042694633698</v>
      </c>
      <c r="M848" s="396" t="n">
        <f aca="false">IF(AND(L847&gt;L_rampe,G848&gt;0),ATAN2(G848,H848),$M$4)</f>
        <v>-1.47174387897089</v>
      </c>
      <c r="N848" s="397" t="n">
        <f aca="false">DEGREES(Beta)</f>
        <v>-84.3247127892445</v>
      </c>
      <c r="P848" s="399" t="n">
        <f aca="false">MATCH(t-pas/2-T_ini,CdP_t)</f>
        <v>23</v>
      </c>
      <c r="Q848" s="397" t="n">
        <f aca="false">(INDEX(CdP,2,i_P+1)-INDEX(CdP,2,i_P+0))/(INDEX(CdP,1,i_P+1)-INDEX(CdP,1,i_P+0))*(t-pas/2-T_ini-INDEX(CdP,1,i_P+0))+INDEX(CdP,2,i_P+0)</f>
        <v>0</v>
      </c>
      <c r="R848" s="396" t="n">
        <f aca="false">Poussee/(g*ISP)</f>
        <v>0</v>
      </c>
      <c r="S848" s="398" t="n">
        <f aca="false">S847-Débit*pas</f>
        <v>8.45</v>
      </c>
      <c r="T848" s="397" t="n">
        <f aca="false">m*g</f>
        <v>82.8945</v>
      </c>
      <c r="U848" s="400" t="n">
        <f aca="false">IF(pos_xz&lt;L_rampe,Poids*COS(Beta),0)</f>
        <v>0</v>
      </c>
      <c r="V848" s="396" t="n">
        <f aca="false">Rho_moyen*(20000-Alt_rampe-pos_z)/(20000+Alt_rampe+pos_z)</f>
        <v>1.22653990979004</v>
      </c>
      <c r="W848" s="397" t="n">
        <f aca="false">1/2*Rho*Sref*Cx*vit_xz^2</f>
        <v>62.1162368509597</v>
      </c>
      <c r="Y848" s="408" t="str">
        <f aca="false">IF(AND(pos_z&lt;=0,K847&gt;0),"Impact balistique","") &amp; IF(AND(H849&lt;0,vit_z&gt;=0),"Apogée","") &amp; IF(AND(Poussee=0,Q847&gt;0),"Fin de propulsion","") &amp; IF(AND(L849&gt;L_rampe,pos_xz&lt;=L_rampe),"Sortie de rampe","")</f>
        <v/>
      </c>
      <c r="Z848" s="402" t="str">
        <f aca="false">IF(ABS(t-T_para)&lt;pas/2,"Para","")</f>
        <v/>
      </c>
      <c r="AA848" s="403" t="str">
        <f aca="false">IF(ABS(t-T_satellite)&lt;pas/2,"Satellite","")</f>
        <v/>
      </c>
      <c r="AC848" s="399" t="e">
        <f aca="false">IF(ABS(t-ROUND(t,0))&lt;0.001,t,NA())</f>
        <v>#N/A</v>
      </c>
      <c r="AD848" s="404" t="e">
        <f aca="false">IF(ABS(t-ROUND(t,0))&lt;0.001,pos_x,NA())</f>
        <v>#N/A</v>
      </c>
      <c r="AE848" s="405" t="e">
        <f aca="false">IF(t&lt;T_para, pos_z, NA())</f>
        <v>#N/A</v>
      </c>
      <c r="AG848" s="396" t="n">
        <f aca="false">IF(AND(L847&lt;L_rampe,Poussee&lt;Poids*SIN(M847)),0,(-W847+Poussee)/m-Poids*SIN(M847)/m)</f>
        <v>2.4109187611187</v>
      </c>
      <c r="AH848" s="397" t="n">
        <f aca="false">IF(AND(L847&lt;L_rampe,Poussee&lt;Poids*SIN(M847)), g*SIN(M847), (-W847+Poussee)/m)</f>
        <v>-7.35099490710279</v>
      </c>
    </row>
    <row r="849" customFormat="false" ht="12.75" hidden="false" customHeight="false" outlineLevel="0" collapsed="false">
      <c r="A849" s="396" t="n">
        <f aca="false">IF(B848+0.01&lt;=T_ini+ROUNDUP(Temps_fin_propu,0), 0.01, IF(K848&gt;0, 0.1, 0.0001))</f>
        <v>0.0001</v>
      </c>
      <c r="B849" s="397" t="n">
        <f aca="false">B848+pas</f>
        <v>32.1344000000013</v>
      </c>
      <c r="D849" s="396" t="n">
        <f aca="false">IF(AND(L848&lt;L_rampe,Poussee&lt;Poids*SIN(M848)),0,(-W848+Poussee)/m*COS(M848)-U848/m*SIN(M848))</f>
        <v>-0.72694781659621</v>
      </c>
      <c r="E849" s="398" t="n">
        <f aca="false">IF(AND(L848&lt;L_rampe,Poussee&lt;Poids*SIN(M848)),0,(-W848+Poussee)/m*SIN(M848)+U848/m*COS(M848)-Poids/m)</f>
        <v>-2.49499849898707</v>
      </c>
      <c r="F849" s="397" t="n">
        <f aca="false">SQRT(acc_x^2+acc_z^2)</f>
        <v>2.59874405011377</v>
      </c>
      <c r="G849" s="396" t="n">
        <f aca="false">G848+acc_x*pas</f>
        <v>11.4722871664248</v>
      </c>
      <c r="H849" s="398" t="n">
        <f aca="false">H848+acc_z*pas</f>
        <v>-115.4422766839</v>
      </c>
      <c r="I849" s="397" t="n">
        <f aca="false">SQRT(vit_x^2+vit_z^2)</f>
        <v>116.010915946694</v>
      </c>
      <c r="J849" s="396" t="n">
        <f aca="false">J848+0.5*(vit_x+G848)*pas*(K848&gt;=0)</f>
        <v>690.928492655337</v>
      </c>
      <c r="K849" s="398" t="n">
        <f aca="false">K848+0.5*(vit_z+H848)*pas</f>
        <v>-12.5743402267108</v>
      </c>
      <c r="L849" s="397" t="n">
        <f aca="false">SQRT(pos_x^2+pos_z^2)</f>
        <v>691.042904597908</v>
      </c>
      <c r="M849" s="396" t="n">
        <f aca="false">IF(AND(L848&gt;L_rampe,G849&gt;0),ATAN2(G849,H849),$M$4)</f>
        <v>-1.47174471519938</v>
      </c>
      <c r="N849" s="397" t="n">
        <f aca="false">DEGREES(Beta)</f>
        <v>-84.3247607016077</v>
      </c>
      <c r="P849" s="399" t="n">
        <f aca="false">MATCH(t-pas/2-T_ini,CdP_t)</f>
        <v>23</v>
      </c>
      <c r="Q849" s="397" t="n">
        <f aca="false">(INDEX(CdP,2,i_P+1)-INDEX(CdP,2,i_P+0))/(INDEX(CdP,1,i_P+1)-INDEX(CdP,1,i_P+0))*(t-pas/2-T_ini-INDEX(CdP,1,i_P+0))+INDEX(CdP,2,i_P+0)</f>
        <v>0</v>
      </c>
      <c r="R849" s="396" t="n">
        <f aca="false">Poussee/(g*ISP)</f>
        <v>0</v>
      </c>
      <c r="S849" s="398" t="n">
        <f aca="false">S848-Débit*pas</f>
        <v>8.45</v>
      </c>
      <c r="T849" s="397" t="n">
        <f aca="false">m*g</f>
        <v>82.8945</v>
      </c>
      <c r="U849" s="400" t="n">
        <f aca="false">IF(pos_xz&lt;L_rampe,Poids*COS(Beta),0)</f>
        <v>0</v>
      </c>
      <c r="V849" s="396" t="n">
        <f aca="false">Rho_moyen*(20000-Alt_rampe-pos_z)/(20000+Alt_rampe+pos_z)</f>
        <v>1.22654132573548</v>
      </c>
      <c r="W849" s="397" t="n">
        <f aca="false">1/2*Rho*Sref*Cx*vit_xz^2</f>
        <v>62.1165667341775</v>
      </c>
      <c r="Y849" s="408" t="str">
        <f aca="false">IF(AND(pos_z&lt;=0,K848&gt;0),"Impact balistique","") &amp; IF(AND(H850&lt;0,vit_z&gt;=0),"Apogée","") &amp; IF(AND(Poussee=0,Q848&gt;0),"Fin de propulsion","") &amp; IF(AND(L850&gt;L_rampe,pos_xz&lt;=L_rampe),"Sortie de rampe","")</f>
        <v/>
      </c>
      <c r="Z849" s="402" t="str">
        <f aca="false">IF(ABS(t-T_para)&lt;pas/2,"Para","")</f>
        <v/>
      </c>
      <c r="AA849" s="403" t="str">
        <f aca="false">IF(ABS(t-T_satellite)&lt;pas/2,"Satellite","")</f>
        <v/>
      </c>
      <c r="AC849" s="399" t="e">
        <f aca="false">IF(ABS(t-ROUND(t,0))&lt;0.001,t,NA())</f>
        <v>#N/A</v>
      </c>
      <c r="AD849" s="404" t="e">
        <f aca="false">IF(ABS(t-ROUND(t,0))&lt;0.001,pos_x,NA())</f>
        <v>#N/A</v>
      </c>
      <c r="AE849" s="405" t="e">
        <f aca="false">IF(t&lt;T_para, pos_z, NA())</f>
        <v>#N/A</v>
      </c>
      <c r="AG849" s="396" t="n">
        <f aca="false">IF(AND(L848&lt;L_rampe,Poussee&lt;Poids*SIN(M848)),0,(-W848+Poussee)/m-Poids*SIN(M848)/m)</f>
        <v>2.4108805326132</v>
      </c>
      <c r="AH849" s="397" t="n">
        <f aca="false">IF(AND(L848&lt;L_rampe,Poussee&lt;Poids*SIN(M848)), g*SIN(M848), (-W848+Poussee)/m)</f>
        <v>-7.35103394685914</v>
      </c>
    </row>
    <row r="850" customFormat="false" ht="12.75" hidden="false" customHeight="false" outlineLevel="0" collapsed="false">
      <c r="A850" s="396" t="n">
        <f aca="false">IF(B849+0.01&lt;=T_ini+ROUNDUP(Temps_fin_propu,0), 0.01, IF(K849&gt;0, 0.1, 0.0001))</f>
        <v>0.0001</v>
      </c>
      <c r="B850" s="397" t="n">
        <f aca="false">B849+pas</f>
        <v>32.1345000000013</v>
      </c>
      <c r="D850" s="396" t="n">
        <f aca="false">IF(AND(L849&lt;L_rampe,Poussee&lt;Poids*SIN(M849)),0,(-W849+Poussee)/m*COS(M849)-U849/m*SIN(M849))</f>
        <v>-0.726945560182056</v>
      </c>
      <c r="E850" s="398" t="n">
        <f aca="false">IF(AND(L849&lt;L_rampe,Poussee&lt;Poids*SIN(M849)),0,(-W849+Poussee)/m*SIN(M849)+U849/m*COS(M849)-Poids/m)</f>
        <v>-2.49495904301684</v>
      </c>
      <c r="F850" s="397" t="n">
        <f aca="false">SQRT(acc_x^2+acc_z^2)</f>
        <v>2.5987055381093</v>
      </c>
      <c r="G850" s="396" t="n">
        <f aca="false">G849+acc_x*pas</f>
        <v>11.4722144718687</v>
      </c>
      <c r="H850" s="398" t="n">
        <f aca="false">H849+acc_z*pas</f>
        <v>-115.442526179804</v>
      </c>
      <c r="I850" s="397" t="n">
        <f aca="false">SQRT(vit_x^2+vit_z^2)</f>
        <v>116.011157030965</v>
      </c>
      <c r="J850" s="396" t="n">
        <f aca="false">J849+0.5*(vit_x+G849)*pas*(K849&gt;=0)</f>
        <v>690.928492655337</v>
      </c>
      <c r="K850" s="398" t="n">
        <f aca="false">K849+0.5*(vit_z+H849)*pas</f>
        <v>-12.585884466854</v>
      </c>
      <c r="L850" s="397" t="n">
        <f aca="false">SQRT(pos_x^2+pos_z^2)</f>
        <v>691.043114755359</v>
      </c>
      <c r="M850" s="396" t="n">
        <f aca="false">IF(AND(L849&gt;L_rampe,G850&gt;0),ATAN2(G850,H850),$M$4)</f>
        <v>-1.47174555141909</v>
      </c>
      <c r="N850" s="397" t="n">
        <f aca="false">DEGREES(Beta)</f>
        <v>-84.3248086134682</v>
      </c>
      <c r="P850" s="399" t="n">
        <f aca="false">MATCH(t-pas/2-T_ini,CdP_t)</f>
        <v>23</v>
      </c>
      <c r="Q850" s="397" t="n">
        <f aca="false">(INDEX(CdP,2,i_P+1)-INDEX(CdP,2,i_P+0))/(INDEX(CdP,1,i_P+1)-INDEX(CdP,1,i_P+0))*(t-pas/2-T_ini-INDEX(CdP,1,i_P+0))+INDEX(CdP,2,i_P+0)</f>
        <v>0</v>
      </c>
      <c r="R850" s="396" t="n">
        <f aca="false">Poussee/(g*ISP)</f>
        <v>0</v>
      </c>
      <c r="S850" s="398" t="n">
        <f aca="false">S849-Débit*pas</f>
        <v>8.45</v>
      </c>
      <c r="T850" s="397" t="n">
        <f aca="false">m*g</f>
        <v>82.8945</v>
      </c>
      <c r="U850" s="400" t="n">
        <f aca="false">IF(pos_xz&lt;L_rampe,Poids*COS(Beta),0)</f>
        <v>0</v>
      </c>
      <c r="V850" s="396" t="n">
        <f aca="false">Rho_moyen*(20000-Alt_rampe-pos_z)/(20000+Alt_rampe+pos_z)</f>
        <v>1.22654274168562</v>
      </c>
      <c r="W850" s="397" t="n">
        <f aca="false">1/2*Rho*Sref*Cx*vit_xz^2</f>
        <v>62.1168966146719</v>
      </c>
      <c r="Y850" s="408" t="str">
        <f aca="false">IF(AND(pos_z&lt;=0,K849&gt;0),"Impact balistique","") &amp; IF(AND(H851&lt;0,vit_z&gt;=0),"Apogée","") &amp; IF(AND(Poussee=0,Q849&gt;0),"Fin de propulsion","") &amp; IF(AND(L851&gt;L_rampe,pos_xz&lt;=L_rampe),"Sortie de rampe","")</f>
        <v/>
      </c>
      <c r="Z850" s="402" t="str">
        <f aca="false">IF(ABS(t-T_para)&lt;pas/2,"Para","")</f>
        <v/>
      </c>
      <c r="AA850" s="403" t="str">
        <f aca="false">IF(ABS(t-T_satellite)&lt;pas/2,"Satellite","")</f>
        <v/>
      </c>
      <c r="AC850" s="399" t="e">
        <f aca="false">IF(ABS(t-ROUND(t,0))&lt;0.001,t,NA())</f>
        <v>#N/A</v>
      </c>
      <c r="AD850" s="404" t="e">
        <f aca="false">IF(ABS(t-ROUND(t,0))&lt;0.001,pos_x,NA())</f>
        <v>#N/A</v>
      </c>
      <c r="AE850" s="405" t="e">
        <f aca="false">IF(t&lt;T_para, pos_z, NA())</f>
        <v>#N/A</v>
      </c>
      <c r="AG850" s="396" t="n">
        <f aca="false">IF(AND(L849&lt;L_rampe,Poussee&lt;Poids*SIN(M849)),0,(-W849+Poussee)/m-Poids*SIN(M849)/m)</f>
        <v>2.41084230441464</v>
      </c>
      <c r="AH850" s="397" t="n">
        <f aca="false">IF(AND(L849&lt;L_rampe,Poussee&lt;Poids*SIN(M849)), g*SIN(M849), (-W849+Poussee)/m)</f>
        <v>-7.35107298629319</v>
      </c>
    </row>
    <row r="851" customFormat="false" ht="12.75" hidden="false" customHeight="false" outlineLevel="0" collapsed="false">
      <c r="A851" s="396" t="n">
        <f aca="false">IF(B850+0.01&lt;=T_ini+ROUNDUP(Temps_fin_propu,0), 0.01, IF(K850&gt;0, 0.1, 0.0001))</f>
        <v>0.0001</v>
      </c>
      <c r="B851" s="397" t="n">
        <f aca="false">B850+pas</f>
        <v>32.1346000000013</v>
      </c>
      <c r="D851" s="396" t="n">
        <f aca="false">IF(AND(L850&lt;L_rampe,Poussee&lt;Poids*SIN(M850)),0,(-W850+Poussee)/m*COS(M850)-U850/m*SIN(M850))</f>
        <v>-0.726943303734735</v>
      </c>
      <c r="E851" s="398" t="n">
        <f aca="false">IF(AND(L850&lt;L_rampe,Poussee&lt;Poids*SIN(M850)),0,(-W850+Poussee)/m*SIN(M850)+U850/m*COS(M850)-Poids/m)</f>
        <v>-2.49491958737236</v>
      </c>
      <c r="F851" s="397" t="n">
        <f aca="false">SQRT(acc_x^2+acc_z^2)</f>
        <v>2.59866702643856</v>
      </c>
      <c r="G851" s="396" t="n">
        <f aca="false">G850+acc_x*pas</f>
        <v>11.4721417775384</v>
      </c>
      <c r="H851" s="398" t="n">
        <f aca="false">H850+acc_z*pas</f>
        <v>-115.442775671763</v>
      </c>
      <c r="I851" s="397" t="n">
        <f aca="false">SQRT(vit_x^2+vit_z^2)</f>
        <v>116.011398111414</v>
      </c>
      <c r="J851" s="396" t="n">
        <f aca="false">J850+0.5*(vit_x+G850)*pas*(K850&gt;=0)</f>
        <v>690.928492655337</v>
      </c>
      <c r="K851" s="398" t="n">
        <f aca="false">K850+0.5*(vit_z+H850)*pas</f>
        <v>-12.5974287319466</v>
      </c>
      <c r="L851" s="397" t="n">
        <f aca="false">SQRT(pos_x^2+pos_z^2)</f>
        <v>691.043325106055</v>
      </c>
      <c r="M851" s="396" t="n">
        <f aca="false">IF(AND(L850&gt;L_rampe,G851&gt;0),ATAN2(G851,H851),$M$4)</f>
        <v>-1.47174638763004</v>
      </c>
      <c r="N851" s="397" t="n">
        <f aca="false">DEGREES(Beta)</f>
        <v>-84.324856524826</v>
      </c>
      <c r="P851" s="399" t="n">
        <f aca="false">MATCH(t-pas/2-T_ini,CdP_t)</f>
        <v>23</v>
      </c>
      <c r="Q851" s="397" t="n">
        <f aca="false">(INDEX(CdP,2,i_P+1)-INDEX(CdP,2,i_P+0))/(INDEX(CdP,1,i_P+1)-INDEX(CdP,1,i_P+0))*(t-pas/2-T_ini-INDEX(CdP,1,i_P+0))+INDEX(CdP,2,i_P+0)</f>
        <v>0</v>
      </c>
      <c r="R851" s="396" t="n">
        <f aca="false">Poussee/(g*ISP)</f>
        <v>0</v>
      </c>
      <c r="S851" s="398" t="n">
        <f aca="false">S850-Débit*pas</f>
        <v>8.45</v>
      </c>
      <c r="T851" s="397" t="n">
        <f aca="false">m*g</f>
        <v>82.8945</v>
      </c>
      <c r="U851" s="400" t="n">
        <f aca="false">IF(pos_xz&lt;L_rampe,Poids*COS(Beta),0)</f>
        <v>0</v>
      </c>
      <c r="V851" s="396" t="n">
        <f aca="false">Rho_moyen*(20000-Alt_rampe-pos_z)/(20000+Alt_rampe+pos_z)</f>
        <v>1.22654415764046</v>
      </c>
      <c r="W851" s="397" t="n">
        <f aca="false">1/2*Rho*Sref*Cx*vit_xz^2</f>
        <v>62.1172264924429</v>
      </c>
      <c r="Y851" s="408" t="str">
        <f aca="false">IF(AND(pos_z&lt;=0,K850&gt;0),"Impact balistique","") &amp; IF(AND(H852&lt;0,vit_z&gt;=0),"Apogée","") &amp; IF(AND(Poussee=0,Q850&gt;0),"Fin de propulsion","") &amp; IF(AND(L852&gt;L_rampe,pos_xz&lt;=L_rampe),"Sortie de rampe","")</f>
        <v/>
      </c>
      <c r="Z851" s="402" t="str">
        <f aca="false">IF(ABS(t-T_para)&lt;pas/2,"Para","")</f>
        <v/>
      </c>
      <c r="AA851" s="403" t="str">
        <f aca="false">IF(ABS(t-T_satellite)&lt;pas/2,"Satellite","")</f>
        <v/>
      </c>
      <c r="AC851" s="399" t="e">
        <f aca="false">IF(ABS(t-ROUND(t,0))&lt;0.001,t,NA())</f>
        <v>#N/A</v>
      </c>
      <c r="AD851" s="404" t="e">
        <f aca="false">IF(ABS(t-ROUND(t,0))&lt;0.001,pos_x,NA())</f>
        <v>#N/A</v>
      </c>
      <c r="AE851" s="405" t="e">
        <f aca="false">IF(t&lt;T_para, pos_z, NA())</f>
        <v>#N/A</v>
      </c>
      <c r="AG851" s="396" t="n">
        <f aca="false">IF(AND(L850&lt;L_rampe,Poussee&lt;Poids*SIN(M850)),0,(-W850+Poussee)/m-Poids*SIN(M850)/m)</f>
        <v>2.41080407652304</v>
      </c>
      <c r="AH851" s="397" t="n">
        <f aca="false">IF(AND(L850&lt;L_rampe,Poussee&lt;Poids*SIN(M850)), g*SIN(M850), (-W850+Poussee)/m)</f>
        <v>-7.35111202540496</v>
      </c>
    </row>
    <row r="852" customFormat="false" ht="12.75" hidden="false" customHeight="false" outlineLevel="0" collapsed="false">
      <c r="A852" s="396" t="n">
        <f aca="false">IF(B851+0.01&lt;=T_ini+ROUNDUP(Temps_fin_propu,0), 0.01, IF(K851&gt;0, 0.1, 0.0001))</f>
        <v>0.0001</v>
      </c>
      <c r="B852" s="397" t="n">
        <f aca="false">B851+pas</f>
        <v>32.1347000000013</v>
      </c>
      <c r="D852" s="396" t="n">
        <f aca="false">IF(AND(L851&lt;L_rampe,Poussee&lt;Poids*SIN(M851)),0,(-W851+Poussee)/m*COS(M851)-U851/m*SIN(M851))</f>
        <v>-0.726941047254248</v>
      </c>
      <c r="E852" s="398" t="n">
        <f aca="false">IF(AND(L851&lt;L_rampe,Poussee&lt;Poids*SIN(M851)),0,(-W851+Poussee)/m*SIN(M851)+U851/m*COS(M851)-Poids/m)</f>
        <v>-2.49488013205362</v>
      </c>
      <c r="F852" s="397" t="n">
        <f aca="false">SQRT(acc_x^2+acc_z^2)</f>
        <v>2.59862851510157</v>
      </c>
      <c r="G852" s="396" t="n">
        <f aca="false">G851+acc_x*pas</f>
        <v>11.4720690834336</v>
      </c>
      <c r="H852" s="398" t="n">
        <f aca="false">H851+acc_z*pas</f>
        <v>-115.443025159776</v>
      </c>
      <c r="I852" s="397" t="n">
        <f aca="false">SQRT(vit_x^2+vit_z^2)</f>
        <v>116.011639188039</v>
      </c>
      <c r="J852" s="396" t="n">
        <f aca="false">J851+0.5*(vit_x+G851)*pas*(K851&gt;=0)</f>
        <v>690.928492655337</v>
      </c>
      <c r="K852" s="398" t="n">
        <f aca="false">K851+0.5*(vit_z+H851)*pas</f>
        <v>-12.6089730219882</v>
      </c>
      <c r="L852" s="397" t="n">
        <f aca="false">SQRT(pos_x^2+pos_z^2)</f>
        <v>691.043535649994</v>
      </c>
      <c r="M852" s="396" t="n">
        <f aca="false">IF(AND(L851&gt;L_rampe,G852&gt;0),ATAN2(G852,H852),$M$4)</f>
        <v>-1.4717472238322</v>
      </c>
      <c r="N852" s="397" t="n">
        <f aca="false">DEGREES(Beta)</f>
        <v>-84.324904435681</v>
      </c>
      <c r="P852" s="399" t="n">
        <f aca="false">MATCH(t-pas/2-T_ini,CdP_t)</f>
        <v>23</v>
      </c>
      <c r="Q852" s="397" t="n">
        <f aca="false">(INDEX(CdP,2,i_P+1)-INDEX(CdP,2,i_P+0))/(INDEX(CdP,1,i_P+1)-INDEX(CdP,1,i_P+0))*(t-pas/2-T_ini-INDEX(CdP,1,i_P+0))+INDEX(CdP,2,i_P+0)</f>
        <v>0</v>
      </c>
      <c r="R852" s="396" t="n">
        <f aca="false">Poussee/(g*ISP)</f>
        <v>0</v>
      </c>
      <c r="S852" s="398" t="n">
        <f aca="false">S851-Débit*pas</f>
        <v>8.45</v>
      </c>
      <c r="T852" s="397" t="n">
        <f aca="false">m*g</f>
        <v>82.8945</v>
      </c>
      <c r="U852" s="400" t="n">
        <f aca="false">IF(pos_xz&lt;L_rampe,Poids*COS(Beta),0)</f>
        <v>0</v>
      </c>
      <c r="V852" s="396" t="n">
        <f aca="false">Rho_moyen*(20000-Alt_rampe-pos_z)/(20000+Alt_rampe+pos_z)</f>
        <v>1.22654557359998</v>
      </c>
      <c r="W852" s="397" t="n">
        <f aca="false">1/2*Rho*Sref*Cx*vit_xz^2</f>
        <v>62.1175563674906</v>
      </c>
      <c r="Y852" s="408" t="str">
        <f aca="false">IF(AND(pos_z&lt;=0,K851&gt;0),"Impact balistique","") &amp; IF(AND(H853&lt;0,vit_z&gt;=0),"Apogée","") &amp; IF(AND(Poussee=0,Q851&gt;0),"Fin de propulsion","") &amp; IF(AND(L853&gt;L_rampe,pos_xz&lt;=L_rampe),"Sortie de rampe","")</f>
        <v/>
      </c>
      <c r="Z852" s="402" t="str">
        <f aca="false">IF(ABS(t-T_para)&lt;pas/2,"Para","")</f>
        <v/>
      </c>
      <c r="AA852" s="403" t="str">
        <f aca="false">IF(ABS(t-T_satellite)&lt;pas/2,"Satellite","")</f>
        <v/>
      </c>
      <c r="AC852" s="399" t="e">
        <f aca="false">IF(ABS(t-ROUND(t,0))&lt;0.001,t,NA())</f>
        <v>#N/A</v>
      </c>
      <c r="AD852" s="404" t="e">
        <f aca="false">IF(ABS(t-ROUND(t,0))&lt;0.001,pos_x,NA())</f>
        <v>#N/A</v>
      </c>
      <c r="AE852" s="405" t="e">
        <f aca="false">IF(t&lt;T_para, pos_z, NA())</f>
        <v>#N/A</v>
      </c>
      <c r="AG852" s="396" t="n">
        <f aca="false">IF(AND(L851&lt;L_rampe,Poussee&lt;Poids*SIN(M851)),0,(-W851+Poussee)/m-Poids*SIN(M851)/m)</f>
        <v>2.41076584893839</v>
      </c>
      <c r="AH852" s="397" t="n">
        <f aca="false">IF(AND(L851&lt;L_rampe,Poussee&lt;Poids*SIN(M851)), g*SIN(M851), (-W851+Poussee)/m)</f>
        <v>-7.35115106419443</v>
      </c>
    </row>
    <row r="853" customFormat="false" ht="12.75" hidden="false" customHeight="false" outlineLevel="0" collapsed="false">
      <c r="A853" s="396" t="n">
        <f aca="false">IF(B852+0.01&lt;=T_ini+ROUNDUP(Temps_fin_propu,0), 0.01, IF(K852&gt;0, 0.1, 0.0001))</f>
        <v>0.0001</v>
      </c>
      <c r="B853" s="397" t="n">
        <f aca="false">B852+pas</f>
        <v>32.1348000000013</v>
      </c>
      <c r="D853" s="396" t="n">
        <f aca="false">IF(AND(L852&lt;L_rampe,Poussee&lt;Poids*SIN(M852)),0,(-W852+Poussee)/m*COS(M852)-U852/m*SIN(M852))</f>
        <v>-0.726938790740598</v>
      </c>
      <c r="E853" s="398" t="n">
        <f aca="false">IF(AND(L852&lt;L_rampe,Poussee&lt;Poids*SIN(M852)),0,(-W852+Poussee)/m*SIN(M852)+U852/m*COS(M852)-Poids/m)</f>
        <v>-2.49484067706064</v>
      </c>
      <c r="F853" s="397" t="n">
        <f aca="false">SQRT(acc_x^2+acc_z^2)</f>
        <v>2.59859000409834</v>
      </c>
      <c r="G853" s="396" t="n">
        <f aca="false">G852+acc_x*pas</f>
        <v>11.4719963895546</v>
      </c>
      <c r="H853" s="398" t="n">
        <f aca="false">H852+acc_z*pas</f>
        <v>-115.443274643844</v>
      </c>
      <c r="I853" s="397" t="n">
        <f aca="false">SQRT(vit_x^2+vit_z^2)</f>
        <v>116.011880260842</v>
      </c>
      <c r="J853" s="396" t="n">
        <f aca="false">J852+0.5*(vit_x+G852)*pas*(K852&gt;=0)</f>
        <v>690.928492655337</v>
      </c>
      <c r="K853" s="398" t="n">
        <f aca="false">K852+0.5*(vit_z+H852)*pas</f>
        <v>-12.6205173369784</v>
      </c>
      <c r="L853" s="397" t="n">
        <f aca="false">SQRT(pos_x^2+pos_z^2)</f>
        <v>691.04374638718</v>
      </c>
      <c r="M853" s="396" t="n">
        <f aca="false">IF(AND(L852&gt;L_rampe,G853&gt;0),ATAN2(G853,H853),$M$4)</f>
        <v>-1.4717480600256</v>
      </c>
      <c r="N853" s="397" t="n">
        <f aca="false">DEGREES(Beta)</f>
        <v>-84.3249523460333</v>
      </c>
      <c r="P853" s="399" t="n">
        <f aca="false">MATCH(t-pas/2-T_ini,CdP_t)</f>
        <v>23</v>
      </c>
      <c r="Q853" s="397" t="n">
        <f aca="false">(INDEX(CdP,2,i_P+1)-INDEX(CdP,2,i_P+0))/(INDEX(CdP,1,i_P+1)-INDEX(CdP,1,i_P+0))*(t-pas/2-T_ini-INDEX(CdP,1,i_P+0))+INDEX(CdP,2,i_P+0)</f>
        <v>0</v>
      </c>
      <c r="R853" s="396" t="n">
        <f aca="false">Poussee/(g*ISP)</f>
        <v>0</v>
      </c>
      <c r="S853" s="398" t="n">
        <f aca="false">S852-Débit*pas</f>
        <v>8.45</v>
      </c>
      <c r="T853" s="397" t="n">
        <f aca="false">m*g</f>
        <v>82.8945</v>
      </c>
      <c r="U853" s="400" t="n">
        <f aca="false">IF(pos_xz&lt;L_rampe,Poids*COS(Beta),0)</f>
        <v>0</v>
      </c>
      <c r="V853" s="396" t="n">
        <f aca="false">Rho_moyen*(20000-Alt_rampe-pos_z)/(20000+Alt_rampe+pos_z)</f>
        <v>1.22654698956421</v>
      </c>
      <c r="W853" s="397" t="n">
        <f aca="false">1/2*Rho*Sref*Cx*vit_xz^2</f>
        <v>62.117886239815</v>
      </c>
      <c r="Y853" s="408" t="str">
        <f aca="false">IF(AND(pos_z&lt;=0,K852&gt;0),"Impact balistique","") &amp; IF(AND(H854&lt;0,vit_z&gt;=0),"Apogée","") &amp; IF(AND(Poussee=0,Q852&gt;0),"Fin de propulsion","") &amp; IF(AND(L854&gt;L_rampe,pos_xz&lt;=L_rampe),"Sortie de rampe","")</f>
        <v/>
      </c>
      <c r="Z853" s="402" t="str">
        <f aca="false">IF(ABS(t-T_para)&lt;pas/2,"Para","")</f>
        <v/>
      </c>
      <c r="AA853" s="403" t="str">
        <f aca="false">IF(ABS(t-T_satellite)&lt;pas/2,"Satellite","")</f>
        <v/>
      </c>
      <c r="AC853" s="399" t="e">
        <f aca="false">IF(ABS(t-ROUND(t,0))&lt;0.001,t,NA())</f>
        <v>#N/A</v>
      </c>
      <c r="AD853" s="404" t="e">
        <f aca="false">IF(ABS(t-ROUND(t,0))&lt;0.001,pos_x,NA())</f>
        <v>#N/A</v>
      </c>
      <c r="AE853" s="405" t="e">
        <f aca="false">IF(t&lt;T_para, pos_z, NA())</f>
        <v>#N/A</v>
      </c>
      <c r="AG853" s="396" t="n">
        <f aca="false">IF(AND(L852&lt;L_rampe,Poussee&lt;Poids*SIN(M852)),0,(-W852+Poussee)/m-Poids*SIN(M852)/m)</f>
        <v>2.41072762166069</v>
      </c>
      <c r="AH853" s="397" t="n">
        <f aca="false">IF(AND(L852&lt;L_rampe,Poussee&lt;Poids*SIN(M852)), g*SIN(M852), (-W852+Poussee)/m)</f>
        <v>-7.35119010266161</v>
      </c>
    </row>
    <row r="854" customFormat="false" ht="12.75" hidden="false" customHeight="false" outlineLevel="0" collapsed="false">
      <c r="A854" s="396" t="n">
        <f aca="false">IF(B853+0.01&lt;=T_ini+ROUNDUP(Temps_fin_propu,0), 0.01, IF(K853&gt;0, 0.1, 0.0001))</f>
        <v>0.0001</v>
      </c>
      <c r="B854" s="397" t="n">
        <f aca="false">B853+pas</f>
        <v>32.1349000000013</v>
      </c>
      <c r="D854" s="396" t="n">
        <f aca="false">IF(AND(L853&lt;L_rampe,Poussee&lt;Poids*SIN(M853)),0,(-W853+Poussee)/m*COS(M853)-U853/m*SIN(M853))</f>
        <v>-0.726936534193785</v>
      </c>
      <c r="E854" s="398" t="n">
        <f aca="false">IF(AND(L853&lt;L_rampe,Poussee&lt;Poids*SIN(M853)),0,(-W853+Poussee)/m*SIN(M853)+U853/m*COS(M853)-Poids/m)</f>
        <v>-2.4948012223934</v>
      </c>
      <c r="F854" s="397" t="n">
        <f aca="false">SQRT(acc_x^2+acc_z^2)</f>
        <v>2.59855149342884</v>
      </c>
      <c r="G854" s="396" t="n">
        <f aca="false">G853+acc_x*pas</f>
        <v>11.4719236959011</v>
      </c>
      <c r="H854" s="398" t="n">
        <f aca="false">H853+acc_z*pas</f>
        <v>-115.443524123966</v>
      </c>
      <c r="I854" s="397" t="n">
        <f aca="false">SQRT(vit_x^2+vit_z^2)</f>
        <v>116.012121329822</v>
      </c>
      <c r="J854" s="396" t="n">
        <f aca="false">J853+0.5*(vit_x+G853)*pas*(K853&gt;=0)</f>
        <v>690.928492655337</v>
      </c>
      <c r="K854" s="398" t="n">
        <f aca="false">K853+0.5*(vit_z+H853)*pas</f>
        <v>-12.6320616769167</v>
      </c>
      <c r="L854" s="397" t="n">
        <f aca="false">SQRT(pos_x^2+pos_z^2)</f>
        <v>691.043957317612</v>
      </c>
      <c r="M854" s="396" t="n">
        <f aca="false">IF(AND(L853&gt;L_rampe,G854&gt;0),ATAN2(G854,H854),$M$4)</f>
        <v>-1.47174889621022</v>
      </c>
      <c r="N854" s="397" t="n">
        <f aca="false">DEGREES(Beta)</f>
        <v>-84.3250002558829</v>
      </c>
      <c r="P854" s="399" t="n">
        <f aca="false">MATCH(t-pas/2-T_ini,CdP_t)</f>
        <v>23</v>
      </c>
      <c r="Q854" s="397" t="n">
        <f aca="false">(INDEX(CdP,2,i_P+1)-INDEX(CdP,2,i_P+0))/(INDEX(CdP,1,i_P+1)-INDEX(CdP,1,i_P+0))*(t-pas/2-T_ini-INDEX(CdP,1,i_P+0))+INDEX(CdP,2,i_P+0)</f>
        <v>0</v>
      </c>
      <c r="R854" s="396" t="n">
        <f aca="false">Poussee/(g*ISP)</f>
        <v>0</v>
      </c>
      <c r="S854" s="398" t="n">
        <f aca="false">S853-Débit*pas</f>
        <v>8.45</v>
      </c>
      <c r="T854" s="397" t="n">
        <f aca="false">m*g</f>
        <v>82.8945</v>
      </c>
      <c r="U854" s="400" t="n">
        <f aca="false">IF(pos_xz&lt;L_rampe,Poids*COS(Beta),0)</f>
        <v>0</v>
      </c>
      <c r="V854" s="396" t="n">
        <f aca="false">Rho_moyen*(20000-Alt_rampe-pos_z)/(20000+Alt_rampe+pos_z)</f>
        <v>1.22654840553313</v>
      </c>
      <c r="W854" s="397" t="n">
        <f aca="false">1/2*Rho*Sref*Cx*vit_xz^2</f>
        <v>62.118216109416</v>
      </c>
      <c r="Y854" s="408" t="str">
        <f aca="false">IF(AND(pos_z&lt;=0,K853&gt;0),"Impact balistique","") &amp; IF(AND(H855&lt;0,vit_z&gt;=0),"Apogée","") &amp; IF(AND(Poussee=0,Q853&gt;0),"Fin de propulsion","") &amp; IF(AND(L855&gt;L_rampe,pos_xz&lt;=L_rampe),"Sortie de rampe","")</f>
        <v/>
      </c>
      <c r="Z854" s="402" t="str">
        <f aca="false">IF(ABS(t-T_para)&lt;pas/2,"Para","")</f>
        <v/>
      </c>
      <c r="AA854" s="403" t="str">
        <f aca="false">IF(ABS(t-T_satellite)&lt;pas/2,"Satellite","")</f>
        <v/>
      </c>
      <c r="AC854" s="399" t="e">
        <f aca="false">IF(ABS(t-ROUND(t,0))&lt;0.001,t,NA())</f>
        <v>#N/A</v>
      </c>
      <c r="AD854" s="404" t="e">
        <f aca="false">IF(ABS(t-ROUND(t,0))&lt;0.001,pos_x,NA())</f>
        <v>#N/A</v>
      </c>
      <c r="AE854" s="405" t="e">
        <f aca="false">IF(t&lt;T_para, pos_z, NA())</f>
        <v>#N/A</v>
      </c>
      <c r="AG854" s="396" t="n">
        <f aca="false">IF(AND(L853&lt;L_rampe,Poussee&lt;Poids*SIN(M853)),0,(-W853+Poussee)/m-Poids*SIN(M853)/m)</f>
        <v>2.41068939468995</v>
      </c>
      <c r="AH854" s="397" t="n">
        <f aca="false">IF(AND(L853&lt;L_rampe,Poussee&lt;Poids*SIN(M853)), g*SIN(M853), (-W853+Poussee)/m)</f>
        <v>-7.35122914080651</v>
      </c>
    </row>
    <row r="855" customFormat="false" ht="12.75" hidden="false" customHeight="false" outlineLevel="0" collapsed="false">
      <c r="A855" s="396" t="n">
        <f aca="false">IF(B854+0.01&lt;=T_ini+ROUNDUP(Temps_fin_propu,0), 0.01, IF(K854&gt;0, 0.1, 0.0001))</f>
        <v>0.0001</v>
      </c>
      <c r="B855" s="397" t="n">
        <f aca="false">B854+pas</f>
        <v>32.1350000000014</v>
      </c>
      <c r="D855" s="396" t="n">
        <f aca="false">IF(AND(L854&lt;L_rampe,Poussee&lt;Poids*SIN(M854)),0,(-W854+Poussee)/m*COS(M854)-U854/m*SIN(M854))</f>
        <v>-0.726934277613807</v>
      </c>
      <c r="E855" s="398" t="n">
        <f aca="false">IF(AND(L854&lt;L_rampe,Poussee&lt;Poids*SIN(M854)),0,(-W854+Poussee)/m*SIN(M854)+U854/m*COS(M854)-Poids/m)</f>
        <v>-2.49476176805191</v>
      </c>
      <c r="F855" s="397" t="n">
        <f aca="false">SQRT(acc_x^2+acc_z^2)</f>
        <v>2.5985129830931</v>
      </c>
      <c r="G855" s="396" t="n">
        <f aca="false">G854+acc_x*pas</f>
        <v>11.4718510024734</v>
      </c>
      <c r="H855" s="398" t="n">
        <f aca="false">H854+acc_z*pas</f>
        <v>-115.443773600143</v>
      </c>
      <c r="I855" s="397" t="n">
        <f aca="false">SQRT(vit_x^2+vit_z^2)</f>
        <v>116.012362394979</v>
      </c>
      <c r="J855" s="396" t="n">
        <f aca="false">J854+0.5*(vit_x+G854)*pas*(K854&gt;=0)</f>
        <v>690.928492655337</v>
      </c>
      <c r="K855" s="398" t="n">
        <f aca="false">K854+0.5*(vit_z+H854)*pas</f>
        <v>-12.643606041803</v>
      </c>
      <c r="L855" s="397" t="n">
        <f aca="false">SQRT(pos_x^2+pos_z^2)</f>
        <v>691.044168441292</v>
      </c>
      <c r="M855" s="396" t="n">
        <f aca="false">IF(AND(L854&gt;L_rampe,G855&gt;0),ATAN2(G855,H855),$M$4)</f>
        <v>-1.47174973238606</v>
      </c>
      <c r="N855" s="397" t="n">
        <f aca="false">DEGREES(Beta)</f>
        <v>-84.3250481652298</v>
      </c>
      <c r="P855" s="399" t="n">
        <f aca="false">MATCH(t-pas/2-T_ini,CdP_t)</f>
        <v>23</v>
      </c>
      <c r="Q855" s="397" t="n">
        <f aca="false">(INDEX(CdP,2,i_P+1)-INDEX(CdP,2,i_P+0))/(INDEX(CdP,1,i_P+1)-INDEX(CdP,1,i_P+0))*(t-pas/2-T_ini-INDEX(CdP,1,i_P+0))+INDEX(CdP,2,i_P+0)</f>
        <v>0</v>
      </c>
      <c r="R855" s="396" t="n">
        <f aca="false">Poussee/(g*ISP)</f>
        <v>0</v>
      </c>
      <c r="S855" s="398" t="n">
        <f aca="false">S854-Débit*pas</f>
        <v>8.45</v>
      </c>
      <c r="T855" s="397" t="n">
        <f aca="false">m*g</f>
        <v>82.8945</v>
      </c>
      <c r="U855" s="400" t="n">
        <f aca="false">IF(pos_xz&lt;L_rampe,Poids*COS(Beta),0)</f>
        <v>0</v>
      </c>
      <c r="V855" s="396" t="n">
        <f aca="false">Rho_moyen*(20000-Alt_rampe-pos_z)/(20000+Alt_rampe+pos_z)</f>
        <v>1.22654982150675</v>
      </c>
      <c r="W855" s="397" t="n">
        <f aca="false">1/2*Rho*Sref*Cx*vit_xz^2</f>
        <v>62.1185459762936</v>
      </c>
      <c r="Y855" s="408" t="str">
        <f aca="false">IF(AND(pos_z&lt;=0,K854&gt;0),"Impact balistique","") &amp; IF(AND(H856&lt;0,vit_z&gt;=0),"Apogée","") &amp; IF(AND(Poussee=0,Q854&gt;0),"Fin de propulsion","") &amp; IF(AND(L856&gt;L_rampe,pos_xz&lt;=L_rampe),"Sortie de rampe","")</f>
        <v/>
      </c>
      <c r="Z855" s="402" t="str">
        <f aca="false">IF(ABS(t-T_para)&lt;pas/2,"Para","")</f>
        <v/>
      </c>
      <c r="AA855" s="403" t="str">
        <f aca="false">IF(ABS(t-T_satellite)&lt;pas/2,"Satellite","")</f>
        <v/>
      </c>
      <c r="AC855" s="399" t="e">
        <f aca="false">IF(ABS(t-ROUND(t,0))&lt;0.001,t,NA())</f>
        <v>#N/A</v>
      </c>
      <c r="AD855" s="404" t="e">
        <f aca="false">IF(ABS(t-ROUND(t,0))&lt;0.001,pos_x,NA())</f>
        <v>#N/A</v>
      </c>
      <c r="AE855" s="405" t="e">
        <f aca="false">IF(t&lt;T_para, pos_z, NA())</f>
        <v>#N/A</v>
      </c>
      <c r="AG855" s="396" t="n">
        <f aca="false">IF(AND(L854&lt;L_rampe,Poussee&lt;Poids*SIN(M854)),0,(-W854+Poussee)/m-Poids*SIN(M854)/m)</f>
        <v>2.41065116802616</v>
      </c>
      <c r="AH855" s="397" t="n">
        <f aca="false">IF(AND(L854&lt;L_rampe,Poussee&lt;Poids*SIN(M854)), g*SIN(M854), (-W854+Poussee)/m)</f>
        <v>-7.35126817862911</v>
      </c>
    </row>
    <row r="856" customFormat="false" ht="12.75" hidden="false" customHeight="false" outlineLevel="0" collapsed="false">
      <c r="A856" s="396" t="n">
        <f aca="false">IF(B855+0.01&lt;=T_ini+ROUNDUP(Temps_fin_propu,0), 0.01, IF(K855&gt;0, 0.1, 0.0001))</f>
        <v>0.0001</v>
      </c>
      <c r="B856" s="397" t="n">
        <f aca="false">B855+pas</f>
        <v>32.1351000000014</v>
      </c>
      <c r="D856" s="396" t="n">
        <f aca="false">IF(AND(L855&lt;L_rampe,Poussee&lt;Poids*SIN(M855)),0,(-W855+Poussee)/m*COS(M855)-U855/m*SIN(M855))</f>
        <v>-0.726932021000669</v>
      </c>
      <c r="E856" s="398" t="n">
        <f aca="false">IF(AND(L855&lt;L_rampe,Poussee&lt;Poids*SIN(M855)),0,(-W855+Poussee)/m*SIN(M855)+U855/m*COS(M855)-Poids/m)</f>
        <v>-2.49472231403617</v>
      </c>
      <c r="F856" s="397" t="n">
        <f aca="false">SQRT(acc_x^2+acc_z^2)</f>
        <v>2.5984744730911</v>
      </c>
      <c r="G856" s="396" t="n">
        <f aca="false">G855+acc_x*pas</f>
        <v>11.4717783092713</v>
      </c>
      <c r="H856" s="398" t="n">
        <f aca="false">H855+acc_z*pas</f>
        <v>-115.444023072374</v>
      </c>
      <c r="I856" s="397" t="n">
        <f aca="false">SQRT(vit_x^2+vit_z^2)</f>
        <v>116.012603456314</v>
      </c>
      <c r="J856" s="396" t="n">
        <f aca="false">J855+0.5*(vit_x+G855)*pas*(K855&gt;=0)</f>
        <v>690.928492655337</v>
      </c>
      <c r="K856" s="398" t="n">
        <f aca="false">K855+0.5*(vit_z+H855)*pas</f>
        <v>-12.6551504316366</v>
      </c>
      <c r="L856" s="397" t="n">
        <f aca="false">SQRT(pos_x^2+pos_z^2)</f>
        <v>691.04437975822</v>
      </c>
      <c r="M856" s="396" t="n">
        <f aca="false">IF(AND(L855&gt;L_rampe,G856&gt;0),ATAN2(G856,H856),$M$4)</f>
        <v>-1.47175056855314</v>
      </c>
      <c r="N856" s="397" t="n">
        <f aca="false">DEGREES(Beta)</f>
        <v>-84.3250960740741</v>
      </c>
      <c r="P856" s="399" t="n">
        <f aca="false">MATCH(t-pas/2-T_ini,CdP_t)</f>
        <v>23</v>
      </c>
      <c r="Q856" s="397" t="n">
        <f aca="false">(INDEX(CdP,2,i_P+1)-INDEX(CdP,2,i_P+0))/(INDEX(CdP,1,i_P+1)-INDEX(CdP,1,i_P+0))*(t-pas/2-T_ini-INDEX(CdP,1,i_P+0))+INDEX(CdP,2,i_P+0)</f>
        <v>0</v>
      </c>
      <c r="R856" s="396" t="n">
        <f aca="false">Poussee/(g*ISP)</f>
        <v>0</v>
      </c>
      <c r="S856" s="398" t="n">
        <f aca="false">S855-Débit*pas</f>
        <v>8.45</v>
      </c>
      <c r="T856" s="397" t="n">
        <f aca="false">m*g</f>
        <v>82.8945</v>
      </c>
      <c r="U856" s="400" t="n">
        <f aca="false">IF(pos_xz&lt;L_rampe,Poids*COS(Beta),0)</f>
        <v>0</v>
      </c>
      <c r="V856" s="396" t="n">
        <f aca="false">Rho_moyen*(20000-Alt_rampe-pos_z)/(20000+Alt_rampe+pos_z)</f>
        <v>1.22655123748506</v>
      </c>
      <c r="W856" s="397" t="n">
        <f aca="false">1/2*Rho*Sref*Cx*vit_xz^2</f>
        <v>62.1188758404479</v>
      </c>
      <c r="Y856" s="408" t="str">
        <f aca="false">IF(AND(pos_z&lt;=0,K855&gt;0),"Impact balistique","") &amp; IF(AND(H857&lt;0,vit_z&gt;=0),"Apogée","") &amp; IF(AND(Poussee=0,Q855&gt;0),"Fin de propulsion","") &amp; IF(AND(L857&gt;L_rampe,pos_xz&lt;=L_rampe),"Sortie de rampe","")</f>
        <v/>
      </c>
      <c r="Z856" s="402" t="str">
        <f aca="false">IF(ABS(t-T_para)&lt;pas/2,"Para","")</f>
        <v/>
      </c>
      <c r="AA856" s="403" t="str">
        <f aca="false">IF(ABS(t-T_satellite)&lt;pas/2,"Satellite","")</f>
        <v/>
      </c>
      <c r="AC856" s="399" t="e">
        <f aca="false">IF(ABS(t-ROUND(t,0))&lt;0.001,t,NA())</f>
        <v>#N/A</v>
      </c>
      <c r="AD856" s="404" t="e">
        <f aca="false">IF(ABS(t-ROUND(t,0))&lt;0.001,pos_x,NA())</f>
        <v>#N/A</v>
      </c>
      <c r="AE856" s="405" t="e">
        <f aca="false">IF(t&lt;T_para, pos_z, NA())</f>
        <v>#N/A</v>
      </c>
      <c r="AG856" s="396" t="n">
        <f aca="false">IF(AND(L855&lt;L_rampe,Poussee&lt;Poids*SIN(M855)),0,(-W855+Poussee)/m-Poids*SIN(M855)/m)</f>
        <v>2.41061294166933</v>
      </c>
      <c r="AH856" s="397" t="n">
        <f aca="false">IF(AND(L855&lt;L_rampe,Poussee&lt;Poids*SIN(M855)), g*SIN(M855), (-W855+Poussee)/m)</f>
        <v>-7.35130721612942</v>
      </c>
    </row>
    <row r="857" customFormat="false" ht="12.75" hidden="false" customHeight="false" outlineLevel="0" collapsed="false">
      <c r="A857" s="396" t="n">
        <f aca="false">IF(B856+0.01&lt;=T_ini+ROUNDUP(Temps_fin_propu,0), 0.01, IF(K856&gt;0, 0.1, 0.0001))</f>
        <v>0.0001</v>
      </c>
      <c r="B857" s="397" t="n">
        <f aca="false">B856+pas</f>
        <v>32.1352000000014</v>
      </c>
      <c r="D857" s="396" t="n">
        <f aca="false">IF(AND(L856&lt;L_rampe,Poussee&lt;Poids*SIN(M856)),0,(-W856+Poussee)/m*COS(M856)-U856/m*SIN(M856))</f>
        <v>-0.726929764354368</v>
      </c>
      <c r="E857" s="398" t="n">
        <f aca="false">IF(AND(L856&lt;L_rampe,Poussee&lt;Poids*SIN(M856)),0,(-W856+Poussee)/m*SIN(M856)+U856/m*COS(M856)-Poids/m)</f>
        <v>-2.49468286034618</v>
      </c>
      <c r="F857" s="397" t="n">
        <f aca="false">SQRT(acc_x^2+acc_z^2)</f>
        <v>2.59843596342286</v>
      </c>
      <c r="G857" s="396" t="n">
        <f aca="false">G856+acc_x*pas</f>
        <v>11.4717056162949</v>
      </c>
      <c r="H857" s="398" t="n">
        <f aca="false">H856+acc_z*pas</f>
        <v>-115.44427254066</v>
      </c>
      <c r="I857" s="397" t="n">
        <f aca="false">SQRT(vit_x^2+vit_z^2)</f>
        <v>116.012844513826</v>
      </c>
      <c r="J857" s="396" t="n">
        <f aca="false">J856+0.5*(vit_x+G856)*pas*(K856&gt;=0)</f>
        <v>690.928492655337</v>
      </c>
      <c r="K857" s="398" t="n">
        <f aca="false">K856+0.5*(vit_z+H856)*pas</f>
        <v>-12.6666948464172</v>
      </c>
      <c r="L857" s="397" t="n">
        <f aca="false">SQRT(pos_x^2+pos_z^2)</f>
        <v>691.044591268398</v>
      </c>
      <c r="M857" s="396" t="n">
        <f aca="false">IF(AND(L856&gt;L_rampe,G857&gt;0),ATAN2(G857,H857),$M$4)</f>
        <v>-1.47175140471144</v>
      </c>
      <c r="N857" s="397" t="n">
        <f aca="false">DEGREES(Beta)</f>
        <v>-84.3251439824156</v>
      </c>
      <c r="P857" s="399" t="n">
        <f aca="false">MATCH(t-pas/2-T_ini,CdP_t)</f>
        <v>23</v>
      </c>
      <c r="Q857" s="397" t="n">
        <f aca="false">(INDEX(CdP,2,i_P+1)-INDEX(CdP,2,i_P+0))/(INDEX(CdP,1,i_P+1)-INDEX(CdP,1,i_P+0))*(t-pas/2-T_ini-INDEX(CdP,1,i_P+0))+INDEX(CdP,2,i_P+0)</f>
        <v>0</v>
      </c>
      <c r="R857" s="396" t="n">
        <f aca="false">Poussee/(g*ISP)</f>
        <v>0</v>
      </c>
      <c r="S857" s="398" t="n">
        <f aca="false">S856-Débit*pas</f>
        <v>8.45</v>
      </c>
      <c r="T857" s="397" t="n">
        <f aca="false">m*g</f>
        <v>82.8945</v>
      </c>
      <c r="U857" s="400" t="n">
        <f aca="false">IF(pos_xz&lt;L_rampe,Poids*COS(Beta),0)</f>
        <v>0</v>
      </c>
      <c r="V857" s="396" t="n">
        <f aca="false">Rho_moyen*(20000-Alt_rampe-pos_z)/(20000+Alt_rampe+pos_z)</f>
        <v>1.22655265346807</v>
      </c>
      <c r="W857" s="397" t="n">
        <f aca="false">1/2*Rho*Sref*Cx*vit_xz^2</f>
        <v>62.1192057018787</v>
      </c>
      <c r="Y857" s="408" t="str">
        <f aca="false">IF(AND(pos_z&lt;=0,K856&gt;0),"Impact balistique","") &amp; IF(AND(H858&lt;0,vit_z&gt;=0),"Apogée","") &amp; IF(AND(Poussee=0,Q856&gt;0),"Fin de propulsion","") &amp; IF(AND(L858&gt;L_rampe,pos_xz&lt;=L_rampe),"Sortie de rampe","")</f>
        <v/>
      </c>
      <c r="Z857" s="402" t="str">
        <f aca="false">IF(ABS(t-T_para)&lt;pas/2,"Para","")</f>
        <v/>
      </c>
      <c r="AA857" s="403" t="str">
        <f aca="false">IF(ABS(t-T_satellite)&lt;pas/2,"Satellite","")</f>
        <v/>
      </c>
      <c r="AC857" s="399" t="e">
        <f aca="false">IF(ABS(t-ROUND(t,0))&lt;0.001,t,NA())</f>
        <v>#N/A</v>
      </c>
      <c r="AD857" s="404" t="e">
        <f aca="false">IF(ABS(t-ROUND(t,0))&lt;0.001,pos_x,NA())</f>
        <v>#N/A</v>
      </c>
      <c r="AE857" s="405" t="e">
        <f aca="false">IF(t&lt;T_para, pos_z, NA())</f>
        <v>#N/A</v>
      </c>
      <c r="AG857" s="396" t="n">
        <f aca="false">IF(AND(L856&lt;L_rampe,Poussee&lt;Poids*SIN(M856)),0,(-W856+Poussee)/m-Poids*SIN(M856)/m)</f>
        <v>2.41057471561945</v>
      </c>
      <c r="AH857" s="397" t="n">
        <f aca="false">IF(AND(L856&lt;L_rampe,Poussee&lt;Poids*SIN(M856)), g*SIN(M856), (-W856+Poussee)/m)</f>
        <v>-7.35134625330744</v>
      </c>
    </row>
    <row r="858" customFormat="false" ht="12.75" hidden="false" customHeight="false" outlineLevel="0" collapsed="false">
      <c r="A858" s="396" t="n">
        <f aca="false">IF(B857+0.01&lt;=T_ini+ROUNDUP(Temps_fin_propu,0), 0.01, IF(K857&gt;0, 0.1, 0.0001))</f>
        <v>0.0001</v>
      </c>
      <c r="B858" s="397" t="n">
        <f aca="false">B857+pas</f>
        <v>32.1353000000014</v>
      </c>
      <c r="D858" s="396" t="n">
        <f aca="false">IF(AND(L857&lt;L_rampe,Poussee&lt;Poids*SIN(M857)),0,(-W857+Poussee)/m*COS(M857)-U857/m*SIN(M857))</f>
        <v>-0.726927507674908</v>
      </c>
      <c r="E858" s="398" t="n">
        <f aca="false">IF(AND(L857&lt;L_rampe,Poussee&lt;Poids*SIN(M857)),0,(-W857+Poussee)/m*SIN(M857)+U857/m*COS(M857)-Poids/m)</f>
        <v>-2.49464340698193</v>
      </c>
      <c r="F858" s="397" t="n">
        <f aca="false">SQRT(acc_x^2+acc_z^2)</f>
        <v>2.59839745408836</v>
      </c>
      <c r="G858" s="396" t="n">
        <f aca="false">G857+acc_x*pas</f>
        <v>11.4716329235441</v>
      </c>
      <c r="H858" s="398" t="n">
        <f aca="false">H857+acc_z*pas</f>
        <v>-115.444522005001</v>
      </c>
      <c r="I858" s="397" t="n">
        <f aca="false">SQRT(vit_x^2+vit_z^2)</f>
        <v>116.013085567515</v>
      </c>
      <c r="J858" s="396" t="n">
        <f aca="false">J857+0.5*(vit_x+G857)*pas*(K857&gt;=0)</f>
        <v>690.928492655337</v>
      </c>
      <c r="K858" s="398" t="n">
        <f aca="false">K857+0.5*(vit_z+H857)*pas</f>
        <v>-12.6782392861445</v>
      </c>
      <c r="L858" s="397" t="n">
        <f aca="false">SQRT(pos_x^2+pos_z^2)</f>
        <v>691.044802971828</v>
      </c>
      <c r="M858" s="396" t="n">
        <f aca="false">IF(AND(L857&gt;L_rampe,G858&gt;0),ATAN2(G858,H858),$M$4)</f>
        <v>-1.47175224086096</v>
      </c>
      <c r="N858" s="397" t="n">
        <f aca="false">DEGREES(Beta)</f>
        <v>-84.3251918902545</v>
      </c>
      <c r="P858" s="399" t="n">
        <f aca="false">MATCH(t-pas/2-T_ini,CdP_t)</f>
        <v>23</v>
      </c>
      <c r="Q858" s="397" t="n">
        <f aca="false">(INDEX(CdP,2,i_P+1)-INDEX(CdP,2,i_P+0))/(INDEX(CdP,1,i_P+1)-INDEX(CdP,1,i_P+0))*(t-pas/2-T_ini-INDEX(CdP,1,i_P+0))+INDEX(CdP,2,i_P+0)</f>
        <v>0</v>
      </c>
      <c r="R858" s="396" t="n">
        <f aca="false">Poussee/(g*ISP)</f>
        <v>0</v>
      </c>
      <c r="S858" s="398" t="n">
        <f aca="false">S857-Débit*pas</f>
        <v>8.45</v>
      </c>
      <c r="T858" s="397" t="n">
        <f aca="false">m*g</f>
        <v>82.8945</v>
      </c>
      <c r="U858" s="400" t="n">
        <f aca="false">IF(pos_xz&lt;L_rampe,Poids*COS(Beta),0)</f>
        <v>0</v>
      </c>
      <c r="V858" s="396" t="n">
        <f aca="false">Rho_moyen*(20000-Alt_rampe-pos_z)/(20000+Alt_rampe+pos_z)</f>
        <v>1.22655406945577</v>
      </c>
      <c r="W858" s="397" t="n">
        <f aca="false">1/2*Rho*Sref*Cx*vit_xz^2</f>
        <v>62.1195355605862</v>
      </c>
      <c r="Y858" s="408" t="str">
        <f aca="false">IF(AND(pos_z&lt;=0,K857&gt;0),"Impact balistique","") &amp; IF(AND(H859&lt;0,vit_z&gt;=0),"Apogée","") &amp; IF(AND(Poussee=0,Q857&gt;0),"Fin de propulsion","") &amp; IF(AND(L859&gt;L_rampe,pos_xz&lt;=L_rampe),"Sortie de rampe","")</f>
        <v/>
      </c>
      <c r="Z858" s="402" t="str">
        <f aca="false">IF(ABS(t-T_para)&lt;pas/2,"Para","")</f>
        <v/>
      </c>
      <c r="AA858" s="403" t="str">
        <f aca="false">IF(ABS(t-T_satellite)&lt;pas/2,"Satellite","")</f>
        <v/>
      </c>
      <c r="AC858" s="399" t="e">
        <f aca="false">IF(ABS(t-ROUND(t,0))&lt;0.001,t,NA())</f>
        <v>#N/A</v>
      </c>
      <c r="AD858" s="404" t="e">
        <f aca="false">IF(ABS(t-ROUND(t,0))&lt;0.001,pos_x,NA())</f>
        <v>#N/A</v>
      </c>
      <c r="AE858" s="405" t="e">
        <f aca="false">IF(t&lt;T_para, pos_z, NA())</f>
        <v>#N/A</v>
      </c>
      <c r="AG858" s="396" t="n">
        <f aca="false">IF(AND(L857&lt;L_rampe,Poussee&lt;Poids*SIN(M857)),0,(-W857+Poussee)/m-Poids*SIN(M857)/m)</f>
        <v>2.41053648987653</v>
      </c>
      <c r="AH858" s="397" t="n">
        <f aca="false">IF(AND(L857&lt;L_rampe,Poussee&lt;Poids*SIN(M857)), g*SIN(M857), (-W857+Poussee)/m)</f>
        <v>-7.35138529016317</v>
      </c>
    </row>
    <row r="859" customFormat="false" ht="12.75" hidden="false" customHeight="false" outlineLevel="0" collapsed="false">
      <c r="A859" s="396" t="n">
        <f aca="false">IF(B858+0.01&lt;=T_ini+ROUNDUP(Temps_fin_propu,0), 0.01, IF(K858&gt;0, 0.1, 0.0001))</f>
        <v>0.0001</v>
      </c>
      <c r="B859" s="397" t="n">
        <f aca="false">B858+pas</f>
        <v>32.1354000000014</v>
      </c>
      <c r="D859" s="396" t="n">
        <f aca="false">IF(AND(L858&lt;L_rampe,Poussee&lt;Poids*SIN(M858)),0,(-W858+Poussee)/m*COS(M858)-U858/m*SIN(M858))</f>
        <v>-0.726925250962288</v>
      </c>
      <c r="E859" s="398" t="n">
        <f aca="false">IF(AND(L858&lt;L_rampe,Poussee&lt;Poids*SIN(M858)),0,(-W858+Poussee)/m*SIN(M858)+U858/m*COS(M858)-Poids/m)</f>
        <v>-2.49460395394345</v>
      </c>
      <c r="F859" s="397" t="n">
        <f aca="false">SQRT(acc_x^2+acc_z^2)</f>
        <v>2.59835894508762</v>
      </c>
      <c r="G859" s="396" t="n">
        <f aca="false">G858+acc_x*pas</f>
        <v>11.471560231019</v>
      </c>
      <c r="H859" s="398" t="n">
        <f aca="false">H858+acc_z*pas</f>
        <v>-115.444771465396</v>
      </c>
      <c r="I859" s="397" t="n">
        <f aca="false">SQRT(vit_x^2+vit_z^2)</f>
        <v>116.013326617382</v>
      </c>
      <c r="J859" s="396" t="n">
        <f aca="false">J858+0.5*(vit_x+G858)*pas*(K858&gt;=0)</f>
        <v>690.928492655337</v>
      </c>
      <c r="K859" s="398" t="n">
        <f aca="false">K858+0.5*(vit_z+H858)*pas</f>
        <v>-12.689783750818</v>
      </c>
      <c r="L859" s="397" t="n">
        <f aca="false">SQRT(pos_x^2+pos_z^2)</f>
        <v>691.045014868509</v>
      </c>
      <c r="M859" s="396" t="n">
        <f aca="false">IF(AND(L858&gt;L_rampe,G859&gt;0),ATAN2(G859,H859),$M$4)</f>
        <v>-1.47175307700171</v>
      </c>
      <c r="N859" s="397" t="n">
        <f aca="false">DEGREES(Beta)</f>
        <v>-84.3252397975907</v>
      </c>
      <c r="P859" s="399" t="n">
        <f aca="false">MATCH(t-pas/2-T_ini,CdP_t)</f>
        <v>23</v>
      </c>
      <c r="Q859" s="397" t="n">
        <f aca="false">(INDEX(CdP,2,i_P+1)-INDEX(CdP,2,i_P+0))/(INDEX(CdP,1,i_P+1)-INDEX(CdP,1,i_P+0))*(t-pas/2-T_ini-INDEX(CdP,1,i_P+0))+INDEX(CdP,2,i_P+0)</f>
        <v>0</v>
      </c>
      <c r="R859" s="396" t="n">
        <f aca="false">Poussee/(g*ISP)</f>
        <v>0</v>
      </c>
      <c r="S859" s="398" t="n">
        <f aca="false">S858-Débit*pas</f>
        <v>8.45</v>
      </c>
      <c r="T859" s="397" t="n">
        <f aca="false">m*g</f>
        <v>82.8945</v>
      </c>
      <c r="U859" s="400" t="n">
        <f aca="false">IF(pos_xz&lt;L_rampe,Poids*COS(Beta),0)</f>
        <v>0</v>
      </c>
      <c r="V859" s="396" t="n">
        <f aca="false">Rho_moyen*(20000-Alt_rampe-pos_z)/(20000+Alt_rampe+pos_z)</f>
        <v>1.22655548544817</v>
      </c>
      <c r="W859" s="397" t="n">
        <f aca="false">1/2*Rho*Sref*Cx*vit_xz^2</f>
        <v>62.1198654165704</v>
      </c>
      <c r="Y859" s="408" t="str">
        <f aca="false">IF(AND(pos_z&lt;=0,K858&gt;0),"Impact balistique","") &amp; IF(AND(H860&lt;0,vit_z&gt;=0),"Apogée","") &amp; IF(AND(Poussee=0,Q858&gt;0),"Fin de propulsion","") &amp; IF(AND(L860&gt;L_rampe,pos_xz&lt;=L_rampe),"Sortie de rampe","")</f>
        <v/>
      </c>
      <c r="Z859" s="402" t="str">
        <f aca="false">IF(ABS(t-T_para)&lt;pas/2,"Para","")</f>
        <v/>
      </c>
      <c r="AA859" s="403" t="str">
        <f aca="false">IF(ABS(t-T_satellite)&lt;pas/2,"Satellite","")</f>
        <v/>
      </c>
      <c r="AC859" s="399" t="e">
        <f aca="false">IF(ABS(t-ROUND(t,0))&lt;0.001,t,NA())</f>
        <v>#N/A</v>
      </c>
      <c r="AD859" s="404" t="e">
        <f aca="false">IF(ABS(t-ROUND(t,0))&lt;0.001,pos_x,NA())</f>
        <v>#N/A</v>
      </c>
      <c r="AE859" s="405" t="e">
        <f aca="false">IF(t&lt;T_para, pos_z, NA())</f>
        <v>#N/A</v>
      </c>
      <c r="AG859" s="396" t="n">
        <f aca="false">IF(AND(L858&lt;L_rampe,Poussee&lt;Poids*SIN(M858)),0,(-W858+Poussee)/m-Poids*SIN(M858)/m)</f>
        <v>2.41049826444057</v>
      </c>
      <c r="AH859" s="397" t="n">
        <f aca="false">IF(AND(L858&lt;L_rampe,Poussee&lt;Poids*SIN(M858)), g*SIN(M858), (-W858+Poussee)/m)</f>
        <v>-7.35142432669659</v>
      </c>
    </row>
    <row r="860" customFormat="false" ht="12.75" hidden="false" customHeight="false" outlineLevel="0" collapsed="false">
      <c r="A860" s="396" t="n">
        <f aca="false">IF(B859+0.01&lt;=T_ini+ROUNDUP(Temps_fin_propu,0), 0.01, IF(K859&gt;0, 0.1, 0.0001))</f>
        <v>0.0001</v>
      </c>
      <c r="B860" s="397" t="n">
        <f aca="false">B859+pas</f>
        <v>32.1355000000014</v>
      </c>
      <c r="D860" s="396" t="n">
        <f aca="false">IF(AND(L859&lt;L_rampe,Poussee&lt;Poids*SIN(M859)),0,(-W859+Poussee)/m*COS(M859)-U859/m*SIN(M859))</f>
        <v>-0.726922994216509</v>
      </c>
      <c r="E860" s="398" t="n">
        <f aca="false">IF(AND(L859&lt;L_rampe,Poussee&lt;Poids*SIN(M859)),0,(-W859+Poussee)/m*SIN(M859)+U859/m*COS(M859)-Poids/m)</f>
        <v>-2.4945645012307</v>
      </c>
      <c r="F860" s="397" t="n">
        <f aca="false">SQRT(acc_x^2+acc_z^2)</f>
        <v>2.59832043642063</v>
      </c>
      <c r="G860" s="396" t="n">
        <f aca="false">G859+acc_x*pas</f>
        <v>11.4714875387196</v>
      </c>
      <c r="H860" s="398" t="n">
        <f aca="false">H859+acc_z*pas</f>
        <v>-115.445020921846</v>
      </c>
      <c r="I860" s="397" t="n">
        <f aca="false">SQRT(vit_x^2+vit_z^2)</f>
        <v>116.013567663427</v>
      </c>
      <c r="J860" s="396" t="n">
        <f aca="false">J859+0.5*(vit_x+G859)*pas*(K859&gt;=0)</f>
        <v>690.928492655337</v>
      </c>
      <c r="K860" s="398" t="n">
        <f aca="false">K859+0.5*(vit_z+H859)*pas</f>
        <v>-12.7013282404374</v>
      </c>
      <c r="L860" s="397" t="n">
        <f aca="false">SQRT(pos_x^2+pos_z^2)</f>
        <v>691.045226958444</v>
      </c>
      <c r="M860" s="396" t="n">
        <f aca="false">IF(AND(L859&gt;L_rampe,G860&gt;0),ATAN2(G860,H860),$M$4)</f>
        <v>-1.47175391313369</v>
      </c>
      <c r="N860" s="397" t="n">
        <f aca="false">DEGREES(Beta)</f>
        <v>-84.3252877044243</v>
      </c>
      <c r="P860" s="399" t="n">
        <f aca="false">MATCH(t-pas/2-T_ini,CdP_t)</f>
        <v>23</v>
      </c>
      <c r="Q860" s="397" t="n">
        <f aca="false">(INDEX(CdP,2,i_P+1)-INDEX(CdP,2,i_P+0))/(INDEX(CdP,1,i_P+1)-INDEX(CdP,1,i_P+0))*(t-pas/2-T_ini-INDEX(CdP,1,i_P+0))+INDEX(CdP,2,i_P+0)</f>
        <v>0</v>
      </c>
      <c r="R860" s="396" t="n">
        <f aca="false">Poussee/(g*ISP)</f>
        <v>0</v>
      </c>
      <c r="S860" s="398" t="n">
        <f aca="false">S859-Débit*pas</f>
        <v>8.45</v>
      </c>
      <c r="T860" s="397" t="n">
        <f aca="false">m*g</f>
        <v>82.8945</v>
      </c>
      <c r="U860" s="400" t="n">
        <f aca="false">IF(pos_xz&lt;L_rampe,Poids*COS(Beta),0)</f>
        <v>0</v>
      </c>
      <c r="V860" s="396" t="n">
        <f aca="false">Rho_moyen*(20000-Alt_rampe-pos_z)/(20000+Alt_rampe+pos_z)</f>
        <v>1.22655690144527</v>
      </c>
      <c r="W860" s="397" t="n">
        <f aca="false">1/2*Rho*Sref*Cx*vit_xz^2</f>
        <v>62.1201952698311</v>
      </c>
      <c r="Y860" s="408" t="str">
        <f aca="false">IF(AND(pos_z&lt;=0,K859&gt;0),"Impact balistique","") &amp; IF(AND(H861&lt;0,vit_z&gt;=0),"Apogée","") &amp; IF(AND(Poussee=0,Q859&gt;0),"Fin de propulsion","") &amp; IF(AND(L861&gt;L_rampe,pos_xz&lt;=L_rampe),"Sortie de rampe","")</f>
        <v/>
      </c>
      <c r="Z860" s="402" t="str">
        <f aca="false">IF(ABS(t-T_para)&lt;pas/2,"Para","")</f>
        <v/>
      </c>
      <c r="AA860" s="403" t="str">
        <f aca="false">IF(ABS(t-T_satellite)&lt;pas/2,"Satellite","")</f>
        <v/>
      </c>
      <c r="AC860" s="399" t="e">
        <f aca="false">IF(ABS(t-ROUND(t,0))&lt;0.001,t,NA())</f>
        <v>#N/A</v>
      </c>
      <c r="AD860" s="404" t="e">
        <f aca="false">IF(ABS(t-ROUND(t,0))&lt;0.001,pos_x,NA())</f>
        <v>#N/A</v>
      </c>
      <c r="AE860" s="405" t="e">
        <f aca="false">IF(t&lt;T_para, pos_z, NA())</f>
        <v>#N/A</v>
      </c>
      <c r="AG860" s="396" t="n">
        <f aca="false">IF(AND(L859&lt;L_rampe,Poussee&lt;Poids*SIN(M859)),0,(-W859+Poussee)/m-Poids*SIN(M859)/m)</f>
        <v>2.41046003931157</v>
      </c>
      <c r="AH860" s="397" t="n">
        <f aca="false">IF(AND(L859&lt;L_rampe,Poussee&lt;Poids*SIN(M859)), g*SIN(M859), (-W859+Poussee)/m)</f>
        <v>-7.35146336290773</v>
      </c>
    </row>
    <row r="861" customFormat="false" ht="12.75" hidden="false" customHeight="false" outlineLevel="0" collapsed="false">
      <c r="A861" s="396" t="n">
        <f aca="false">IF(B860+0.01&lt;=T_ini+ROUNDUP(Temps_fin_propu,0), 0.01, IF(K860&gt;0, 0.1, 0.0001))</f>
        <v>0.0001</v>
      </c>
      <c r="B861" s="397" t="n">
        <f aca="false">B860+pas</f>
        <v>32.1356000000014</v>
      </c>
      <c r="D861" s="396" t="n">
        <f aca="false">IF(AND(L860&lt;L_rampe,Poussee&lt;Poids*SIN(M860)),0,(-W860+Poussee)/m*COS(M860)-U860/m*SIN(M860))</f>
        <v>-0.726920737437572</v>
      </c>
      <c r="E861" s="398" t="n">
        <f aca="false">IF(AND(L860&lt;L_rampe,Poussee&lt;Poids*SIN(M860)),0,(-W860+Poussee)/m*SIN(M860)+U860/m*COS(M860)-Poids/m)</f>
        <v>-2.49452504884371</v>
      </c>
      <c r="F861" s="397" t="n">
        <f aca="false">SQRT(acc_x^2+acc_z^2)</f>
        <v>2.59828192808739</v>
      </c>
      <c r="G861" s="396" t="n">
        <f aca="false">G860+acc_x*pas</f>
        <v>11.4714148466458</v>
      </c>
      <c r="H861" s="398" t="n">
        <f aca="false">H860+acc_z*pas</f>
        <v>-115.445270374351</v>
      </c>
      <c r="I861" s="397" t="n">
        <f aca="false">SQRT(vit_x^2+vit_z^2)</f>
        <v>116.013808705649</v>
      </c>
      <c r="J861" s="396" t="n">
        <f aca="false">J860+0.5*(vit_x+G860)*pas*(K860&gt;=0)</f>
        <v>690.928492655337</v>
      </c>
      <c r="K861" s="398" t="n">
        <f aca="false">K860+0.5*(vit_z+H860)*pas</f>
        <v>-12.7128727550022</v>
      </c>
      <c r="L861" s="397" t="n">
        <f aca="false">SQRT(pos_x^2+pos_z^2)</f>
        <v>691.045439241632</v>
      </c>
      <c r="M861" s="396" t="n">
        <f aca="false">IF(AND(L860&gt;L_rampe,G861&gt;0),ATAN2(G861,H861),$M$4)</f>
        <v>-1.4717547492569</v>
      </c>
      <c r="N861" s="397" t="n">
        <f aca="false">DEGREES(Beta)</f>
        <v>-84.3253356107552</v>
      </c>
      <c r="P861" s="399" t="n">
        <f aca="false">MATCH(t-pas/2-T_ini,CdP_t)</f>
        <v>23</v>
      </c>
      <c r="Q861" s="397" t="n">
        <f aca="false">(INDEX(CdP,2,i_P+1)-INDEX(CdP,2,i_P+0))/(INDEX(CdP,1,i_P+1)-INDEX(CdP,1,i_P+0))*(t-pas/2-T_ini-INDEX(CdP,1,i_P+0))+INDEX(CdP,2,i_P+0)</f>
        <v>0</v>
      </c>
      <c r="R861" s="396" t="n">
        <f aca="false">Poussee/(g*ISP)</f>
        <v>0</v>
      </c>
      <c r="S861" s="398" t="n">
        <f aca="false">S860-Débit*pas</f>
        <v>8.45</v>
      </c>
      <c r="T861" s="397" t="n">
        <f aca="false">m*g</f>
        <v>82.8945</v>
      </c>
      <c r="U861" s="400" t="n">
        <f aca="false">IF(pos_xz&lt;L_rampe,Poids*COS(Beta),0)</f>
        <v>0</v>
      </c>
      <c r="V861" s="396" t="n">
        <f aca="false">Rho_moyen*(20000-Alt_rampe-pos_z)/(20000+Alt_rampe+pos_z)</f>
        <v>1.22655831744706</v>
      </c>
      <c r="W861" s="397" t="n">
        <f aca="false">1/2*Rho*Sref*Cx*vit_xz^2</f>
        <v>62.1205251203684</v>
      </c>
      <c r="Y861" s="408" t="str">
        <f aca="false">IF(AND(pos_z&lt;=0,K860&gt;0),"Impact balistique","") &amp; IF(AND(H862&lt;0,vit_z&gt;=0),"Apogée","") &amp; IF(AND(Poussee=0,Q860&gt;0),"Fin de propulsion","") &amp; IF(AND(L862&gt;L_rampe,pos_xz&lt;=L_rampe),"Sortie de rampe","")</f>
        <v/>
      </c>
      <c r="Z861" s="402" t="str">
        <f aca="false">IF(ABS(t-T_para)&lt;pas/2,"Para","")</f>
        <v/>
      </c>
      <c r="AA861" s="403" t="str">
        <f aca="false">IF(ABS(t-T_satellite)&lt;pas/2,"Satellite","")</f>
        <v/>
      </c>
      <c r="AC861" s="399" t="e">
        <f aca="false">IF(ABS(t-ROUND(t,0))&lt;0.001,t,NA())</f>
        <v>#N/A</v>
      </c>
      <c r="AD861" s="404" t="e">
        <f aca="false">IF(ABS(t-ROUND(t,0))&lt;0.001,pos_x,NA())</f>
        <v>#N/A</v>
      </c>
      <c r="AE861" s="405" t="e">
        <f aca="false">IF(t&lt;T_para, pos_z, NA())</f>
        <v>#N/A</v>
      </c>
      <c r="AG861" s="396" t="n">
        <f aca="false">IF(AND(L860&lt;L_rampe,Poussee&lt;Poids*SIN(M860)),0,(-W860+Poussee)/m-Poids*SIN(M860)/m)</f>
        <v>2.41042181448952</v>
      </c>
      <c r="AH861" s="397" t="n">
        <f aca="false">IF(AND(L860&lt;L_rampe,Poussee&lt;Poids*SIN(M860)), g*SIN(M860), (-W860+Poussee)/m)</f>
        <v>-7.35150239879658</v>
      </c>
    </row>
    <row r="862" customFormat="false" ht="12.75" hidden="false" customHeight="false" outlineLevel="0" collapsed="false">
      <c r="A862" s="396" t="n">
        <f aca="false">IF(B861+0.01&lt;=T_ini+ROUNDUP(Temps_fin_propu,0), 0.01, IF(K861&gt;0, 0.1, 0.0001))</f>
        <v>0.0001</v>
      </c>
      <c r="B862" s="397" t="n">
        <f aca="false">B861+pas</f>
        <v>32.1357000000014</v>
      </c>
      <c r="D862" s="396" t="n">
        <f aca="false">IF(AND(L861&lt;L_rampe,Poussee&lt;Poids*SIN(M861)),0,(-W861+Poussee)/m*COS(M861)-U861/m*SIN(M861))</f>
        <v>-0.726918480625477</v>
      </c>
      <c r="E862" s="398" t="n">
        <f aca="false">IF(AND(L861&lt;L_rampe,Poussee&lt;Poids*SIN(M861)),0,(-W861+Poussee)/m*SIN(M861)+U861/m*COS(M861)-Poids/m)</f>
        <v>-2.49448559678248</v>
      </c>
      <c r="F862" s="397" t="n">
        <f aca="false">SQRT(acc_x^2+acc_z^2)</f>
        <v>2.59824342008791</v>
      </c>
      <c r="G862" s="396" t="n">
        <f aca="false">G861+acc_x*pas</f>
        <v>11.4713421547978</v>
      </c>
      <c r="H862" s="398" t="n">
        <f aca="false">H861+acc_z*pas</f>
        <v>-115.445519822911</v>
      </c>
      <c r="I862" s="397" t="n">
        <f aca="false">SQRT(vit_x^2+vit_z^2)</f>
        <v>116.014049744049</v>
      </c>
      <c r="J862" s="396" t="n">
        <f aca="false">J861+0.5*(vit_x+G861)*pas*(K861&gt;=0)</f>
        <v>690.928492655337</v>
      </c>
      <c r="K862" s="398" t="n">
        <f aca="false">K861+0.5*(vit_z+H861)*pas</f>
        <v>-12.7244172945121</v>
      </c>
      <c r="L862" s="397" t="n">
        <f aca="false">SQRT(pos_x^2+pos_z^2)</f>
        <v>691.045651718076</v>
      </c>
      <c r="M862" s="396" t="n">
        <f aca="false">IF(AND(L861&gt;L_rampe,G862&gt;0),ATAN2(G862,H862),$M$4)</f>
        <v>-1.47175558537134</v>
      </c>
      <c r="N862" s="397" t="n">
        <f aca="false">DEGREES(Beta)</f>
        <v>-84.3253835165835</v>
      </c>
      <c r="P862" s="399" t="n">
        <f aca="false">MATCH(t-pas/2-T_ini,CdP_t)</f>
        <v>23</v>
      </c>
      <c r="Q862" s="397" t="n">
        <f aca="false">(INDEX(CdP,2,i_P+1)-INDEX(CdP,2,i_P+0))/(INDEX(CdP,1,i_P+1)-INDEX(CdP,1,i_P+0))*(t-pas/2-T_ini-INDEX(CdP,1,i_P+0))+INDEX(CdP,2,i_P+0)</f>
        <v>0</v>
      </c>
      <c r="R862" s="396" t="n">
        <f aca="false">Poussee/(g*ISP)</f>
        <v>0</v>
      </c>
      <c r="S862" s="398" t="n">
        <f aca="false">S861-Débit*pas</f>
        <v>8.45</v>
      </c>
      <c r="T862" s="397" t="n">
        <f aca="false">m*g</f>
        <v>82.8945</v>
      </c>
      <c r="U862" s="400" t="n">
        <f aca="false">IF(pos_xz&lt;L_rampe,Poids*COS(Beta),0)</f>
        <v>0</v>
      </c>
      <c r="V862" s="396" t="n">
        <f aca="false">Rho_moyen*(20000-Alt_rampe-pos_z)/(20000+Alt_rampe+pos_z)</f>
        <v>1.22655973345354</v>
      </c>
      <c r="W862" s="397" t="n">
        <f aca="false">1/2*Rho*Sref*Cx*vit_xz^2</f>
        <v>62.1208549681824</v>
      </c>
      <c r="Y862" s="408" t="str">
        <f aca="false">IF(AND(pos_z&lt;=0,K861&gt;0),"Impact balistique","") &amp; IF(AND(H863&lt;0,vit_z&gt;=0),"Apogée","") &amp; IF(AND(Poussee=0,Q861&gt;0),"Fin de propulsion","") &amp; IF(AND(L863&gt;L_rampe,pos_xz&lt;=L_rampe),"Sortie de rampe","")</f>
        <v/>
      </c>
      <c r="Z862" s="402" t="str">
        <f aca="false">IF(ABS(t-T_para)&lt;pas/2,"Para","")</f>
        <v/>
      </c>
      <c r="AA862" s="403" t="str">
        <f aca="false">IF(ABS(t-T_satellite)&lt;pas/2,"Satellite","")</f>
        <v/>
      </c>
      <c r="AC862" s="399" t="e">
        <f aca="false">IF(ABS(t-ROUND(t,0))&lt;0.001,t,NA())</f>
        <v>#N/A</v>
      </c>
      <c r="AD862" s="404" t="e">
        <f aca="false">IF(ABS(t-ROUND(t,0))&lt;0.001,pos_x,NA())</f>
        <v>#N/A</v>
      </c>
      <c r="AE862" s="405" t="e">
        <f aca="false">IF(t&lt;T_para, pos_z, NA())</f>
        <v>#N/A</v>
      </c>
      <c r="AG862" s="396" t="n">
        <f aca="false">IF(AND(L861&lt;L_rampe,Poussee&lt;Poids*SIN(M861)),0,(-W861+Poussee)/m-Poids*SIN(M861)/m)</f>
        <v>2.41038358997444</v>
      </c>
      <c r="AH862" s="397" t="n">
        <f aca="false">IF(AND(L861&lt;L_rampe,Poussee&lt;Poids*SIN(M861)), g*SIN(M861), (-W861+Poussee)/m)</f>
        <v>-7.35154143436313</v>
      </c>
    </row>
    <row r="863" customFormat="false" ht="12.75" hidden="false" customHeight="false" outlineLevel="0" collapsed="false">
      <c r="A863" s="396" t="n">
        <f aca="false">IF(B862+0.01&lt;=T_ini+ROUNDUP(Temps_fin_propu,0), 0.01, IF(K862&gt;0, 0.1, 0.0001))</f>
        <v>0.0001</v>
      </c>
      <c r="B863" s="397" t="n">
        <f aca="false">B862+pas</f>
        <v>32.1358000000014</v>
      </c>
      <c r="D863" s="396" t="n">
        <f aca="false">IF(AND(L862&lt;L_rampe,Poussee&lt;Poids*SIN(M862)),0,(-W862+Poussee)/m*COS(M862)-U862/m*SIN(M862))</f>
        <v>-0.726916223780226</v>
      </c>
      <c r="E863" s="398" t="n">
        <f aca="false">IF(AND(L862&lt;L_rampe,Poussee&lt;Poids*SIN(M862)),0,(-W862+Poussee)/m*SIN(M862)+U862/m*COS(M862)-Poids/m)</f>
        <v>-2.49444614504699</v>
      </c>
      <c r="F863" s="397" t="n">
        <f aca="false">SQRT(acc_x^2+acc_z^2)</f>
        <v>2.59820491242217</v>
      </c>
      <c r="G863" s="396" t="n">
        <f aca="false">G862+acc_x*pas</f>
        <v>11.4712694631754</v>
      </c>
      <c r="H863" s="398" t="n">
        <f aca="false">H862+acc_z*pas</f>
        <v>-115.445769267525</v>
      </c>
      <c r="I863" s="397" t="n">
        <f aca="false">SQRT(vit_x^2+vit_z^2)</f>
        <v>116.014290778626</v>
      </c>
      <c r="J863" s="396" t="n">
        <f aca="false">J862+0.5*(vit_x+G862)*pas*(K862&gt;=0)</f>
        <v>690.928492655337</v>
      </c>
      <c r="K863" s="398" t="n">
        <f aca="false">K862+0.5*(vit_z+H862)*pas</f>
        <v>-12.7359618589666</v>
      </c>
      <c r="L863" s="397" t="n">
        <f aca="false">SQRT(pos_x^2+pos_z^2)</f>
        <v>691.045864387776</v>
      </c>
      <c r="M863" s="396" t="n">
        <f aca="false">IF(AND(L862&gt;L_rampe,G863&gt;0),ATAN2(G863,H863),$M$4)</f>
        <v>-1.471756421477</v>
      </c>
      <c r="N863" s="397" t="n">
        <f aca="false">DEGREES(Beta)</f>
        <v>-84.3254314219092</v>
      </c>
      <c r="P863" s="399" t="n">
        <f aca="false">MATCH(t-pas/2-T_ini,CdP_t)</f>
        <v>23</v>
      </c>
      <c r="Q863" s="397" t="n">
        <f aca="false">(INDEX(CdP,2,i_P+1)-INDEX(CdP,2,i_P+0))/(INDEX(CdP,1,i_P+1)-INDEX(CdP,1,i_P+0))*(t-pas/2-T_ini-INDEX(CdP,1,i_P+0))+INDEX(CdP,2,i_P+0)</f>
        <v>0</v>
      </c>
      <c r="R863" s="396" t="n">
        <f aca="false">Poussee/(g*ISP)</f>
        <v>0</v>
      </c>
      <c r="S863" s="398" t="n">
        <f aca="false">S862-Débit*pas</f>
        <v>8.45</v>
      </c>
      <c r="T863" s="397" t="n">
        <f aca="false">m*g</f>
        <v>82.8945</v>
      </c>
      <c r="U863" s="400" t="n">
        <f aca="false">IF(pos_xz&lt;L_rampe,Poids*COS(Beta),0)</f>
        <v>0</v>
      </c>
      <c r="V863" s="396" t="n">
        <f aca="false">Rho_moyen*(20000-Alt_rampe-pos_z)/(20000+Alt_rampe+pos_z)</f>
        <v>1.22656114946473</v>
      </c>
      <c r="W863" s="397" t="n">
        <f aca="false">1/2*Rho*Sref*Cx*vit_xz^2</f>
        <v>62.1211848132729</v>
      </c>
      <c r="Y863" s="408" t="str">
        <f aca="false">IF(AND(pos_z&lt;=0,K862&gt;0),"Impact balistique","") &amp; IF(AND(H864&lt;0,vit_z&gt;=0),"Apogée","") &amp; IF(AND(Poussee=0,Q862&gt;0),"Fin de propulsion","") &amp; IF(AND(L864&gt;L_rampe,pos_xz&lt;=L_rampe),"Sortie de rampe","")</f>
        <v/>
      </c>
      <c r="Z863" s="402" t="str">
        <f aca="false">IF(ABS(t-T_para)&lt;pas/2,"Para","")</f>
        <v/>
      </c>
      <c r="AA863" s="403" t="str">
        <f aca="false">IF(ABS(t-T_satellite)&lt;pas/2,"Satellite","")</f>
        <v/>
      </c>
      <c r="AC863" s="399" t="e">
        <f aca="false">IF(ABS(t-ROUND(t,0))&lt;0.001,t,NA())</f>
        <v>#N/A</v>
      </c>
      <c r="AD863" s="404" t="e">
        <f aca="false">IF(ABS(t-ROUND(t,0))&lt;0.001,pos_x,NA())</f>
        <v>#N/A</v>
      </c>
      <c r="AE863" s="405" t="e">
        <f aca="false">IF(t&lt;T_para, pos_z, NA())</f>
        <v>#N/A</v>
      </c>
      <c r="AG863" s="396" t="n">
        <f aca="false">IF(AND(L862&lt;L_rampe,Poussee&lt;Poids*SIN(M862)),0,(-W862+Poussee)/m-Poids*SIN(M862)/m)</f>
        <v>2.41034536576631</v>
      </c>
      <c r="AH863" s="397" t="n">
        <f aca="false">IF(AND(L862&lt;L_rampe,Poussee&lt;Poids*SIN(M862)), g*SIN(M862), (-W862+Poussee)/m)</f>
        <v>-7.35158046960738</v>
      </c>
    </row>
    <row r="864" customFormat="false" ht="12.75" hidden="false" customHeight="false" outlineLevel="0" collapsed="false">
      <c r="A864" s="396" t="n">
        <f aca="false">IF(B863+0.01&lt;=T_ini+ROUNDUP(Temps_fin_propu,0), 0.01, IF(K863&gt;0, 0.1, 0.0001))</f>
        <v>0.0001</v>
      </c>
      <c r="B864" s="397" t="n">
        <f aca="false">B863+pas</f>
        <v>32.1359000000014</v>
      </c>
      <c r="D864" s="396" t="n">
        <f aca="false">IF(AND(L863&lt;L_rampe,Poussee&lt;Poids*SIN(M863)),0,(-W863+Poussee)/m*COS(M863)-U863/m*SIN(M863))</f>
        <v>-0.726913966901819</v>
      </c>
      <c r="E864" s="398" t="n">
        <f aca="false">IF(AND(L863&lt;L_rampe,Poussee&lt;Poids*SIN(M863)),0,(-W863+Poussee)/m*SIN(M863)+U863/m*COS(M863)-Poids/m)</f>
        <v>-2.49440669363726</v>
      </c>
      <c r="F864" s="397" t="n">
        <f aca="false">SQRT(acc_x^2+acc_z^2)</f>
        <v>2.5981664050902</v>
      </c>
      <c r="G864" s="396" t="n">
        <f aca="false">G863+acc_x*pas</f>
        <v>11.4711967717787</v>
      </c>
      <c r="H864" s="398" t="n">
        <f aca="false">H863+acc_z*pas</f>
        <v>-115.446018708195</v>
      </c>
      <c r="I864" s="397" t="n">
        <f aca="false">SQRT(vit_x^2+vit_z^2)</f>
        <v>116.01453180938</v>
      </c>
      <c r="J864" s="396" t="n">
        <f aca="false">J863+0.5*(vit_x+G863)*pas*(K863&gt;=0)</f>
        <v>690.928492655337</v>
      </c>
      <c r="K864" s="398" t="n">
        <f aca="false">K863+0.5*(vit_z+H863)*pas</f>
        <v>-12.7475064483654</v>
      </c>
      <c r="L864" s="397" t="n">
        <f aca="false">SQRT(pos_x^2+pos_z^2)</f>
        <v>691.046077250734</v>
      </c>
      <c r="M864" s="396" t="n">
        <f aca="false">IF(AND(L863&gt;L_rampe,G864&gt;0),ATAN2(G864,H864),$M$4)</f>
        <v>-1.47175725757389</v>
      </c>
      <c r="N864" s="397" t="n">
        <f aca="false">DEGREES(Beta)</f>
        <v>-84.3254793267322</v>
      </c>
      <c r="P864" s="399" t="n">
        <f aca="false">MATCH(t-pas/2-T_ini,CdP_t)</f>
        <v>23</v>
      </c>
      <c r="Q864" s="397" t="n">
        <f aca="false">(INDEX(CdP,2,i_P+1)-INDEX(CdP,2,i_P+0))/(INDEX(CdP,1,i_P+1)-INDEX(CdP,1,i_P+0))*(t-pas/2-T_ini-INDEX(CdP,1,i_P+0))+INDEX(CdP,2,i_P+0)</f>
        <v>0</v>
      </c>
      <c r="R864" s="396" t="n">
        <f aca="false">Poussee/(g*ISP)</f>
        <v>0</v>
      </c>
      <c r="S864" s="398" t="n">
        <f aca="false">S863-Débit*pas</f>
        <v>8.45</v>
      </c>
      <c r="T864" s="397" t="n">
        <f aca="false">m*g</f>
        <v>82.8945</v>
      </c>
      <c r="U864" s="400" t="n">
        <f aca="false">IF(pos_xz&lt;L_rampe,Poids*COS(Beta),0)</f>
        <v>0</v>
      </c>
      <c r="V864" s="396" t="n">
        <f aca="false">Rho_moyen*(20000-Alt_rampe-pos_z)/(20000+Alt_rampe+pos_z)</f>
        <v>1.2265625654806</v>
      </c>
      <c r="W864" s="397" t="n">
        <f aca="false">1/2*Rho*Sref*Cx*vit_xz^2</f>
        <v>62.1215146556401</v>
      </c>
      <c r="Y864" s="408" t="str">
        <f aca="false">IF(AND(pos_z&lt;=0,K863&gt;0),"Impact balistique","") &amp; IF(AND(H865&lt;0,vit_z&gt;=0),"Apogée","") &amp; IF(AND(Poussee=0,Q863&gt;0),"Fin de propulsion","") &amp; IF(AND(L865&gt;L_rampe,pos_xz&lt;=L_rampe),"Sortie de rampe","")</f>
        <v/>
      </c>
      <c r="Z864" s="402" t="str">
        <f aca="false">IF(ABS(t-T_para)&lt;pas/2,"Para","")</f>
        <v/>
      </c>
      <c r="AA864" s="403" t="str">
        <f aca="false">IF(ABS(t-T_satellite)&lt;pas/2,"Satellite","")</f>
        <v/>
      </c>
      <c r="AC864" s="399" t="e">
        <f aca="false">IF(ABS(t-ROUND(t,0))&lt;0.001,t,NA())</f>
        <v>#N/A</v>
      </c>
      <c r="AD864" s="404" t="e">
        <f aca="false">IF(ABS(t-ROUND(t,0))&lt;0.001,pos_x,NA())</f>
        <v>#N/A</v>
      </c>
      <c r="AE864" s="405" t="e">
        <f aca="false">IF(t&lt;T_para, pos_z, NA())</f>
        <v>#N/A</v>
      </c>
      <c r="AG864" s="396" t="n">
        <f aca="false">IF(AND(L863&lt;L_rampe,Poussee&lt;Poids*SIN(M863)),0,(-W863+Poussee)/m-Poids*SIN(M863)/m)</f>
        <v>2.41030714186515</v>
      </c>
      <c r="AH864" s="397" t="n">
        <f aca="false">IF(AND(L863&lt;L_rampe,Poussee&lt;Poids*SIN(M863)), g*SIN(M863), (-W863+Poussee)/m)</f>
        <v>-7.35161950452934</v>
      </c>
    </row>
    <row r="865" customFormat="false" ht="12.75" hidden="false" customHeight="false" outlineLevel="0" collapsed="false">
      <c r="A865" s="396" t="n">
        <f aca="false">IF(B864+0.01&lt;=T_ini+ROUNDUP(Temps_fin_propu,0), 0.01, IF(K864&gt;0, 0.1, 0.0001))</f>
        <v>0.0001</v>
      </c>
      <c r="B865" s="397" t="n">
        <f aca="false">B864+pas</f>
        <v>32.1360000000014</v>
      </c>
      <c r="D865" s="396" t="n">
        <f aca="false">IF(AND(L864&lt;L_rampe,Poussee&lt;Poids*SIN(M864)),0,(-W864+Poussee)/m*COS(M864)-U864/m*SIN(M864))</f>
        <v>-0.726911709990258</v>
      </c>
      <c r="E865" s="398" t="n">
        <f aca="false">IF(AND(L864&lt;L_rampe,Poussee&lt;Poids*SIN(M864)),0,(-W864+Poussee)/m*SIN(M864)+U864/m*COS(M864)-Poids/m)</f>
        <v>-2.49436724255328</v>
      </c>
      <c r="F865" s="397" t="n">
        <f aca="false">SQRT(acc_x^2+acc_z^2)</f>
        <v>2.59812789809198</v>
      </c>
      <c r="G865" s="396" t="n">
        <f aca="false">G864+acc_x*pas</f>
        <v>11.4711240806077</v>
      </c>
      <c r="H865" s="398" t="n">
        <f aca="false">H864+acc_z*pas</f>
        <v>-115.446268144919</v>
      </c>
      <c r="I865" s="397" t="n">
        <f aca="false">SQRT(vit_x^2+vit_z^2)</f>
        <v>116.014772836313</v>
      </c>
      <c r="J865" s="396" t="n">
        <f aca="false">J864+0.5*(vit_x+G864)*pas*(K864&gt;=0)</f>
        <v>690.928492655337</v>
      </c>
      <c r="K865" s="398" t="n">
        <f aca="false">K864+0.5*(vit_z+H864)*pas</f>
        <v>-12.759051062708</v>
      </c>
      <c r="L865" s="397" t="n">
        <f aca="false">SQRT(pos_x^2+pos_z^2)</f>
        <v>691.046290306949</v>
      </c>
      <c r="M865" s="396" t="n">
        <f aca="false">IF(AND(L864&gt;L_rampe,G865&gt;0),ATAN2(G865,H865),$M$4)</f>
        <v>-1.47175809366201</v>
      </c>
      <c r="N865" s="397" t="n">
        <f aca="false">DEGREES(Beta)</f>
        <v>-84.3255272310526</v>
      </c>
      <c r="P865" s="399" t="n">
        <f aca="false">MATCH(t-pas/2-T_ini,CdP_t)</f>
        <v>23</v>
      </c>
      <c r="Q865" s="397" t="n">
        <f aca="false">(INDEX(CdP,2,i_P+1)-INDEX(CdP,2,i_P+0))/(INDEX(CdP,1,i_P+1)-INDEX(CdP,1,i_P+0))*(t-pas/2-T_ini-INDEX(CdP,1,i_P+0))+INDEX(CdP,2,i_P+0)</f>
        <v>0</v>
      </c>
      <c r="R865" s="396" t="n">
        <f aca="false">Poussee/(g*ISP)</f>
        <v>0</v>
      </c>
      <c r="S865" s="398" t="n">
        <f aca="false">S864-Débit*pas</f>
        <v>8.45</v>
      </c>
      <c r="T865" s="397" t="n">
        <f aca="false">m*g</f>
        <v>82.8945</v>
      </c>
      <c r="U865" s="400" t="n">
        <f aca="false">IF(pos_xz&lt;L_rampe,Poids*COS(Beta),0)</f>
        <v>0</v>
      </c>
      <c r="V865" s="396" t="n">
        <f aca="false">Rho_moyen*(20000-Alt_rampe-pos_z)/(20000+Alt_rampe+pos_z)</f>
        <v>1.22656398150117</v>
      </c>
      <c r="W865" s="397" t="n">
        <f aca="false">1/2*Rho*Sref*Cx*vit_xz^2</f>
        <v>62.1218444952839</v>
      </c>
      <c r="Y865" s="408" t="str">
        <f aca="false">IF(AND(pos_z&lt;=0,K864&gt;0),"Impact balistique","") &amp; IF(AND(H866&lt;0,vit_z&gt;=0),"Apogée","") &amp; IF(AND(Poussee=0,Q864&gt;0),"Fin de propulsion","") &amp; IF(AND(L866&gt;L_rampe,pos_xz&lt;=L_rampe),"Sortie de rampe","")</f>
        <v/>
      </c>
      <c r="Z865" s="402" t="str">
        <f aca="false">IF(ABS(t-T_para)&lt;pas/2,"Para","")</f>
        <v/>
      </c>
      <c r="AA865" s="403" t="str">
        <f aca="false">IF(ABS(t-T_satellite)&lt;pas/2,"Satellite","")</f>
        <v/>
      </c>
      <c r="AC865" s="399" t="e">
        <f aca="false">IF(ABS(t-ROUND(t,0))&lt;0.001,t,NA())</f>
        <v>#N/A</v>
      </c>
      <c r="AD865" s="404" t="e">
        <f aca="false">IF(ABS(t-ROUND(t,0))&lt;0.001,pos_x,NA())</f>
        <v>#N/A</v>
      </c>
      <c r="AE865" s="405" t="e">
        <f aca="false">IF(t&lt;T_para, pos_z, NA())</f>
        <v>#N/A</v>
      </c>
      <c r="AG865" s="396" t="n">
        <f aca="false">IF(AND(L864&lt;L_rampe,Poussee&lt;Poids*SIN(M864)),0,(-W864+Poussee)/m-Poids*SIN(M864)/m)</f>
        <v>2.41026891827095</v>
      </c>
      <c r="AH865" s="397" t="n">
        <f aca="false">IF(AND(L864&lt;L_rampe,Poussee&lt;Poids*SIN(M864)), g*SIN(M864), (-W864+Poussee)/m)</f>
        <v>-7.35165853912901</v>
      </c>
    </row>
    <row r="866" customFormat="false" ht="12.75" hidden="false" customHeight="false" outlineLevel="0" collapsed="false">
      <c r="A866" s="396" t="n">
        <f aca="false">IF(B865+0.01&lt;=T_ini+ROUNDUP(Temps_fin_propu,0), 0.01, IF(K865&gt;0, 0.1, 0.0001))</f>
        <v>0.0001</v>
      </c>
      <c r="B866" s="397" t="n">
        <f aca="false">B865+pas</f>
        <v>32.1361000000014</v>
      </c>
      <c r="D866" s="396" t="n">
        <f aca="false">IF(AND(L865&lt;L_rampe,Poussee&lt;Poids*SIN(M865)),0,(-W865+Poussee)/m*COS(M865)-U865/m*SIN(M865))</f>
        <v>-0.726909453045542</v>
      </c>
      <c r="E866" s="398" t="n">
        <f aca="false">IF(AND(L865&lt;L_rampe,Poussee&lt;Poids*SIN(M865)),0,(-W865+Poussee)/m*SIN(M865)+U865/m*COS(M865)-Poids/m)</f>
        <v>-2.49432779179506</v>
      </c>
      <c r="F866" s="397" t="n">
        <f aca="false">SQRT(acc_x^2+acc_z^2)</f>
        <v>2.59808939142751</v>
      </c>
      <c r="G866" s="396" t="n">
        <f aca="false">G865+acc_x*pas</f>
        <v>11.4710513896624</v>
      </c>
      <c r="H866" s="398" t="n">
        <f aca="false">H865+acc_z*pas</f>
        <v>-115.446517577698</v>
      </c>
      <c r="I866" s="397" t="n">
        <f aca="false">SQRT(vit_x^2+vit_z^2)</f>
        <v>116.015013859423</v>
      </c>
      <c r="J866" s="396" t="n">
        <f aca="false">J865+0.5*(vit_x+G865)*pas*(K865&gt;=0)</f>
        <v>690.928492655337</v>
      </c>
      <c r="K866" s="398" t="n">
        <f aca="false">K865+0.5*(vit_z+H865)*pas</f>
        <v>-12.7705957019942</v>
      </c>
      <c r="L866" s="397" t="n">
        <f aca="false">SQRT(pos_x^2+pos_z^2)</f>
        <v>691.046503556425</v>
      </c>
      <c r="M866" s="396" t="n">
        <f aca="false">IF(AND(L865&gt;L_rampe,G866&gt;0),ATAN2(G866,H866),$M$4)</f>
        <v>-1.47175892974135</v>
      </c>
      <c r="N866" s="397" t="n">
        <f aca="false">DEGREES(Beta)</f>
        <v>-84.3255751348705</v>
      </c>
      <c r="P866" s="399" t="n">
        <f aca="false">MATCH(t-pas/2-T_ini,CdP_t)</f>
        <v>23</v>
      </c>
      <c r="Q866" s="397" t="n">
        <f aca="false">(INDEX(CdP,2,i_P+1)-INDEX(CdP,2,i_P+0))/(INDEX(CdP,1,i_P+1)-INDEX(CdP,1,i_P+0))*(t-pas/2-T_ini-INDEX(CdP,1,i_P+0))+INDEX(CdP,2,i_P+0)</f>
        <v>0</v>
      </c>
      <c r="R866" s="396" t="n">
        <f aca="false">Poussee/(g*ISP)</f>
        <v>0</v>
      </c>
      <c r="S866" s="398" t="n">
        <f aca="false">S865-Débit*pas</f>
        <v>8.45</v>
      </c>
      <c r="T866" s="397" t="n">
        <f aca="false">m*g</f>
        <v>82.8945</v>
      </c>
      <c r="U866" s="400" t="n">
        <f aca="false">IF(pos_xz&lt;L_rampe,Poids*COS(Beta),0)</f>
        <v>0</v>
      </c>
      <c r="V866" s="396" t="n">
        <f aca="false">Rho_moyen*(20000-Alt_rampe-pos_z)/(20000+Alt_rampe+pos_z)</f>
        <v>1.22656539752644</v>
      </c>
      <c r="W866" s="397" t="n">
        <f aca="false">1/2*Rho*Sref*Cx*vit_xz^2</f>
        <v>62.1221743322042</v>
      </c>
      <c r="Y866" s="408" t="str">
        <f aca="false">IF(AND(pos_z&lt;=0,K865&gt;0),"Impact balistique","") &amp; IF(AND(H867&lt;0,vit_z&gt;=0),"Apogée","") &amp; IF(AND(Poussee=0,Q865&gt;0),"Fin de propulsion","") &amp; IF(AND(L867&gt;L_rampe,pos_xz&lt;=L_rampe),"Sortie de rampe","")</f>
        <v/>
      </c>
      <c r="Z866" s="402" t="str">
        <f aca="false">IF(ABS(t-T_para)&lt;pas/2,"Para","")</f>
        <v/>
      </c>
      <c r="AA866" s="403" t="str">
        <f aca="false">IF(ABS(t-T_satellite)&lt;pas/2,"Satellite","")</f>
        <v/>
      </c>
      <c r="AC866" s="399" t="e">
        <f aca="false">IF(ABS(t-ROUND(t,0))&lt;0.001,t,NA())</f>
        <v>#N/A</v>
      </c>
      <c r="AD866" s="404" t="e">
        <f aca="false">IF(ABS(t-ROUND(t,0))&lt;0.001,pos_x,NA())</f>
        <v>#N/A</v>
      </c>
      <c r="AE866" s="405" t="e">
        <f aca="false">IF(t&lt;T_para, pos_z, NA())</f>
        <v>#N/A</v>
      </c>
      <c r="AG866" s="396" t="n">
        <f aca="false">IF(AND(L865&lt;L_rampe,Poussee&lt;Poids*SIN(M865)),0,(-W865+Poussee)/m-Poids*SIN(M865)/m)</f>
        <v>2.41023069498371</v>
      </c>
      <c r="AH866" s="397" t="n">
        <f aca="false">IF(AND(L865&lt;L_rampe,Poussee&lt;Poids*SIN(M865)), g*SIN(M865), (-W865+Poussee)/m)</f>
        <v>-7.35169757340637</v>
      </c>
    </row>
    <row r="867" customFormat="false" ht="12.75" hidden="false" customHeight="false" outlineLevel="0" collapsed="false">
      <c r="A867" s="396" t="n">
        <f aca="false">IF(B866+0.01&lt;=T_ini+ROUNDUP(Temps_fin_propu,0), 0.01, IF(K866&gt;0, 0.1, 0.0001))</f>
        <v>0.0001</v>
      </c>
      <c r="B867" s="397" t="n">
        <f aca="false">B866+pas</f>
        <v>32.1362000000014</v>
      </c>
      <c r="D867" s="396" t="n">
        <f aca="false">IF(AND(L866&lt;L_rampe,Poussee&lt;Poids*SIN(M866)),0,(-W866+Poussee)/m*COS(M866)-U866/m*SIN(M866))</f>
        <v>-0.726907196067674</v>
      </c>
      <c r="E867" s="398" t="n">
        <f aca="false">IF(AND(L866&lt;L_rampe,Poussee&lt;Poids*SIN(M866)),0,(-W866+Poussee)/m*SIN(M866)+U866/m*COS(M866)-Poids/m)</f>
        <v>-2.49428834136258</v>
      </c>
      <c r="F867" s="397" t="n">
        <f aca="false">SQRT(acc_x^2+acc_z^2)</f>
        <v>2.5980508850968</v>
      </c>
      <c r="G867" s="396" t="n">
        <f aca="false">G866+acc_x*pas</f>
        <v>11.4709786989428</v>
      </c>
      <c r="H867" s="398" t="n">
        <f aca="false">H866+acc_z*pas</f>
        <v>-115.446767006532</v>
      </c>
      <c r="I867" s="397" t="n">
        <f aca="false">SQRT(vit_x^2+vit_z^2)</f>
        <v>116.015254878711</v>
      </c>
      <c r="J867" s="396" t="n">
        <f aca="false">J866+0.5*(vit_x+G866)*pas*(K866&gt;=0)</f>
        <v>690.928492655337</v>
      </c>
      <c r="K867" s="398" t="n">
        <f aca="false">K866+0.5*(vit_z+H866)*pas</f>
        <v>-12.7821403662234</v>
      </c>
      <c r="L867" s="397" t="n">
        <f aca="false">SQRT(pos_x^2+pos_z^2)</f>
        <v>691.04671699916</v>
      </c>
      <c r="M867" s="396" t="n">
        <f aca="false">IF(AND(L866&gt;L_rampe,G867&gt;0),ATAN2(G867,H867),$M$4)</f>
        <v>-1.47175976581192</v>
      </c>
      <c r="N867" s="397" t="n">
        <f aca="false">DEGREES(Beta)</f>
        <v>-84.3256230381857</v>
      </c>
      <c r="P867" s="399" t="n">
        <f aca="false">MATCH(t-pas/2-T_ini,CdP_t)</f>
        <v>23</v>
      </c>
      <c r="Q867" s="397" t="n">
        <f aca="false">(INDEX(CdP,2,i_P+1)-INDEX(CdP,2,i_P+0))/(INDEX(CdP,1,i_P+1)-INDEX(CdP,1,i_P+0))*(t-pas/2-T_ini-INDEX(CdP,1,i_P+0))+INDEX(CdP,2,i_P+0)</f>
        <v>0</v>
      </c>
      <c r="R867" s="396" t="n">
        <f aca="false">Poussee/(g*ISP)</f>
        <v>0</v>
      </c>
      <c r="S867" s="398" t="n">
        <f aca="false">S866-Débit*pas</f>
        <v>8.45</v>
      </c>
      <c r="T867" s="397" t="n">
        <f aca="false">m*g</f>
        <v>82.8945</v>
      </c>
      <c r="U867" s="400" t="n">
        <f aca="false">IF(pos_xz&lt;L_rampe,Poids*COS(Beta),0)</f>
        <v>0</v>
      </c>
      <c r="V867" s="396" t="n">
        <f aca="false">Rho_moyen*(20000-Alt_rampe-pos_z)/(20000+Alt_rampe+pos_z)</f>
        <v>1.2265668135564</v>
      </c>
      <c r="W867" s="397" t="n">
        <f aca="false">1/2*Rho*Sref*Cx*vit_xz^2</f>
        <v>62.1225041664012</v>
      </c>
      <c r="Y867" s="408" t="str">
        <f aca="false">IF(AND(pos_z&lt;=0,K866&gt;0),"Impact balistique","") &amp; IF(AND(H868&lt;0,vit_z&gt;=0),"Apogée","") &amp; IF(AND(Poussee=0,Q866&gt;0),"Fin de propulsion","") &amp; IF(AND(L868&gt;L_rampe,pos_xz&lt;=L_rampe),"Sortie de rampe","")</f>
        <v/>
      </c>
      <c r="Z867" s="402" t="str">
        <f aca="false">IF(ABS(t-T_para)&lt;pas/2,"Para","")</f>
        <v/>
      </c>
      <c r="AA867" s="403" t="str">
        <f aca="false">IF(ABS(t-T_satellite)&lt;pas/2,"Satellite","")</f>
        <v/>
      </c>
      <c r="AC867" s="399" t="e">
        <f aca="false">IF(ABS(t-ROUND(t,0))&lt;0.001,t,NA())</f>
        <v>#N/A</v>
      </c>
      <c r="AD867" s="404" t="e">
        <f aca="false">IF(ABS(t-ROUND(t,0))&lt;0.001,pos_x,NA())</f>
        <v>#N/A</v>
      </c>
      <c r="AE867" s="405" t="e">
        <f aca="false">IF(t&lt;T_para, pos_z, NA())</f>
        <v>#N/A</v>
      </c>
      <c r="AG867" s="396" t="n">
        <f aca="false">IF(AND(L866&lt;L_rampe,Poussee&lt;Poids*SIN(M866)),0,(-W866+Poussee)/m-Poids*SIN(M866)/m)</f>
        <v>2.41019247200344</v>
      </c>
      <c r="AH867" s="397" t="n">
        <f aca="false">IF(AND(L866&lt;L_rampe,Poussee&lt;Poids*SIN(M866)), g*SIN(M866), (-W866+Poussee)/m)</f>
        <v>-7.35173660736145</v>
      </c>
    </row>
    <row r="868" customFormat="false" ht="12.75" hidden="false" customHeight="false" outlineLevel="0" collapsed="false">
      <c r="A868" s="396" t="n">
        <f aca="false">IF(B867+0.01&lt;=T_ini+ROUNDUP(Temps_fin_propu,0), 0.01, IF(K867&gt;0, 0.1, 0.0001))</f>
        <v>0.0001</v>
      </c>
      <c r="B868" s="397" t="n">
        <f aca="false">B867+pas</f>
        <v>32.1363000000014</v>
      </c>
      <c r="D868" s="396" t="n">
        <f aca="false">IF(AND(L867&lt;L_rampe,Poussee&lt;Poids*SIN(M867)),0,(-W867+Poussee)/m*COS(M867)-U867/m*SIN(M867))</f>
        <v>-0.726904939056653</v>
      </c>
      <c r="E868" s="398" t="n">
        <f aca="false">IF(AND(L867&lt;L_rampe,Poussee&lt;Poids*SIN(M867)),0,(-W867+Poussee)/m*SIN(M867)+U867/m*COS(M867)-Poids/m)</f>
        <v>-2.49424889125587</v>
      </c>
      <c r="F868" s="397" t="n">
        <f aca="false">SQRT(acc_x^2+acc_z^2)</f>
        <v>2.59801237909985</v>
      </c>
      <c r="G868" s="396" t="n">
        <f aca="false">G867+acc_x*pas</f>
        <v>11.4709060084489</v>
      </c>
      <c r="H868" s="398" t="n">
        <f aca="false">H867+acc_z*pas</f>
        <v>-115.447016431422</v>
      </c>
      <c r="I868" s="397" t="n">
        <f aca="false">SQRT(vit_x^2+vit_z^2)</f>
        <v>116.015495894176</v>
      </c>
      <c r="J868" s="396" t="n">
        <f aca="false">J867+0.5*(vit_x+G867)*pas*(K867&gt;=0)</f>
        <v>690.928492655337</v>
      </c>
      <c r="K868" s="398" t="n">
        <f aca="false">K867+0.5*(vit_z+H867)*pas</f>
        <v>-12.7936850553953</v>
      </c>
      <c r="L868" s="397" t="n">
        <f aca="false">SQRT(pos_x^2+pos_z^2)</f>
        <v>691.046930635158</v>
      </c>
      <c r="M868" s="396" t="n">
        <f aca="false">IF(AND(L867&gt;L_rampe,G868&gt;0),ATAN2(G868,H868),$M$4)</f>
        <v>-1.47176060187373</v>
      </c>
      <c r="N868" s="397" t="n">
        <f aca="false">DEGREES(Beta)</f>
        <v>-84.3256709409983</v>
      </c>
      <c r="P868" s="399" t="n">
        <f aca="false">MATCH(t-pas/2-T_ini,CdP_t)</f>
        <v>23</v>
      </c>
      <c r="Q868" s="397" t="n">
        <f aca="false">(INDEX(CdP,2,i_P+1)-INDEX(CdP,2,i_P+0))/(INDEX(CdP,1,i_P+1)-INDEX(CdP,1,i_P+0))*(t-pas/2-T_ini-INDEX(CdP,1,i_P+0))+INDEX(CdP,2,i_P+0)</f>
        <v>0</v>
      </c>
      <c r="R868" s="396" t="n">
        <f aca="false">Poussee/(g*ISP)</f>
        <v>0</v>
      </c>
      <c r="S868" s="398" t="n">
        <f aca="false">S867-Débit*pas</f>
        <v>8.45</v>
      </c>
      <c r="T868" s="397" t="n">
        <f aca="false">m*g</f>
        <v>82.8945</v>
      </c>
      <c r="U868" s="400" t="n">
        <f aca="false">IF(pos_xz&lt;L_rampe,Poids*COS(Beta),0)</f>
        <v>0</v>
      </c>
      <c r="V868" s="396" t="n">
        <f aca="false">Rho_moyen*(20000-Alt_rampe-pos_z)/(20000+Alt_rampe+pos_z)</f>
        <v>1.22656822959106</v>
      </c>
      <c r="W868" s="397" t="n">
        <f aca="false">1/2*Rho*Sref*Cx*vit_xz^2</f>
        <v>62.1228339978747</v>
      </c>
      <c r="Y868" s="408" t="str">
        <f aca="false">IF(AND(pos_z&lt;=0,K867&gt;0),"Impact balistique","") &amp; IF(AND(H869&lt;0,vit_z&gt;=0),"Apogée","") &amp; IF(AND(Poussee=0,Q867&gt;0),"Fin de propulsion","") &amp; IF(AND(L869&gt;L_rampe,pos_xz&lt;=L_rampe),"Sortie de rampe","")</f>
        <v/>
      </c>
      <c r="Z868" s="402" t="str">
        <f aca="false">IF(ABS(t-T_para)&lt;pas/2,"Para","")</f>
        <v/>
      </c>
      <c r="AA868" s="403" t="str">
        <f aca="false">IF(ABS(t-T_satellite)&lt;pas/2,"Satellite","")</f>
        <v/>
      </c>
      <c r="AC868" s="399" t="e">
        <f aca="false">IF(ABS(t-ROUND(t,0))&lt;0.001,t,NA())</f>
        <v>#N/A</v>
      </c>
      <c r="AD868" s="404" t="e">
        <f aca="false">IF(ABS(t-ROUND(t,0))&lt;0.001,pos_x,NA())</f>
        <v>#N/A</v>
      </c>
      <c r="AE868" s="405" t="e">
        <f aca="false">IF(t&lt;T_para, pos_z, NA())</f>
        <v>#N/A</v>
      </c>
      <c r="AG868" s="396" t="n">
        <f aca="false">IF(AND(L867&lt;L_rampe,Poussee&lt;Poids*SIN(M867)),0,(-W867+Poussee)/m-Poids*SIN(M867)/m)</f>
        <v>2.41015424933013</v>
      </c>
      <c r="AH868" s="397" t="n">
        <f aca="false">IF(AND(L867&lt;L_rampe,Poussee&lt;Poids*SIN(M867)), g*SIN(M867), (-W867+Poussee)/m)</f>
        <v>-7.35177564099422</v>
      </c>
    </row>
    <row r="869" customFormat="false" ht="12.75" hidden="false" customHeight="false" outlineLevel="0" collapsed="false">
      <c r="A869" s="396" t="n">
        <f aca="false">IF(B868+0.01&lt;=T_ini+ROUNDUP(Temps_fin_propu,0), 0.01, IF(K868&gt;0, 0.1, 0.0001))</f>
        <v>0.0001</v>
      </c>
      <c r="B869" s="397" t="n">
        <f aca="false">B868+pas</f>
        <v>32.1364000000014</v>
      </c>
      <c r="D869" s="396" t="n">
        <f aca="false">IF(AND(L868&lt;L_rampe,Poussee&lt;Poids*SIN(M868)),0,(-W868+Poussee)/m*COS(M868)-U868/m*SIN(M868))</f>
        <v>-0.726902682012479</v>
      </c>
      <c r="E869" s="398" t="n">
        <f aca="false">IF(AND(L868&lt;L_rampe,Poussee&lt;Poids*SIN(M868)),0,(-W868+Poussee)/m*SIN(M868)+U868/m*COS(M868)-Poids/m)</f>
        <v>-2.49420944147491</v>
      </c>
      <c r="F869" s="397" t="n">
        <f aca="false">SQRT(acc_x^2+acc_z^2)</f>
        <v>2.59797387343667</v>
      </c>
      <c r="G869" s="396" t="n">
        <f aca="false">G868+acc_x*pas</f>
        <v>11.4708333181807</v>
      </c>
      <c r="H869" s="398" t="n">
        <f aca="false">H868+acc_z*pas</f>
        <v>-115.447265852366</v>
      </c>
      <c r="I869" s="397" t="n">
        <f aca="false">SQRT(vit_x^2+vit_z^2)</f>
        <v>116.015736905819</v>
      </c>
      <c r="J869" s="396" t="n">
        <f aca="false">J868+0.5*(vit_x+G868)*pas*(K868&gt;=0)</f>
        <v>690.928492655337</v>
      </c>
      <c r="K869" s="398" t="n">
        <f aca="false">K868+0.5*(vit_z+H868)*pas</f>
        <v>-12.8052297695095</v>
      </c>
      <c r="L869" s="397" t="n">
        <f aca="false">SQRT(pos_x^2+pos_z^2)</f>
        <v>691.047144464418</v>
      </c>
      <c r="M869" s="396" t="n">
        <f aca="false">IF(AND(L868&gt;L_rampe,G869&gt;0),ATAN2(G869,H869),$M$4)</f>
        <v>-1.47176143792676</v>
      </c>
      <c r="N869" s="397" t="n">
        <f aca="false">DEGREES(Beta)</f>
        <v>-84.3257188433084</v>
      </c>
      <c r="P869" s="399" t="n">
        <f aca="false">MATCH(t-pas/2-T_ini,CdP_t)</f>
        <v>23</v>
      </c>
      <c r="Q869" s="397" t="n">
        <f aca="false">(INDEX(CdP,2,i_P+1)-INDEX(CdP,2,i_P+0))/(INDEX(CdP,1,i_P+1)-INDEX(CdP,1,i_P+0))*(t-pas/2-T_ini-INDEX(CdP,1,i_P+0))+INDEX(CdP,2,i_P+0)</f>
        <v>0</v>
      </c>
      <c r="R869" s="396" t="n">
        <f aca="false">Poussee/(g*ISP)</f>
        <v>0</v>
      </c>
      <c r="S869" s="398" t="n">
        <f aca="false">S868-Débit*pas</f>
        <v>8.45</v>
      </c>
      <c r="T869" s="397" t="n">
        <f aca="false">m*g</f>
        <v>82.8945</v>
      </c>
      <c r="U869" s="400" t="n">
        <f aca="false">IF(pos_xz&lt;L_rampe,Poids*COS(Beta),0)</f>
        <v>0</v>
      </c>
      <c r="V869" s="396" t="n">
        <f aca="false">Rho_moyen*(20000-Alt_rampe-pos_z)/(20000+Alt_rampe+pos_z)</f>
        <v>1.22656964563041</v>
      </c>
      <c r="W869" s="397" t="n">
        <f aca="false">1/2*Rho*Sref*Cx*vit_xz^2</f>
        <v>62.1231638266247</v>
      </c>
      <c r="Y869" s="408" t="str">
        <f aca="false">IF(AND(pos_z&lt;=0,K868&gt;0),"Impact balistique","") &amp; IF(AND(H870&lt;0,vit_z&gt;=0),"Apogée","") &amp; IF(AND(Poussee=0,Q868&gt;0),"Fin de propulsion","") &amp; IF(AND(L870&gt;L_rampe,pos_xz&lt;=L_rampe),"Sortie de rampe","")</f>
        <v/>
      </c>
      <c r="Z869" s="402" t="str">
        <f aca="false">IF(ABS(t-T_para)&lt;pas/2,"Para","")</f>
        <v/>
      </c>
      <c r="AA869" s="403" t="str">
        <f aca="false">IF(ABS(t-T_satellite)&lt;pas/2,"Satellite","")</f>
        <v/>
      </c>
      <c r="AC869" s="399" t="e">
        <f aca="false">IF(ABS(t-ROUND(t,0))&lt;0.001,t,NA())</f>
        <v>#N/A</v>
      </c>
      <c r="AD869" s="404" t="e">
        <f aca="false">IF(ABS(t-ROUND(t,0))&lt;0.001,pos_x,NA())</f>
        <v>#N/A</v>
      </c>
      <c r="AE869" s="405" t="e">
        <f aca="false">IF(t&lt;T_para, pos_z, NA())</f>
        <v>#N/A</v>
      </c>
      <c r="AG869" s="396" t="n">
        <f aca="false">IF(AND(L868&lt;L_rampe,Poussee&lt;Poids*SIN(M868)),0,(-W868+Poussee)/m-Poids*SIN(M868)/m)</f>
        <v>2.41011602696379</v>
      </c>
      <c r="AH869" s="397" t="n">
        <f aca="false">IF(AND(L868&lt;L_rampe,Poussee&lt;Poids*SIN(M868)), g*SIN(M868), (-W868+Poussee)/m)</f>
        <v>-7.35181467430469</v>
      </c>
    </row>
    <row r="870" customFormat="false" ht="12.75" hidden="false" customHeight="false" outlineLevel="0" collapsed="false">
      <c r="A870" s="396" t="n">
        <f aca="false">IF(B869+0.01&lt;=T_ini+ROUNDUP(Temps_fin_propu,0), 0.01, IF(K869&gt;0, 0.1, 0.0001))</f>
        <v>0.0001</v>
      </c>
      <c r="B870" s="397" t="n">
        <f aca="false">B869+pas</f>
        <v>32.1365000000014</v>
      </c>
      <c r="D870" s="396" t="n">
        <f aca="false">IF(AND(L869&lt;L_rampe,Poussee&lt;Poids*SIN(M869)),0,(-W869+Poussee)/m*COS(M869)-U869/m*SIN(M869))</f>
        <v>-0.726900424935154</v>
      </c>
      <c r="E870" s="398" t="n">
        <f aca="false">IF(AND(L869&lt;L_rampe,Poussee&lt;Poids*SIN(M869)),0,(-W869+Poussee)/m*SIN(M869)+U869/m*COS(M869)-Poids/m)</f>
        <v>-2.4941699920197</v>
      </c>
      <c r="F870" s="397" t="n">
        <f aca="false">SQRT(acc_x^2+acc_z^2)</f>
        <v>2.59793536810724</v>
      </c>
      <c r="G870" s="396" t="n">
        <f aca="false">G869+acc_x*pas</f>
        <v>11.4707606281382</v>
      </c>
      <c r="H870" s="398" t="n">
        <f aca="false">H869+acc_z*pas</f>
        <v>-115.447515269365</v>
      </c>
      <c r="I870" s="397" t="n">
        <f aca="false">SQRT(vit_x^2+vit_z^2)</f>
        <v>116.01597791364</v>
      </c>
      <c r="J870" s="396" t="n">
        <f aca="false">J869+0.5*(vit_x+G869)*pas*(K869&gt;=0)</f>
        <v>690.928492655337</v>
      </c>
      <c r="K870" s="398" t="n">
        <f aca="false">K869+0.5*(vit_z+H869)*pas</f>
        <v>-12.8167745085655</v>
      </c>
      <c r="L870" s="397" t="n">
        <f aca="false">SQRT(pos_x^2+pos_z^2)</f>
        <v>691.047358486941</v>
      </c>
      <c r="M870" s="396" t="n">
        <f aca="false">IF(AND(L869&gt;L_rampe,G870&gt;0),ATAN2(G870,H870),$M$4)</f>
        <v>-1.47176227397101</v>
      </c>
      <c r="N870" s="397" t="n">
        <f aca="false">DEGREES(Beta)</f>
        <v>-84.3257667451158</v>
      </c>
      <c r="P870" s="399" t="n">
        <f aca="false">MATCH(t-pas/2-T_ini,CdP_t)</f>
        <v>23</v>
      </c>
      <c r="Q870" s="397" t="n">
        <f aca="false">(INDEX(CdP,2,i_P+1)-INDEX(CdP,2,i_P+0))/(INDEX(CdP,1,i_P+1)-INDEX(CdP,1,i_P+0))*(t-pas/2-T_ini-INDEX(CdP,1,i_P+0))+INDEX(CdP,2,i_P+0)</f>
        <v>0</v>
      </c>
      <c r="R870" s="396" t="n">
        <f aca="false">Poussee/(g*ISP)</f>
        <v>0</v>
      </c>
      <c r="S870" s="398" t="n">
        <f aca="false">S869-Débit*pas</f>
        <v>8.45</v>
      </c>
      <c r="T870" s="397" t="n">
        <f aca="false">m*g</f>
        <v>82.8945</v>
      </c>
      <c r="U870" s="400" t="n">
        <f aca="false">IF(pos_xz&lt;L_rampe,Poids*COS(Beta),0)</f>
        <v>0</v>
      </c>
      <c r="V870" s="396" t="n">
        <f aca="false">Rho_moyen*(20000-Alt_rampe-pos_z)/(20000+Alt_rampe+pos_z)</f>
        <v>1.22657106167446</v>
      </c>
      <c r="W870" s="397" t="n">
        <f aca="false">1/2*Rho*Sref*Cx*vit_xz^2</f>
        <v>62.1234936526514</v>
      </c>
      <c r="Y870" s="408" t="str">
        <f aca="false">IF(AND(pos_z&lt;=0,K869&gt;0),"Impact balistique","") &amp; IF(AND(H871&lt;0,vit_z&gt;=0),"Apogée","") &amp; IF(AND(Poussee=0,Q869&gt;0),"Fin de propulsion","") &amp; IF(AND(L871&gt;L_rampe,pos_xz&lt;=L_rampe),"Sortie de rampe","")</f>
        <v/>
      </c>
      <c r="Z870" s="402" t="str">
        <f aca="false">IF(ABS(t-T_para)&lt;pas/2,"Para","")</f>
        <v/>
      </c>
      <c r="AA870" s="403" t="str">
        <f aca="false">IF(ABS(t-T_satellite)&lt;pas/2,"Satellite","")</f>
        <v/>
      </c>
      <c r="AC870" s="399" t="e">
        <f aca="false">IF(ABS(t-ROUND(t,0))&lt;0.001,t,NA())</f>
        <v>#N/A</v>
      </c>
      <c r="AD870" s="404" t="e">
        <f aca="false">IF(ABS(t-ROUND(t,0))&lt;0.001,pos_x,NA())</f>
        <v>#N/A</v>
      </c>
      <c r="AE870" s="405" t="e">
        <f aca="false">IF(t&lt;T_para, pos_z, NA())</f>
        <v>#N/A</v>
      </c>
      <c r="AG870" s="396" t="n">
        <f aca="false">IF(AND(L869&lt;L_rampe,Poussee&lt;Poids*SIN(M869)),0,(-W869+Poussee)/m-Poids*SIN(M869)/m)</f>
        <v>2.41007780490442</v>
      </c>
      <c r="AH870" s="397" t="n">
        <f aca="false">IF(AND(L869&lt;L_rampe,Poussee&lt;Poids*SIN(M869)), g*SIN(M869), (-W869+Poussee)/m)</f>
        <v>-7.35185370729287</v>
      </c>
    </row>
    <row r="871" customFormat="false" ht="12.75" hidden="false" customHeight="false" outlineLevel="0" collapsed="false">
      <c r="A871" s="396" t="n">
        <f aca="false">IF(B870+0.01&lt;=T_ini+ROUNDUP(Temps_fin_propu,0), 0.01, IF(K870&gt;0, 0.1, 0.0001))</f>
        <v>0.0001</v>
      </c>
      <c r="B871" s="397" t="n">
        <f aca="false">B870+pas</f>
        <v>32.1366000000014</v>
      </c>
      <c r="D871" s="396" t="n">
        <f aca="false">IF(AND(L870&lt;L_rampe,Poussee&lt;Poids*SIN(M870)),0,(-W870+Poussee)/m*COS(M870)-U870/m*SIN(M870))</f>
        <v>-0.726898167824681</v>
      </c>
      <c r="E871" s="398" t="n">
        <f aca="false">IF(AND(L870&lt;L_rampe,Poussee&lt;Poids*SIN(M870)),0,(-W870+Poussee)/m*SIN(M870)+U870/m*COS(M870)-Poids/m)</f>
        <v>-2.49413054289025</v>
      </c>
      <c r="F871" s="397" t="n">
        <f aca="false">SQRT(acc_x^2+acc_z^2)</f>
        <v>2.59789686311156</v>
      </c>
      <c r="G871" s="396" t="n">
        <f aca="false">G870+acc_x*pas</f>
        <v>11.4706879383214</v>
      </c>
      <c r="H871" s="398" t="n">
        <f aca="false">H870+acc_z*pas</f>
        <v>-115.447764682419</v>
      </c>
      <c r="I871" s="397" t="n">
        <f aca="false">SQRT(vit_x^2+vit_z^2)</f>
        <v>116.016218917639</v>
      </c>
      <c r="J871" s="396" t="n">
        <f aca="false">J870+0.5*(vit_x+G870)*pas*(K870&gt;=0)</f>
        <v>690.928492655337</v>
      </c>
      <c r="K871" s="398" t="n">
        <f aca="false">K870+0.5*(vit_z+H870)*pas</f>
        <v>-12.8283192725631</v>
      </c>
      <c r="L871" s="397" t="n">
        <f aca="false">SQRT(pos_x^2+pos_z^2)</f>
        <v>691.04757270273</v>
      </c>
      <c r="M871" s="396" t="n">
        <f aca="false">IF(AND(L870&gt;L_rampe,G871&gt;0),ATAN2(G871,H871),$M$4)</f>
        <v>-1.4717631100065</v>
      </c>
      <c r="N871" s="397" t="n">
        <f aca="false">DEGREES(Beta)</f>
        <v>-84.3258146464207</v>
      </c>
      <c r="P871" s="399" t="n">
        <f aca="false">MATCH(t-pas/2-T_ini,CdP_t)</f>
        <v>23</v>
      </c>
      <c r="Q871" s="397" t="n">
        <f aca="false">(INDEX(CdP,2,i_P+1)-INDEX(CdP,2,i_P+0))/(INDEX(CdP,1,i_P+1)-INDEX(CdP,1,i_P+0))*(t-pas/2-T_ini-INDEX(CdP,1,i_P+0))+INDEX(CdP,2,i_P+0)</f>
        <v>0</v>
      </c>
      <c r="R871" s="396" t="n">
        <f aca="false">Poussee/(g*ISP)</f>
        <v>0</v>
      </c>
      <c r="S871" s="398" t="n">
        <f aca="false">S870-Débit*pas</f>
        <v>8.45</v>
      </c>
      <c r="T871" s="397" t="n">
        <f aca="false">m*g</f>
        <v>82.8945</v>
      </c>
      <c r="U871" s="400" t="n">
        <f aca="false">IF(pos_xz&lt;L_rampe,Poids*COS(Beta),0)</f>
        <v>0</v>
      </c>
      <c r="V871" s="396" t="n">
        <f aca="false">Rho_moyen*(20000-Alt_rampe-pos_z)/(20000+Alt_rampe+pos_z)</f>
        <v>1.2265724777232</v>
      </c>
      <c r="W871" s="397" t="n">
        <f aca="false">1/2*Rho*Sref*Cx*vit_xz^2</f>
        <v>62.1238234759547</v>
      </c>
      <c r="Y871" s="408" t="str">
        <f aca="false">IF(AND(pos_z&lt;=0,K870&gt;0),"Impact balistique","") &amp; IF(AND(H872&lt;0,vit_z&gt;=0),"Apogée","") &amp; IF(AND(Poussee=0,Q870&gt;0),"Fin de propulsion","") &amp; IF(AND(L872&gt;L_rampe,pos_xz&lt;=L_rampe),"Sortie de rampe","")</f>
        <v/>
      </c>
      <c r="Z871" s="402" t="str">
        <f aca="false">IF(ABS(t-T_para)&lt;pas/2,"Para","")</f>
        <v/>
      </c>
      <c r="AA871" s="403" t="str">
        <f aca="false">IF(ABS(t-T_satellite)&lt;pas/2,"Satellite","")</f>
        <v/>
      </c>
      <c r="AC871" s="399" t="e">
        <f aca="false">IF(ABS(t-ROUND(t,0))&lt;0.001,t,NA())</f>
        <v>#N/A</v>
      </c>
      <c r="AD871" s="404" t="e">
        <f aca="false">IF(ABS(t-ROUND(t,0))&lt;0.001,pos_x,NA())</f>
        <v>#N/A</v>
      </c>
      <c r="AE871" s="405" t="e">
        <f aca="false">IF(t&lt;T_para, pos_z, NA())</f>
        <v>#N/A</v>
      </c>
      <c r="AG871" s="396" t="n">
        <f aca="false">IF(AND(L870&lt;L_rampe,Poussee&lt;Poids*SIN(M870)),0,(-W870+Poussee)/m-Poids*SIN(M870)/m)</f>
        <v>2.41003958315201</v>
      </c>
      <c r="AH871" s="397" t="n">
        <f aca="false">IF(AND(L870&lt;L_rampe,Poussee&lt;Poids*SIN(M870)), g*SIN(M870), (-W870+Poussee)/m)</f>
        <v>-7.35189273995875</v>
      </c>
    </row>
    <row r="872" customFormat="false" ht="12.75" hidden="false" customHeight="false" outlineLevel="0" collapsed="false">
      <c r="A872" s="396" t="n">
        <f aca="false">IF(B871+0.01&lt;=T_ini+ROUNDUP(Temps_fin_propu,0), 0.01, IF(K871&gt;0, 0.1, 0.0001))</f>
        <v>0.0001</v>
      </c>
      <c r="B872" s="397" t="n">
        <f aca="false">B871+pas</f>
        <v>32.1367000000014</v>
      </c>
      <c r="D872" s="396" t="n">
        <f aca="false">IF(AND(L871&lt;L_rampe,Poussee&lt;Poids*SIN(M871)),0,(-W871+Poussee)/m*COS(M871)-U871/m*SIN(M871))</f>
        <v>-0.726895910681057</v>
      </c>
      <c r="E872" s="398" t="n">
        <f aca="false">IF(AND(L871&lt;L_rampe,Poussee&lt;Poids*SIN(M871)),0,(-W871+Poussee)/m*SIN(M871)+U871/m*COS(M871)-Poids/m)</f>
        <v>-2.49409109408656</v>
      </c>
      <c r="F872" s="397" t="n">
        <f aca="false">SQRT(acc_x^2+acc_z^2)</f>
        <v>2.59785835844965</v>
      </c>
      <c r="G872" s="396" t="n">
        <f aca="false">G871+acc_x*pas</f>
        <v>11.4706152487303</v>
      </c>
      <c r="H872" s="398" t="n">
        <f aca="false">H871+acc_z*pas</f>
        <v>-115.448014091529</v>
      </c>
      <c r="I872" s="397" t="n">
        <f aca="false">SQRT(vit_x^2+vit_z^2)</f>
        <v>116.016459917816</v>
      </c>
      <c r="J872" s="396" t="n">
        <f aca="false">J871+0.5*(vit_x+G871)*pas*(K871&gt;=0)</f>
        <v>690.928492655337</v>
      </c>
      <c r="K872" s="398" t="n">
        <f aca="false">K871+0.5*(vit_z+H871)*pas</f>
        <v>-12.8398640615018</v>
      </c>
      <c r="L872" s="397" t="n">
        <f aca="false">SQRT(pos_x^2+pos_z^2)</f>
        <v>691.047787111784</v>
      </c>
      <c r="M872" s="396" t="n">
        <f aca="false">IF(AND(L871&gt;L_rampe,G872&gt;0),ATAN2(G872,H872),$M$4)</f>
        <v>-1.47176394603321</v>
      </c>
      <c r="N872" s="397" t="n">
        <f aca="false">DEGREES(Beta)</f>
        <v>-84.3258625472231</v>
      </c>
      <c r="P872" s="399" t="n">
        <f aca="false">MATCH(t-pas/2-T_ini,CdP_t)</f>
        <v>23</v>
      </c>
      <c r="Q872" s="397" t="n">
        <f aca="false">(INDEX(CdP,2,i_P+1)-INDEX(CdP,2,i_P+0))/(INDEX(CdP,1,i_P+1)-INDEX(CdP,1,i_P+0))*(t-pas/2-T_ini-INDEX(CdP,1,i_P+0))+INDEX(CdP,2,i_P+0)</f>
        <v>0</v>
      </c>
      <c r="R872" s="396" t="n">
        <f aca="false">Poussee/(g*ISP)</f>
        <v>0</v>
      </c>
      <c r="S872" s="398" t="n">
        <f aca="false">S871-Débit*pas</f>
        <v>8.45</v>
      </c>
      <c r="T872" s="397" t="n">
        <f aca="false">m*g</f>
        <v>82.8945</v>
      </c>
      <c r="U872" s="400" t="n">
        <f aca="false">IF(pos_xz&lt;L_rampe,Poids*COS(Beta),0)</f>
        <v>0</v>
      </c>
      <c r="V872" s="396" t="n">
        <f aca="false">Rho_moyen*(20000-Alt_rampe-pos_z)/(20000+Alt_rampe+pos_z)</f>
        <v>1.22657389377664</v>
      </c>
      <c r="W872" s="397" t="n">
        <f aca="false">1/2*Rho*Sref*Cx*vit_xz^2</f>
        <v>62.1241532965345</v>
      </c>
      <c r="Y872" s="408" t="str">
        <f aca="false">IF(AND(pos_z&lt;=0,K871&gt;0),"Impact balistique","") &amp; IF(AND(H873&lt;0,vit_z&gt;=0),"Apogée","") &amp; IF(AND(Poussee=0,Q871&gt;0),"Fin de propulsion","") &amp; IF(AND(L873&gt;L_rampe,pos_xz&lt;=L_rampe),"Sortie de rampe","")</f>
        <v/>
      </c>
      <c r="Z872" s="402" t="str">
        <f aca="false">IF(ABS(t-T_para)&lt;pas/2,"Para","")</f>
        <v/>
      </c>
      <c r="AA872" s="403" t="str">
        <f aca="false">IF(ABS(t-T_satellite)&lt;pas/2,"Satellite","")</f>
        <v/>
      </c>
      <c r="AC872" s="399" t="e">
        <f aca="false">IF(ABS(t-ROUND(t,0))&lt;0.001,t,NA())</f>
        <v>#N/A</v>
      </c>
      <c r="AD872" s="404" t="e">
        <f aca="false">IF(ABS(t-ROUND(t,0))&lt;0.001,pos_x,NA())</f>
        <v>#N/A</v>
      </c>
      <c r="AE872" s="405" t="e">
        <f aca="false">IF(t&lt;T_para, pos_z, NA())</f>
        <v>#N/A</v>
      </c>
      <c r="AG872" s="396" t="n">
        <f aca="false">IF(AND(L871&lt;L_rampe,Poussee&lt;Poids*SIN(M871)),0,(-W871+Poussee)/m-Poids*SIN(M871)/m)</f>
        <v>2.41000136170657</v>
      </c>
      <c r="AH872" s="397" t="n">
        <f aca="false">IF(AND(L871&lt;L_rampe,Poussee&lt;Poids*SIN(M871)), g*SIN(M871), (-W871+Poussee)/m)</f>
        <v>-7.35193177230233</v>
      </c>
    </row>
    <row r="873" customFormat="false" ht="12.75" hidden="false" customHeight="false" outlineLevel="0" collapsed="false">
      <c r="A873" s="396" t="n">
        <f aca="false">IF(B872+0.01&lt;=T_ini+ROUNDUP(Temps_fin_propu,0), 0.01, IF(K872&gt;0, 0.1, 0.0001))</f>
        <v>0.0001</v>
      </c>
      <c r="B873" s="397" t="n">
        <f aca="false">B872+pas</f>
        <v>32.1368000000014</v>
      </c>
      <c r="D873" s="396" t="n">
        <f aca="false">IF(AND(L872&lt;L_rampe,Poussee&lt;Poids*SIN(M872)),0,(-W872+Poussee)/m*COS(M872)-U872/m*SIN(M872))</f>
        <v>-0.726893653504285</v>
      </c>
      <c r="E873" s="398" t="n">
        <f aca="false">IF(AND(L872&lt;L_rampe,Poussee&lt;Poids*SIN(M872)),0,(-W872+Poussee)/m*SIN(M872)+U872/m*COS(M872)-Poids/m)</f>
        <v>-2.49405164560862</v>
      </c>
      <c r="F873" s="397" t="n">
        <f aca="false">SQRT(acc_x^2+acc_z^2)</f>
        <v>2.59781985412151</v>
      </c>
      <c r="G873" s="396" t="n">
        <f aca="false">G872+acc_x*pas</f>
        <v>11.470542559365</v>
      </c>
      <c r="H873" s="398" t="n">
        <f aca="false">H872+acc_z*pas</f>
        <v>-115.448263496693</v>
      </c>
      <c r="I873" s="397" t="n">
        <f aca="false">SQRT(vit_x^2+vit_z^2)</f>
        <v>116.01670091417</v>
      </c>
      <c r="J873" s="396" t="n">
        <f aca="false">J872+0.5*(vit_x+G872)*pas*(K872&gt;=0)</f>
        <v>690.928492655337</v>
      </c>
      <c r="K873" s="398" t="n">
        <f aca="false">K872+0.5*(vit_z+H872)*pas</f>
        <v>-12.8514088753812</v>
      </c>
      <c r="L873" s="397" t="n">
        <f aca="false">SQRT(pos_x^2+pos_z^2)</f>
        <v>691.048001714105</v>
      </c>
      <c r="M873" s="396" t="n">
        <f aca="false">IF(AND(L872&gt;L_rampe,G873&gt;0),ATAN2(G873,H873),$M$4)</f>
        <v>-1.47176478205116</v>
      </c>
      <c r="N873" s="397" t="n">
        <f aca="false">DEGREES(Beta)</f>
        <v>-84.3259104475229</v>
      </c>
      <c r="P873" s="399" t="n">
        <f aca="false">MATCH(t-pas/2-T_ini,CdP_t)</f>
        <v>23</v>
      </c>
      <c r="Q873" s="397" t="n">
        <f aca="false">(INDEX(CdP,2,i_P+1)-INDEX(CdP,2,i_P+0))/(INDEX(CdP,1,i_P+1)-INDEX(CdP,1,i_P+0))*(t-pas/2-T_ini-INDEX(CdP,1,i_P+0))+INDEX(CdP,2,i_P+0)</f>
        <v>0</v>
      </c>
      <c r="R873" s="396" t="n">
        <f aca="false">Poussee/(g*ISP)</f>
        <v>0</v>
      </c>
      <c r="S873" s="398" t="n">
        <f aca="false">S872-Débit*pas</f>
        <v>8.45</v>
      </c>
      <c r="T873" s="397" t="n">
        <f aca="false">m*g</f>
        <v>82.8945</v>
      </c>
      <c r="U873" s="400" t="n">
        <f aca="false">IF(pos_xz&lt;L_rampe,Poids*COS(Beta),0)</f>
        <v>0</v>
      </c>
      <c r="V873" s="396" t="n">
        <f aca="false">Rho_moyen*(20000-Alt_rampe-pos_z)/(20000+Alt_rampe+pos_z)</f>
        <v>1.22657530983477</v>
      </c>
      <c r="W873" s="397" t="n">
        <f aca="false">1/2*Rho*Sref*Cx*vit_xz^2</f>
        <v>62.1244831143909</v>
      </c>
      <c r="Y873" s="408" t="str">
        <f aca="false">IF(AND(pos_z&lt;=0,K872&gt;0),"Impact balistique","") &amp; IF(AND(H874&lt;0,vit_z&gt;=0),"Apogée","") &amp; IF(AND(Poussee=0,Q872&gt;0),"Fin de propulsion","") &amp; IF(AND(L874&gt;L_rampe,pos_xz&lt;=L_rampe),"Sortie de rampe","")</f>
        <v/>
      </c>
      <c r="Z873" s="402" t="str">
        <f aca="false">IF(ABS(t-T_para)&lt;pas/2,"Para","")</f>
        <v/>
      </c>
      <c r="AA873" s="403" t="str">
        <f aca="false">IF(ABS(t-T_satellite)&lt;pas/2,"Satellite","")</f>
        <v/>
      </c>
      <c r="AC873" s="399" t="e">
        <f aca="false">IF(ABS(t-ROUND(t,0))&lt;0.001,t,NA())</f>
        <v>#N/A</v>
      </c>
      <c r="AD873" s="404" t="e">
        <f aca="false">IF(ABS(t-ROUND(t,0))&lt;0.001,pos_x,NA())</f>
        <v>#N/A</v>
      </c>
      <c r="AE873" s="405" t="e">
        <f aca="false">IF(t&lt;T_para, pos_z, NA())</f>
        <v>#N/A</v>
      </c>
      <c r="AG873" s="396" t="n">
        <f aca="false">IF(AND(L872&lt;L_rampe,Poussee&lt;Poids*SIN(M872)),0,(-W872+Poussee)/m-Poids*SIN(M872)/m)</f>
        <v>2.4099631405681</v>
      </c>
      <c r="AH873" s="397" t="n">
        <f aca="false">IF(AND(L872&lt;L_rampe,Poussee&lt;Poids*SIN(M872)), g*SIN(M872), (-W872+Poussee)/m)</f>
        <v>-7.35197080432361</v>
      </c>
    </row>
    <row r="874" customFormat="false" ht="12.75" hidden="false" customHeight="false" outlineLevel="0" collapsed="false">
      <c r="A874" s="396" t="n">
        <f aca="false">IF(B873+0.01&lt;=T_ini+ROUNDUP(Temps_fin_propu,0), 0.01, IF(K873&gt;0, 0.1, 0.0001))</f>
        <v>0.0001</v>
      </c>
      <c r="B874" s="397" t="n">
        <f aca="false">B873+pas</f>
        <v>32.1369000000014</v>
      </c>
      <c r="D874" s="396" t="n">
        <f aca="false">IF(AND(L873&lt;L_rampe,Poussee&lt;Poids*SIN(M873)),0,(-W873+Poussee)/m*COS(M873)-U873/m*SIN(M873))</f>
        <v>-0.726891396294364</v>
      </c>
      <c r="E874" s="398" t="n">
        <f aca="false">IF(AND(L873&lt;L_rampe,Poussee&lt;Poids*SIN(M873)),0,(-W873+Poussee)/m*SIN(M873)+U873/m*COS(M873)-Poids/m)</f>
        <v>-2.49401219745644</v>
      </c>
      <c r="F874" s="397" t="n">
        <f aca="false">SQRT(acc_x^2+acc_z^2)</f>
        <v>2.59778135012712</v>
      </c>
      <c r="G874" s="396" t="n">
        <f aca="false">G873+acc_x*pas</f>
        <v>11.4704698702253</v>
      </c>
      <c r="H874" s="398" t="n">
        <f aca="false">H873+acc_z*pas</f>
        <v>-115.448512897913</v>
      </c>
      <c r="I874" s="397" t="n">
        <f aca="false">SQRT(vit_x^2+vit_z^2)</f>
        <v>116.016941906703</v>
      </c>
      <c r="J874" s="396" t="n">
        <f aca="false">J873+0.5*(vit_x+G873)*pas*(K873&gt;=0)</f>
        <v>690.928492655337</v>
      </c>
      <c r="K874" s="398" t="n">
        <f aca="false">K873+0.5*(vit_z+H873)*pas</f>
        <v>-12.862953714201</v>
      </c>
      <c r="L874" s="397" t="n">
        <f aca="false">SQRT(pos_x^2+pos_z^2)</f>
        <v>691.048216509694</v>
      </c>
      <c r="M874" s="396" t="n">
        <f aca="false">IF(AND(L873&gt;L_rampe,G874&gt;0),ATAN2(G874,H874),$M$4)</f>
        <v>-1.47176561806033</v>
      </c>
      <c r="N874" s="397" t="n">
        <f aca="false">DEGREES(Beta)</f>
        <v>-84.3259583473201</v>
      </c>
      <c r="P874" s="399" t="n">
        <f aca="false">MATCH(t-pas/2-T_ini,CdP_t)</f>
        <v>23</v>
      </c>
      <c r="Q874" s="397" t="n">
        <f aca="false">(INDEX(CdP,2,i_P+1)-INDEX(CdP,2,i_P+0))/(INDEX(CdP,1,i_P+1)-INDEX(CdP,1,i_P+0))*(t-pas/2-T_ini-INDEX(CdP,1,i_P+0))+INDEX(CdP,2,i_P+0)</f>
        <v>0</v>
      </c>
      <c r="R874" s="396" t="n">
        <f aca="false">Poussee/(g*ISP)</f>
        <v>0</v>
      </c>
      <c r="S874" s="398" t="n">
        <f aca="false">S873-Débit*pas</f>
        <v>8.45</v>
      </c>
      <c r="T874" s="397" t="n">
        <f aca="false">m*g</f>
        <v>82.8945</v>
      </c>
      <c r="U874" s="400" t="n">
        <f aca="false">IF(pos_xz&lt;L_rampe,Poids*COS(Beta),0)</f>
        <v>0</v>
      </c>
      <c r="V874" s="396" t="n">
        <f aca="false">Rho_moyen*(20000-Alt_rampe-pos_z)/(20000+Alt_rampe+pos_z)</f>
        <v>1.2265767258976</v>
      </c>
      <c r="W874" s="397" t="n">
        <f aca="false">1/2*Rho*Sref*Cx*vit_xz^2</f>
        <v>62.1248129295238</v>
      </c>
      <c r="Y874" s="408" t="str">
        <f aca="false">IF(AND(pos_z&lt;=0,K873&gt;0),"Impact balistique","") &amp; IF(AND(H875&lt;0,vit_z&gt;=0),"Apogée","") &amp; IF(AND(Poussee=0,Q873&gt;0),"Fin de propulsion","") &amp; IF(AND(L875&gt;L_rampe,pos_xz&lt;=L_rampe),"Sortie de rampe","")</f>
        <v/>
      </c>
      <c r="Z874" s="402" t="str">
        <f aca="false">IF(ABS(t-T_para)&lt;pas/2,"Para","")</f>
        <v/>
      </c>
      <c r="AA874" s="403" t="str">
        <f aca="false">IF(ABS(t-T_satellite)&lt;pas/2,"Satellite","")</f>
        <v/>
      </c>
      <c r="AC874" s="399" t="e">
        <f aca="false">IF(ABS(t-ROUND(t,0))&lt;0.001,t,NA())</f>
        <v>#N/A</v>
      </c>
      <c r="AD874" s="404" t="e">
        <f aca="false">IF(ABS(t-ROUND(t,0))&lt;0.001,pos_x,NA())</f>
        <v>#N/A</v>
      </c>
      <c r="AE874" s="405" t="e">
        <f aca="false">IF(t&lt;T_para, pos_z, NA())</f>
        <v>#N/A</v>
      </c>
      <c r="AG874" s="396" t="n">
        <f aca="false">IF(AND(L873&lt;L_rampe,Poussee&lt;Poids*SIN(M873)),0,(-W873+Poussee)/m-Poids*SIN(M873)/m)</f>
        <v>2.4099249197366</v>
      </c>
      <c r="AH874" s="397" t="n">
        <f aca="false">IF(AND(L873&lt;L_rampe,Poussee&lt;Poids*SIN(M873)), g*SIN(M873), (-W873+Poussee)/m)</f>
        <v>-7.35200983602259</v>
      </c>
    </row>
    <row r="875" customFormat="false" ht="12.75" hidden="false" customHeight="false" outlineLevel="0" collapsed="false">
      <c r="A875" s="396" t="n">
        <f aca="false">IF(B874+0.01&lt;=T_ini+ROUNDUP(Temps_fin_propu,0), 0.01, IF(K874&gt;0, 0.1, 0.0001))</f>
        <v>0.0001</v>
      </c>
      <c r="B875" s="397" t="n">
        <f aca="false">B874+pas</f>
        <v>32.1370000000014</v>
      </c>
      <c r="D875" s="396" t="n">
        <f aca="false">IF(AND(L874&lt;L_rampe,Poussee&lt;Poids*SIN(M874)),0,(-W874+Poussee)/m*COS(M874)-U874/m*SIN(M874))</f>
        <v>-0.726889139051297</v>
      </c>
      <c r="E875" s="398" t="n">
        <f aca="false">IF(AND(L874&lt;L_rampe,Poussee&lt;Poids*SIN(M874)),0,(-W874+Poussee)/m*SIN(M874)+U874/m*COS(M874)-Poids/m)</f>
        <v>-2.49397274963002</v>
      </c>
      <c r="F875" s="397" t="n">
        <f aca="false">SQRT(acc_x^2+acc_z^2)</f>
        <v>2.5977428464665</v>
      </c>
      <c r="G875" s="396" t="n">
        <f aca="false">G874+acc_x*pas</f>
        <v>11.4703971813114</v>
      </c>
      <c r="H875" s="398" t="n">
        <f aca="false">H874+acc_z*pas</f>
        <v>-115.448762295188</v>
      </c>
      <c r="I875" s="397" t="n">
        <f aca="false">SQRT(vit_x^2+vit_z^2)</f>
        <v>116.017182895413</v>
      </c>
      <c r="J875" s="396" t="n">
        <f aca="false">J874+0.5*(vit_x+G874)*pas*(K874&gt;=0)</f>
        <v>690.928492655337</v>
      </c>
      <c r="K875" s="398" t="n">
        <f aca="false">K874+0.5*(vit_z+H874)*pas</f>
        <v>-12.8744985779606</v>
      </c>
      <c r="L875" s="397" t="n">
        <f aca="false">SQRT(pos_x^2+pos_z^2)</f>
        <v>691.048431498553</v>
      </c>
      <c r="M875" s="396" t="n">
        <f aca="false">IF(AND(L874&gt;L_rampe,G875&gt;0),ATAN2(G875,H875),$M$4)</f>
        <v>-1.47176645406073</v>
      </c>
      <c r="N875" s="397" t="n">
        <f aca="false">DEGREES(Beta)</f>
        <v>-84.3260062466148</v>
      </c>
      <c r="P875" s="399" t="n">
        <f aca="false">MATCH(t-pas/2-T_ini,CdP_t)</f>
        <v>23</v>
      </c>
      <c r="Q875" s="397" t="n">
        <f aca="false">(INDEX(CdP,2,i_P+1)-INDEX(CdP,2,i_P+0))/(INDEX(CdP,1,i_P+1)-INDEX(CdP,1,i_P+0))*(t-pas/2-T_ini-INDEX(CdP,1,i_P+0))+INDEX(CdP,2,i_P+0)</f>
        <v>0</v>
      </c>
      <c r="R875" s="396" t="n">
        <f aca="false">Poussee/(g*ISP)</f>
        <v>0</v>
      </c>
      <c r="S875" s="398" t="n">
        <f aca="false">S874-Débit*pas</f>
        <v>8.45</v>
      </c>
      <c r="T875" s="397" t="n">
        <f aca="false">m*g</f>
        <v>82.8945</v>
      </c>
      <c r="U875" s="400" t="n">
        <f aca="false">IF(pos_xz&lt;L_rampe,Poids*COS(Beta),0)</f>
        <v>0</v>
      </c>
      <c r="V875" s="396" t="n">
        <f aca="false">Rho_moyen*(20000-Alt_rampe-pos_z)/(20000+Alt_rampe+pos_z)</f>
        <v>1.22657814196512</v>
      </c>
      <c r="W875" s="397" t="n">
        <f aca="false">1/2*Rho*Sref*Cx*vit_xz^2</f>
        <v>62.1251427419333</v>
      </c>
      <c r="Y875" s="408" t="str">
        <f aca="false">IF(AND(pos_z&lt;=0,K874&gt;0),"Impact balistique","") &amp; IF(AND(H876&lt;0,vit_z&gt;=0),"Apogée","") &amp; IF(AND(Poussee=0,Q874&gt;0),"Fin de propulsion","") &amp; IF(AND(L876&gt;L_rampe,pos_xz&lt;=L_rampe),"Sortie de rampe","")</f>
        <v/>
      </c>
      <c r="Z875" s="402" t="str">
        <f aca="false">IF(ABS(t-T_para)&lt;pas/2,"Para","")</f>
        <v/>
      </c>
      <c r="AA875" s="403" t="str">
        <f aca="false">IF(ABS(t-T_satellite)&lt;pas/2,"Satellite","")</f>
        <v/>
      </c>
      <c r="AC875" s="399" t="e">
        <f aca="false">IF(ABS(t-ROUND(t,0))&lt;0.001,t,NA())</f>
        <v>#N/A</v>
      </c>
      <c r="AD875" s="404" t="e">
        <f aca="false">IF(ABS(t-ROUND(t,0))&lt;0.001,pos_x,NA())</f>
        <v>#N/A</v>
      </c>
      <c r="AE875" s="405" t="e">
        <f aca="false">IF(t&lt;T_para, pos_z, NA())</f>
        <v>#N/A</v>
      </c>
      <c r="AG875" s="396" t="n">
        <f aca="false">IF(AND(L874&lt;L_rampe,Poussee&lt;Poids*SIN(M874)),0,(-W874+Poussee)/m-Poids*SIN(M874)/m)</f>
        <v>2.40988669921206</v>
      </c>
      <c r="AH875" s="397" t="n">
        <f aca="false">IF(AND(L874&lt;L_rampe,Poussee&lt;Poids*SIN(M874)), g*SIN(M874), (-W874+Poussee)/m)</f>
        <v>-7.35204886739927</v>
      </c>
    </row>
    <row r="876" customFormat="false" ht="12.75" hidden="false" customHeight="false" outlineLevel="0" collapsed="false">
      <c r="A876" s="396" t="n">
        <f aca="false">IF(B875+0.01&lt;=T_ini+ROUNDUP(Temps_fin_propu,0), 0.01, IF(K875&gt;0, 0.1, 0.0001))</f>
        <v>0.0001</v>
      </c>
      <c r="B876" s="397" t="n">
        <f aca="false">B875+pas</f>
        <v>32.1371000000014</v>
      </c>
      <c r="D876" s="396" t="n">
        <f aca="false">IF(AND(L875&lt;L_rampe,Poussee&lt;Poids*SIN(M875)),0,(-W875+Poussee)/m*COS(M875)-U875/m*SIN(M875))</f>
        <v>-0.726886881775085</v>
      </c>
      <c r="E876" s="398" t="n">
        <f aca="false">IF(AND(L875&lt;L_rampe,Poussee&lt;Poids*SIN(M875)),0,(-W875+Poussee)/m*SIN(M875)+U875/m*COS(M875)-Poids/m)</f>
        <v>-2.49393330212936</v>
      </c>
      <c r="F876" s="397" t="n">
        <f aca="false">SQRT(acc_x^2+acc_z^2)</f>
        <v>2.59770434313964</v>
      </c>
      <c r="G876" s="396" t="n">
        <f aca="false">G875+acc_x*pas</f>
        <v>11.4703244926233</v>
      </c>
      <c r="H876" s="398" t="n">
        <f aca="false">H875+acc_z*pas</f>
        <v>-115.449011688518</v>
      </c>
      <c r="I876" s="397" t="n">
        <f aca="false">SQRT(vit_x^2+vit_z^2)</f>
        <v>116.017423880302</v>
      </c>
      <c r="J876" s="396" t="n">
        <f aca="false">J875+0.5*(vit_x+G875)*pas*(K875&gt;=0)</f>
        <v>690.928492655337</v>
      </c>
      <c r="K876" s="398" t="n">
        <f aca="false">K875+0.5*(vit_z+H875)*pas</f>
        <v>-12.8860434666598</v>
      </c>
      <c r="L876" s="397" t="n">
        <f aca="false">SQRT(pos_x^2+pos_z^2)</f>
        <v>691.048646680681</v>
      </c>
      <c r="M876" s="396" t="n">
        <f aca="false">IF(AND(L875&gt;L_rampe,G876&gt;0),ATAN2(G876,H876),$M$4)</f>
        <v>-1.47176729005237</v>
      </c>
      <c r="N876" s="397" t="n">
        <f aca="false">DEGREES(Beta)</f>
        <v>-84.326054145407</v>
      </c>
      <c r="P876" s="399" t="n">
        <f aca="false">MATCH(t-pas/2-T_ini,CdP_t)</f>
        <v>23</v>
      </c>
      <c r="Q876" s="397" t="n">
        <f aca="false">(INDEX(CdP,2,i_P+1)-INDEX(CdP,2,i_P+0))/(INDEX(CdP,1,i_P+1)-INDEX(CdP,1,i_P+0))*(t-pas/2-T_ini-INDEX(CdP,1,i_P+0))+INDEX(CdP,2,i_P+0)</f>
        <v>0</v>
      </c>
      <c r="R876" s="396" t="n">
        <f aca="false">Poussee/(g*ISP)</f>
        <v>0</v>
      </c>
      <c r="S876" s="398" t="n">
        <f aca="false">S875-Débit*pas</f>
        <v>8.45</v>
      </c>
      <c r="T876" s="397" t="n">
        <f aca="false">m*g</f>
        <v>82.8945</v>
      </c>
      <c r="U876" s="400" t="n">
        <f aca="false">IF(pos_xz&lt;L_rampe,Poids*COS(Beta),0)</f>
        <v>0</v>
      </c>
      <c r="V876" s="396" t="n">
        <f aca="false">Rho_moyen*(20000-Alt_rampe-pos_z)/(20000+Alt_rampe+pos_z)</f>
        <v>1.22657955803734</v>
      </c>
      <c r="W876" s="397" t="n">
        <f aca="false">1/2*Rho*Sref*Cx*vit_xz^2</f>
        <v>62.1254725516194</v>
      </c>
      <c r="Y876" s="408" t="str">
        <f aca="false">IF(AND(pos_z&lt;=0,K875&gt;0),"Impact balistique","") &amp; IF(AND(H877&lt;0,vit_z&gt;=0),"Apogée","") &amp; IF(AND(Poussee=0,Q875&gt;0),"Fin de propulsion","") &amp; IF(AND(L877&gt;L_rampe,pos_xz&lt;=L_rampe),"Sortie de rampe","")</f>
        <v/>
      </c>
      <c r="Z876" s="402" t="str">
        <f aca="false">IF(ABS(t-T_para)&lt;pas/2,"Para","")</f>
        <v/>
      </c>
      <c r="AA876" s="403" t="str">
        <f aca="false">IF(ABS(t-T_satellite)&lt;pas/2,"Satellite","")</f>
        <v/>
      </c>
      <c r="AC876" s="399" t="e">
        <f aca="false">IF(ABS(t-ROUND(t,0))&lt;0.001,t,NA())</f>
        <v>#N/A</v>
      </c>
      <c r="AD876" s="404" t="e">
        <f aca="false">IF(ABS(t-ROUND(t,0))&lt;0.001,pos_x,NA())</f>
        <v>#N/A</v>
      </c>
      <c r="AE876" s="405" t="e">
        <f aca="false">IF(t&lt;T_para, pos_z, NA())</f>
        <v>#N/A</v>
      </c>
      <c r="AG876" s="396" t="n">
        <f aca="false">IF(AND(L875&lt;L_rampe,Poussee&lt;Poids*SIN(M875)),0,(-W875+Poussee)/m-Poids*SIN(M875)/m)</f>
        <v>2.40984847899451</v>
      </c>
      <c r="AH876" s="397" t="n">
        <f aca="false">IF(AND(L875&lt;L_rampe,Poussee&lt;Poids*SIN(M875)), g*SIN(M875), (-W875+Poussee)/m)</f>
        <v>-7.35208789845365</v>
      </c>
    </row>
    <row r="877" customFormat="false" ht="12.75" hidden="false" customHeight="false" outlineLevel="0" collapsed="false">
      <c r="A877" s="396" t="n">
        <f aca="false">IF(B876+0.01&lt;=T_ini+ROUNDUP(Temps_fin_propu,0), 0.01, IF(K876&gt;0, 0.1, 0.0001))</f>
        <v>0.0001</v>
      </c>
      <c r="B877" s="397" t="n">
        <f aca="false">B876+pas</f>
        <v>32.1372000000014</v>
      </c>
      <c r="D877" s="396" t="n">
        <f aca="false">IF(AND(L876&lt;L_rampe,Poussee&lt;Poids*SIN(M876)),0,(-W876+Poussee)/m*COS(M876)-U876/m*SIN(M876))</f>
        <v>-0.726884624465725</v>
      </c>
      <c r="E877" s="398" t="n">
        <f aca="false">IF(AND(L876&lt;L_rampe,Poussee&lt;Poids*SIN(M876)),0,(-W876+Poussee)/m*SIN(M876)+U876/m*COS(M876)-Poids/m)</f>
        <v>-2.49389385495445</v>
      </c>
      <c r="F877" s="397" t="n">
        <f aca="false">SQRT(acc_x^2+acc_z^2)</f>
        <v>2.59766584014654</v>
      </c>
      <c r="G877" s="396" t="n">
        <f aca="false">G876+acc_x*pas</f>
        <v>11.4702518041608</v>
      </c>
      <c r="H877" s="398" t="n">
        <f aca="false">H876+acc_z*pas</f>
        <v>-115.449261077904</v>
      </c>
      <c r="I877" s="397" t="n">
        <f aca="false">SQRT(vit_x^2+vit_z^2)</f>
        <v>116.017664861368</v>
      </c>
      <c r="J877" s="396" t="n">
        <f aca="false">J876+0.5*(vit_x+G876)*pas*(K876&gt;=0)</f>
        <v>690.928492655337</v>
      </c>
      <c r="K877" s="398" t="n">
        <f aca="false">K876+0.5*(vit_z+H876)*pas</f>
        <v>-12.8975883802981</v>
      </c>
      <c r="L877" s="397" t="n">
        <f aca="false">SQRT(pos_x^2+pos_z^2)</f>
        <v>691.04886205608</v>
      </c>
      <c r="M877" s="396" t="n">
        <f aca="false">IF(AND(L876&gt;L_rampe,G877&gt;0),ATAN2(G877,H877),$M$4)</f>
        <v>-1.47176812603523</v>
      </c>
      <c r="N877" s="397" t="n">
        <f aca="false">DEGREES(Beta)</f>
        <v>-84.3261020436967</v>
      </c>
      <c r="P877" s="399" t="n">
        <f aca="false">MATCH(t-pas/2-T_ini,CdP_t)</f>
        <v>23</v>
      </c>
      <c r="Q877" s="397" t="n">
        <f aca="false">(INDEX(CdP,2,i_P+1)-INDEX(CdP,2,i_P+0))/(INDEX(CdP,1,i_P+1)-INDEX(CdP,1,i_P+0))*(t-pas/2-T_ini-INDEX(CdP,1,i_P+0))+INDEX(CdP,2,i_P+0)</f>
        <v>0</v>
      </c>
      <c r="R877" s="396" t="n">
        <f aca="false">Poussee/(g*ISP)</f>
        <v>0</v>
      </c>
      <c r="S877" s="398" t="n">
        <f aca="false">S876-Débit*pas</f>
        <v>8.45</v>
      </c>
      <c r="T877" s="397" t="n">
        <f aca="false">m*g</f>
        <v>82.8945</v>
      </c>
      <c r="U877" s="400" t="n">
        <f aca="false">IF(pos_xz&lt;L_rampe,Poids*COS(Beta),0)</f>
        <v>0</v>
      </c>
      <c r="V877" s="396" t="n">
        <f aca="false">Rho_moyen*(20000-Alt_rampe-pos_z)/(20000+Alt_rampe+pos_z)</f>
        <v>1.22658097411426</v>
      </c>
      <c r="W877" s="397" t="n">
        <f aca="false">1/2*Rho*Sref*Cx*vit_xz^2</f>
        <v>62.125802358582</v>
      </c>
      <c r="Y877" s="408" t="str">
        <f aca="false">IF(AND(pos_z&lt;=0,K876&gt;0),"Impact balistique","") &amp; IF(AND(H878&lt;0,vit_z&gt;=0),"Apogée","") &amp; IF(AND(Poussee=0,Q876&gt;0),"Fin de propulsion","") &amp; IF(AND(L878&gt;L_rampe,pos_xz&lt;=L_rampe),"Sortie de rampe","")</f>
        <v/>
      </c>
      <c r="Z877" s="402" t="str">
        <f aca="false">IF(ABS(t-T_para)&lt;pas/2,"Para","")</f>
        <v/>
      </c>
      <c r="AA877" s="403" t="str">
        <f aca="false">IF(ABS(t-T_satellite)&lt;pas/2,"Satellite","")</f>
        <v/>
      </c>
      <c r="AC877" s="399" t="e">
        <f aca="false">IF(ABS(t-ROUND(t,0))&lt;0.001,t,NA())</f>
        <v>#N/A</v>
      </c>
      <c r="AD877" s="404" t="e">
        <f aca="false">IF(ABS(t-ROUND(t,0))&lt;0.001,pos_x,NA())</f>
        <v>#N/A</v>
      </c>
      <c r="AE877" s="405" t="e">
        <f aca="false">IF(t&lt;T_para, pos_z, NA())</f>
        <v>#N/A</v>
      </c>
      <c r="AG877" s="396" t="n">
        <f aca="false">IF(AND(L876&lt;L_rampe,Poussee&lt;Poids*SIN(M876)),0,(-W876+Poussee)/m-Poids*SIN(M876)/m)</f>
        <v>2.40981025908391</v>
      </c>
      <c r="AH877" s="397" t="n">
        <f aca="false">IF(AND(L876&lt;L_rampe,Poussee&lt;Poids*SIN(M876)), g*SIN(M876), (-W876+Poussee)/m)</f>
        <v>-7.35212692918573</v>
      </c>
    </row>
    <row r="878" customFormat="false" ht="12.75" hidden="false" customHeight="false" outlineLevel="0" collapsed="false">
      <c r="A878" s="396" t="n">
        <f aca="false">IF(B877+0.01&lt;=T_ini+ROUNDUP(Temps_fin_propu,0), 0.01, IF(K877&gt;0, 0.1, 0.0001))</f>
        <v>0.0001</v>
      </c>
      <c r="B878" s="397" t="n">
        <f aca="false">B877+pas</f>
        <v>32.1373000000014</v>
      </c>
      <c r="D878" s="396" t="n">
        <f aca="false">IF(AND(L877&lt;L_rampe,Poussee&lt;Poids*SIN(M877)),0,(-W877+Poussee)/m*COS(M877)-U877/m*SIN(M877))</f>
        <v>-0.726882367123222</v>
      </c>
      <c r="E878" s="398" t="n">
        <f aca="false">IF(AND(L877&lt;L_rampe,Poussee&lt;Poids*SIN(M877)),0,(-W877+Poussee)/m*SIN(M877)+U877/m*COS(M877)-Poids/m)</f>
        <v>-2.4938544081053</v>
      </c>
      <c r="F878" s="397" t="n">
        <f aca="false">SQRT(acc_x^2+acc_z^2)</f>
        <v>2.59762733748721</v>
      </c>
      <c r="G878" s="396" t="n">
        <f aca="false">G877+acc_x*pas</f>
        <v>11.4701791159241</v>
      </c>
      <c r="H878" s="398" t="n">
        <f aca="false">H877+acc_z*pas</f>
        <v>-115.449510463344</v>
      </c>
      <c r="I878" s="397" t="n">
        <f aca="false">SQRT(vit_x^2+vit_z^2)</f>
        <v>116.017905838613</v>
      </c>
      <c r="J878" s="396" t="n">
        <f aca="false">J877+0.5*(vit_x+G877)*pas*(K877&gt;=0)</f>
        <v>690.928492655337</v>
      </c>
      <c r="K878" s="398" t="n">
        <f aca="false">K877+0.5*(vit_z+H877)*pas</f>
        <v>-12.9091333188752</v>
      </c>
      <c r="L878" s="397" t="n">
        <f aca="false">SQRT(pos_x^2+pos_z^2)</f>
        <v>691.049077624752</v>
      </c>
      <c r="M878" s="396" t="n">
        <f aca="false">IF(AND(L877&gt;L_rampe,G878&gt;0),ATAN2(G878,H878),$M$4)</f>
        <v>-1.47176896200932</v>
      </c>
      <c r="N878" s="397" t="n">
        <f aca="false">DEGREES(Beta)</f>
        <v>-84.3261499414838</v>
      </c>
      <c r="P878" s="399" t="n">
        <f aca="false">MATCH(t-pas/2-T_ini,CdP_t)</f>
        <v>23</v>
      </c>
      <c r="Q878" s="397" t="n">
        <f aca="false">(INDEX(CdP,2,i_P+1)-INDEX(CdP,2,i_P+0))/(INDEX(CdP,1,i_P+1)-INDEX(CdP,1,i_P+0))*(t-pas/2-T_ini-INDEX(CdP,1,i_P+0))+INDEX(CdP,2,i_P+0)</f>
        <v>0</v>
      </c>
      <c r="R878" s="396" t="n">
        <f aca="false">Poussee/(g*ISP)</f>
        <v>0</v>
      </c>
      <c r="S878" s="398" t="n">
        <f aca="false">S877-Débit*pas</f>
        <v>8.45</v>
      </c>
      <c r="T878" s="397" t="n">
        <f aca="false">m*g</f>
        <v>82.8945</v>
      </c>
      <c r="U878" s="400" t="n">
        <f aca="false">IF(pos_xz&lt;L_rampe,Poids*COS(Beta),0)</f>
        <v>0</v>
      </c>
      <c r="V878" s="396" t="n">
        <f aca="false">Rho_moyen*(20000-Alt_rampe-pos_z)/(20000+Alt_rampe+pos_z)</f>
        <v>1.22658239019586</v>
      </c>
      <c r="W878" s="397" t="n">
        <f aca="false">1/2*Rho*Sref*Cx*vit_xz^2</f>
        <v>62.1261321628212</v>
      </c>
      <c r="Y878" s="408" t="str">
        <f aca="false">IF(AND(pos_z&lt;=0,K877&gt;0),"Impact balistique","") &amp; IF(AND(H879&lt;0,vit_z&gt;=0),"Apogée","") &amp; IF(AND(Poussee=0,Q877&gt;0),"Fin de propulsion","") &amp; IF(AND(L879&gt;L_rampe,pos_xz&lt;=L_rampe),"Sortie de rampe","")</f>
        <v/>
      </c>
      <c r="Z878" s="402" t="str">
        <f aca="false">IF(ABS(t-T_para)&lt;pas/2,"Para","")</f>
        <v/>
      </c>
      <c r="AA878" s="403" t="str">
        <f aca="false">IF(ABS(t-T_satellite)&lt;pas/2,"Satellite","")</f>
        <v/>
      </c>
      <c r="AC878" s="399" t="e">
        <f aca="false">IF(ABS(t-ROUND(t,0))&lt;0.001,t,NA())</f>
        <v>#N/A</v>
      </c>
      <c r="AD878" s="404" t="e">
        <f aca="false">IF(ABS(t-ROUND(t,0))&lt;0.001,pos_x,NA())</f>
        <v>#N/A</v>
      </c>
      <c r="AE878" s="405" t="e">
        <f aca="false">IF(t&lt;T_para, pos_z, NA())</f>
        <v>#N/A</v>
      </c>
      <c r="AG878" s="396" t="n">
        <f aca="false">IF(AND(L877&lt;L_rampe,Poussee&lt;Poids*SIN(M877)),0,(-W877+Poussee)/m-Poids*SIN(M877)/m)</f>
        <v>2.4097720394803</v>
      </c>
      <c r="AH878" s="397" t="n">
        <f aca="false">IF(AND(L877&lt;L_rampe,Poussee&lt;Poids*SIN(M877)), g*SIN(M877), (-W877+Poussee)/m)</f>
        <v>-7.35216595959551</v>
      </c>
    </row>
    <row r="879" customFormat="false" ht="12.75" hidden="false" customHeight="false" outlineLevel="0" collapsed="false">
      <c r="A879" s="396" t="n">
        <f aca="false">IF(B878+0.01&lt;=T_ini+ROUNDUP(Temps_fin_propu,0), 0.01, IF(K878&gt;0, 0.1, 0.0001))</f>
        <v>0.0001</v>
      </c>
      <c r="B879" s="397" t="n">
        <f aca="false">B878+pas</f>
        <v>32.1374000000014</v>
      </c>
      <c r="D879" s="396" t="n">
        <f aca="false">IF(AND(L878&lt;L_rampe,Poussee&lt;Poids*SIN(M878)),0,(-W878+Poussee)/m*COS(M878)-U878/m*SIN(M878))</f>
        <v>-0.726880109747575</v>
      </c>
      <c r="E879" s="398" t="n">
        <f aca="false">IF(AND(L878&lt;L_rampe,Poussee&lt;Poids*SIN(M878)),0,(-W878+Poussee)/m*SIN(M878)+U878/m*COS(M878)-Poids/m)</f>
        <v>-2.49381496158191</v>
      </c>
      <c r="F879" s="397" t="n">
        <f aca="false">SQRT(acc_x^2+acc_z^2)</f>
        <v>2.59758883516165</v>
      </c>
      <c r="G879" s="396" t="n">
        <f aca="false">G878+acc_x*pas</f>
        <v>11.4701064279131</v>
      </c>
      <c r="H879" s="398" t="n">
        <f aca="false">H878+acc_z*pas</f>
        <v>-115.449759844841</v>
      </c>
      <c r="I879" s="397" t="n">
        <f aca="false">SQRT(vit_x^2+vit_z^2)</f>
        <v>116.018146812035</v>
      </c>
      <c r="J879" s="396" t="n">
        <f aca="false">J878+0.5*(vit_x+G878)*pas*(K878&gt;=0)</f>
        <v>690.928492655337</v>
      </c>
      <c r="K879" s="398" t="n">
        <f aca="false">K878+0.5*(vit_z+H878)*pas</f>
        <v>-12.9206782823906</v>
      </c>
      <c r="L879" s="397" t="n">
        <f aca="false">SQRT(pos_x^2+pos_z^2)</f>
        <v>691.049293386697</v>
      </c>
      <c r="M879" s="396" t="n">
        <f aca="false">IF(AND(L878&gt;L_rampe,G879&gt;0),ATAN2(G879,H879),$M$4)</f>
        <v>-1.47176979797464</v>
      </c>
      <c r="N879" s="397" t="n">
        <f aca="false">DEGREES(Beta)</f>
        <v>-84.3261978387685</v>
      </c>
      <c r="P879" s="399" t="n">
        <f aca="false">MATCH(t-pas/2-T_ini,CdP_t)</f>
        <v>23</v>
      </c>
      <c r="Q879" s="397" t="n">
        <f aca="false">(INDEX(CdP,2,i_P+1)-INDEX(CdP,2,i_P+0))/(INDEX(CdP,1,i_P+1)-INDEX(CdP,1,i_P+0))*(t-pas/2-T_ini-INDEX(CdP,1,i_P+0))+INDEX(CdP,2,i_P+0)</f>
        <v>0</v>
      </c>
      <c r="R879" s="396" t="n">
        <f aca="false">Poussee/(g*ISP)</f>
        <v>0</v>
      </c>
      <c r="S879" s="398" t="n">
        <f aca="false">S878-Débit*pas</f>
        <v>8.45</v>
      </c>
      <c r="T879" s="397" t="n">
        <f aca="false">m*g</f>
        <v>82.8945</v>
      </c>
      <c r="U879" s="400" t="n">
        <f aca="false">IF(pos_xz&lt;L_rampe,Poids*COS(Beta),0)</f>
        <v>0</v>
      </c>
      <c r="V879" s="396" t="n">
        <f aca="false">Rho_moyen*(20000-Alt_rampe-pos_z)/(20000+Alt_rampe+pos_z)</f>
        <v>1.22658380628216</v>
      </c>
      <c r="W879" s="397" t="n">
        <f aca="false">1/2*Rho*Sref*Cx*vit_xz^2</f>
        <v>62.1264619643369</v>
      </c>
      <c r="Y879" s="408" t="str">
        <f aca="false">IF(AND(pos_z&lt;=0,K878&gt;0),"Impact balistique","") &amp; IF(AND(H880&lt;0,vit_z&gt;=0),"Apogée","") &amp; IF(AND(Poussee=0,Q878&gt;0),"Fin de propulsion","") &amp; IF(AND(L880&gt;L_rampe,pos_xz&lt;=L_rampe),"Sortie de rampe","")</f>
        <v/>
      </c>
      <c r="Z879" s="402" t="str">
        <f aca="false">IF(ABS(t-T_para)&lt;pas/2,"Para","")</f>
        <v/>
      </c>
      <c r="AA879" s="403" t="str">
        <f aca="false">IF(ABS(t-T_satellite)&lt;pas/2,"Satellite","")</f>
        <v/>
      </c>
      <c r="AC879" s="399" t="e">
        <f aca="false">IF(ABS(t-ROUND(t,0))&lt;0.001,t,NA())</f>
        <v>#N/A</v>
      </c>
      <c r="AD879" s="404" t="e">
        <f aca="false">IF(ABS(t-ROUND(t,0))&lt;0.001,pos_x,NA())</f>
        <v>#N/A</v>
      </c>
      <c r="AE879" s="405" t="e">
        <f aca="false">IF(t&lt;T_para, pos_z, NA())</f>
        <v>#N/A</v>
      </c>
      <c r="AG879" s="396" t="n">
        <f aca="false">IF(AND(L878&lt;L_rampe,Poussee&lt;Poids*SIN(M878)),0,(-W878+Poussee)/m-Poids*SIN(M878)/m)</f>
        <v>2.40973382018366</v>
      </c>
      <c r="AH879" s="397" t="n">
        <f aca="false">IF(AND(L878&lt;L_rampe,Poussee&lt;Poids*SIN(M878)), g*SIN(M878), (-W878+Poussee)/m)</f>
        <v>-7.35220498968298</v>
      </c>
    </row>
    <row r="880" customFormat="false" ht="12.75" hidden="false" customHeight="false" outlineLevel="0" collapsed="false">
      <c r="A880" s="396" t="n">
        <f aca="false">IF(B879+0.01&lt;=T_ini+ROUNDUP(Temps_fin_propu,0), 0.01, IF(K879&gt;0, 0.1, 0.0001))</f>
        <v>0.0001</v>
      </c>
      <c r="B880" s="397" t="n">
        <f aca="false">B879+pas</f>
        <v>32.1375000000014</v>
      </c>
      <c r="D880" s="396" t="n">
        <f aca="false">IF(AND(L879&lt;L_rampe,Poussee&lt;Poids*SIN(M879)),0,(-W879+Poussee)/m*COS(M879)-U879/m*SIN(M879))</f>
        <v>-0.726877852338785</v>
      </c>
      <c r="E880" s="398" t="n">
        <f aca="false">IF(AND(L879&lt;L_rampe,Poussee&lt;Poids*SIN(M879)),0,(-W879+Poussee)/m*SIN(M879)+U879/m*COS(M879)-Poids/m)</f>
        <v>-2.49377551538429</v>
      </c>
      <c r="F880" s="397" t="n">
        <f aca="false">SQRT(acc_x^2+acc_z^2)</f>
        <v>2.59755033316985</v>
      </c>
      <c r="G880" s="396" t="n">
        <f aca="false">G879+acc_x*pas</f>
        <v>11.4700337401279</v>
      </c>
      <c r="H880" s="398" t="n">
        <f aca="false">H879+acc_z*pas</f>
        <v>-115.450009222392</v>
      </c>
      <c r="I880" s="397" t="n">
        <f aca="false">SQRT(vit_x^2+vit_z^2)</f>
        <v>116.018387781636</v>
      </c>
      <c r="J880" s="396" t="n">
        <f aca="false">J879+0.5*(vit_x+G879)*pas*(K879&gt;=0)</f>
        <v>690.928492655337</v>
      </c>
      <c r="K880" s="398" t="n">
        <f aca="false">K879+0.5*(vit_z+H879)*pas</f>
        <v>-12.932223270844</v>
      </c>
      <c r="L880" s="397" t="n">
        <f aca="false">SQRT(pos_x^2+pos_z^2)</f>
        <v>691.049509341916</v>
      </c>
      <c r="M880" s="396" t="n">
        <f aca="false">IF(AND(L879&gt;L_rampe,G880&gt;0),ATAN2(G880,H880),$M$4)</f>
        <v>-1.47177063393119</v>
      </c>
      <c r="N880" s="397" t="n">
        <f aca="false">DEGREES(Beta)</f>
        <v>-84.3262457355506</v>
      </c>
      <c r="P880" s="399" t="n">
        <f aca="false">MATCH(t-pas/2-T_ini,CdP_t)</f>
        <v>23</v>
      </c>
      <c r="Q880" s="397" t="n">
        <f aca="false">(INDEX(CdP,2,i_P+1)-INDEX(CdP,2,i_P+0))/(INDEX(CdP,1,i_P+1)-INDEX(CdP,1,i_P+0))*(t-pas/2-T_ini-INDEX(CdP,1,i_P+0))+INDEX(CdP,2,i_P+0)</f>
        <v>0</v>
      </c>
      <c r="R880" s="396" t="n">
        <f aca="false">Poussee/(g*ISP)</f>
        <v>0</v>
      </c>
      <c r="S880" s="398" t="n">
        <f aca="false">S879-Débit*pas</f>
        <v>8.45</v>
      </c>
      <c r="T880" s="397" t="n">
        <f aca="false">m*g</f>
        <v>82.8945</v>
      </c>
      <c r="U880" s="400" t="n">
        <f aca="false">IF(pos_xz&lt;L_rampe,Poids*COS(Beta),0)</f>
        <v>0</v>
      </c>
      <c r="V880" s="396" t="n">
        <f aca="false">Rho_moyen*(20000-Alt_rampe-pos_z)/(20000+Alt_rampe+pos_z)</f>
        <v>1.22658522237316</v>
      </c>
      <c r="W880" s="397" t="n">
        <f aca="false">1/2*Rho*Sref*Cx*vit_xz^2</f>
        <v>62.1267917631291</v>
      </c>
      <c r="Y880" s="408" t="str">
        <f aca="false">IF(AND(pos_z&lt;=0,K879&gt;0),"Impact balistique","") &amp; IF(AND(H881&lt;0,vit_z&gt;=0),"Apogée","") &amp; IF(AND(Poussee=0,Q879&gt;0),"Fin de propulsion","") &amp; IF(AND(L881&gt;L_rampe,pos_xz&lt;=L_rampe),"Sortie de rampe","")</f>
        <v/>
      </c>
      <c r="Z880" s="402" t="str">
        <f aca="false">IF(ABS(t-T_para)&lt;pas/2,"Para","")</f>
        <v/>
      </c>
      <c r="AA880" s="403" t="str">
        <f aca="false">IF(ABS(t-T_satellite)&lt;pas/2,"Satellite","")</f>
        <v/>
      </c>
      <c r="AC880" s="399" t="e">
        <f aca="false">IF(ABS(t-ROUND(t,0))&lt;0.001,t,NA())</f>
        <v>#N/A</v>
      </c>
      <c r="AD880" s="404" t="e">
        <f aca="false">IF(ABS(t-ROUND(t,0))&lt;0.001,pos_x,NA())</f>
        <v>#N/A</v>
      </c>
      <c r="AE880" s="405" t="e">
        <f aca="false">IF(t&lt;T_para, pos_z, NA())</f>
        <v>#N/A</v>
      </c>
      <c r="AG880" s="396" t="n">
        <f aca="false">IF(AND(L879&lt;L_rampe,Poussee&lt;Poids*SIN(M879)),0,(-W879+Poussee)/m-Poids*SIN(M879)/m)</f>
        <v>2.40969560119399</v>
      </c>
      <c r="AH880" s="397" t="n">
        <f aca="false">IF(AND(L879&lt;L_rampe,Poussee&lt;Poids*SIN(M879)), g*SIN(M879), (-W879+Poussee)/m)</f>
        <v>-7.35224401944815</v>
      </c>
    </row>
    <row r="881" customFormat="false" ht="12.75" hidden="false" customHeight="false" outlineLevel="0" collapsed="false">
      <c r="A881" s="396" t="n">
        <f aca="false">IF(B880+0.01&lt;=T_ini+ROUNDUP(Temps_fin_propu,0), 0.01, IF(K880&gt;0, 0.1, 0.0001))</f>
        <v>0.0001</v>
      </c>
      <c r="B881" s="397" t="n">
        <f aca="false">B880+pas</f>
        <v>32.1376000000014</v>
      </c>
      <c r="D881" s="396" t="n">
        <f aca="false">IF(AND(L880&lt;L_rampe,Poussee&lt;Poids*SIN(M880)),0,(-W880+Poussee)/m*COS(M880)-U880/m*SIN(M880))</f>
        <v>-0.726875594896852</v>
      </c>
      <c r="E881" s="398" t="n">
        <f aca="false">IF(AND(L880&lt;L_rampe,Poussee&lt;Poids*SIN(M880)),0,(-W880+Poussee)/m*SIN(M880)+U880/m*COS(M880)-Poids/m)</f>
        <v>-2.49373606951242</v>
      </c>
      <c r="F881" s="397" t="n">
        <f aca="false">SQRT(acc_x^2+acc_z^2)</f>
        <v>2.59751183151182</v>
      </c>
      <c r="G881" s="396" t="n">
        <f aca="false">G880+acc_x*pas</f>
        <v>11.4699610525684</v>
      </c>
      <c r="H881" s="398" t="n">
        <f aca="false">H880+acc_z*pas</f>
        <v>-115.450258595999</v>
      </c>
      <c r="I881" s="397" t="n">
        <f aca="false">SQRT(vit_x^2+vit_z^2)</f>
        <v>116.018628747415</v>
      </c>
      <c r="J881" s="396" t="n">
        <f aca="false">J880+0.5*(vit_x+G880)*pas*(K880&gt;=0)</f>
        <v>690.928492655337</v>
      </c>
      <c r="K881" s="398" t="n">
        <f aca="false">K880+0.5*(vit_z+H880)*pas</f>
        <v>-12.9437682842349</v>
      </c>
      <c r="L881" s="397" t="n">
        <f aca="false">SQRT(pos_x^2+pos_z^2)</f>
        <v>691.04972549041</v>
      </c>
      <c r="M881" s="396" t="n">
        <f aca="false">IF(AND(L880&gt;L_rampe,G881&gt;0),ATAN2(G881,H881),$M$4)</f>
        <v>-1.47177146987897</v>
      </c>
      <c r="N881" s="397" t="n">
        <f aca="false">DEGREES(Beta)</f>
        <v>-84.3262936318303</v>
      </c>
      <c r="P881" s="399" t="n">
        <f aca="false">MATCH(t-pas/2-T_ini,CdP_t)</f>
        <v>23</v>
      </c>
      <c r="Q881" s="397" t="n">
        <f aca="false">(INDEX(CdP,2,i_P+1)-INDEX(CdP,2,i_P+0))/(INDEX(CdP,1,i_P+1)-INDEX(CdP,1,i_P+0))*(t-pas/2-T_ini-INDEX(CdP,1,i_P+0))+INDEX(CdP,2,i_P+0)</f>
        <v>0</v>
      </c>
      <c r="R881" s="396" t="n">
        <f aca="false">Poussee/(g*ISP)</f>
        <v>0</v>
      </c>
      <c r="S881" s="398" t="n">
        <f aca="false">S880-Débit*pas</f>
        <v>8.45</v>
      </c>
      <c r="T881" s="397" t="n">
        <f aca="false">m*g</f>
        <v>82.8945</v>
      </c>
      <c r="U881" s="400" t="n">
        <f aca="false">IF(pos_xz&lt;L_rampe,Poids*COS(Beta),0)</f>
        <v>0</v>
      </c>
      <c r="V881" s="396" t="n">
        <f aca="false">Rho_moyen*(20000-Alt_rampe-pos_z)/(20000+Alt_rampe+pos_z)</f>
        <v>1.22658663846885</v>
      </c>
      <c r="W881" s="397" t="n">
        <f aca="false">1/2*Rho*Sref*Cx*vit_xz^2</f>
        <v>62.1271215591979</v>
      </c>
      <c r="Y881" s="408" t="str">
        <f aca="false">IF(AND(pos_z&lt;=0,K880&gt;0),"Impact balistique","") &amp; IF(AND(H882&lt;0,vit_z&gt;=0),"Apogée","") &amp; IF(AND(Poussee=0,Q880&gt;0),"Fin de propulsion","") &amp; IF(AND(L882&gt;L_rampe,pos_xz&lt;=L_rampe),"Sortie de rampe","")</f>
        <v/>
      </c>
      <c r="Z881" s="402" t="str">
        <f aca="false">IF(ABS(t-T_para)&lt;pas/2,"Para","")</f>
        <v/>
      </c>
      <c r="AA881" s="403" t="str">
        <f aca="false">IF(ABS(t-T_satellite)&lt;pas/2,"Satellite","")</f>
        <v/>
      </c>
      <c r="AC881" s="399" t="e">
        <f aca="false">IF(ABS(t-ROUND(t,0))&lt;0.001,t,NA())</f>
        <v>#N/A</v>
      </c>
      <c r="AD881" s="404" t="e">
        <f aca="false">IF(ABS(t-ROUND(t,0))&lt;0.001,pos_x,NA())</f>
        <v>#N/A</v>
      </c>
      <c r="AE881" s="405" t="e">
        <f aca="false">IF(t&lt;T_para, pos_z, NA())</f>
        <v>#N/A</v>
      </c>
      <c r="AG881" s="396" t="n">
        <f aca="false">IF(AND(L880&lt;L_rampe,Poussee&lt;Poids*SIN(M880)),0,(-W880+Poussee)/m-Poids*SIN(M880)/m)</f>
        <v>2.4096573825113</v>
      </c>
      <c r="AH881" s="397" t="n">
        <f aca="false">IF(AND(L880&lt;L_rampe,Poussee&lt;Poids*SIN(M880)), g*SIN(M880), (-W880+Poussee)/m)</f>
        <v>-7.35228304889102</v>
      </c>
    </row>
    <row r="882" customFormat="false" ht="12.75" hidden="false" customHeight="false" outlineLevel="0" collapsed="false">
      <c r="A882" s="396" t="n">
        <f aca="false">IF(B881+0.01&lt;=T_ini+ROUNDUP(Temps_fin_propu,0), 0.01, IF(K881&gt;0, 0.1, 0.0001))</f>
        <v>0.0001</v>
      </c>
      <c r="B882" s="397" t="n">
        <f aca="false">B881+pas</f>
        <v>32.1377000000014</v>
      </c>
      <c r="D882" s="396" t="n">
        <f aca="false">IF(AND(L881&lt;L_rampe,Poussee&lt;Poids*SIN(M881)),0,(-W881+Poussee)/m*COS(M881)-U881/m*SIN(M881))</f>
        <v>-0.726873337421779</v>
      </c>
      <c r="E882" s="398" t="n">
        <f aca="false">IF(AND(L881&lt;L_rampe,Poussee&lt;Poids*SIN(M881)),0,(-W881+Poussee)/m*SIN(M881)+U881/m*COS(M881)-Poids/m)</f>
        <v>-2.49369662396631</v>
      </c>
      <c r="F882" s="397" t="n">
        <f aca="false">SQRT(acc_x^2+acc_z^2)</f>
        <v>2.59747333018756</v>
      </c>
      <c r="G882" s="396" t="n">
        <f aca="false">G881+acc_x*pas</f>
        <v>11.4698883652347</v>
      </c>
      <c r="H882" s="398" t="n">
        <f aca="false">H881+acc_z*pas</f>
        <v>-115.450507965661</v>
      </c>
      <c r="I882" s="397" t="n">
        <f aca="false">SQRT(vit_x^2+vit_z^2)</f>
        <v>116.018869709372</v>
      </c>
      <c r="J882" s="396" t="n">
        <f aca="false">J881+0.5*(vit_x+G881)*pas*(K881&gt;=0)</f>
        <v>690.928492655337</v>
      </c>
      <c r="K882" s="398" t="n">
        <f aca="false">K881+0.5*(vit_z+H881)*pas</f>
        <v>-12.955313322563</v>
      </c>
      <c r="L882" s="397" t="n">
        <f aca="false">SQRT(pos_x^2+pos_z^2)</f>
        <v>691.049941832182</v>
      </c>
      <c r="M882" s="396" t="n">
        <f aca="false">IF(AND(L881&gt;L_rampe,G882&gt;0),ATAN2(G882,H882),$M$4)</f>
        <v>-1.47177230581798</v>
      </c>
      <c r="N882" s="397" t="n">
        <f aca="false">DEGREES(Beta)</f>
        <v>-84.3263415276075</v>
      </c>
      <c r="P882" s="399" t="n">
        <f aca="false">MATCH(t-pas/2-T_ini,CdP_t)</f>
        <v>23</v>
      </c>
      <c r="Q882" s="397" t="n">
        <f aca="false">(INDEX(CdP,2,i_P+1)-INDEX(CdP,2,i_P+0))/(INDEX(CdP,1,i_P+1)-INDEX(CdP,1,i_P+0))*(t-pas/2-T_ini-INDEX(CdP,1,i_P+0))+INDEX(CdP,2,i_P+0)</f>
        <v>0</v>
      </c>
      <c r="R882" s="396" t="n">
        <f aca="false">Poussee/(g*ISP)</f>
        <v>0</v>
      </c>
      <c r="S882" s="398" t="n">
        <f aca="false">S881-Débit*pas</f>
        <v>8.45</v>
      </c>
      <c r="T882" s="397" t="n">
        <f aca="false">m*g</f>
        <v>82.8945</v>
      </c>
      <c r="U882" s="400" t="n">
        <f aca="false">IF(pos_xz&lt;L_rampe,Poids*COS(Beta),0)</f>
        <v>0</v>
      </c>
      <c r="V882" s="396" t="n">
        <f aca="false">Rho_moyen*(20000-Alt_rampe-pos_z)/(20000+Alt_rampe+pos_z)</f>
        <v>1.22658805456924</v>
      </c>
      <c r="W882" s="397" t="n">
        <f aca="false">1/2*Rho*Sref*Cx*vit_xz^2</f>
        <v>62.1274513525432</v>
      </c>
      <c r="Y882" s="408" t="str">
        <f aca="false">IF(AND(pos_z&lt;=0,K881&gt;0),"Impact balistique","") &amp; IF(AND(H883&lt;0,vit_z&gt;=0),"Apogée","") &amp; IF(AND(Poussee=0,Q881&gt;0),"Fin de propulsion","") &amp; IF(AND(L883&gt;L_rampe,pos_xz&lt;=L_rampe),"Sortie de rampe","")</f>
        <v/>
      </c>
      <c r="Z882" s="402" t="str">
        <f aca="false">IF(ABS(t-T_para)&lt;pas/2,"Para","")</f>
        <v/>
      </c>
      <c r="AA882" s="403" t="str">
        <f aca="false">IF(ABS(t-T_satellite)&lt;pas/2,"Satellite","")</f>
        <v/>
      </c>
      <c r="AC882" s="399" t="e">
        <f aca="false">IF(ABS(t-ROUND(t,0))&lt;0.001,t,NA())</f>
        <v>#N/A</v>
      </c>
      <c r="AD882" s="404" t="e">
        <f aca="false">IF(ABS(t-ROUND(t,0))&lt;0.001,pos_x,NA())</f>
        <v>#N/A</v>
      </c>
      <c r="AE882" s="405" t="e">
        <f aca="false">IF(t&lt;T_para, pos_z, NA())</f>
        <v>#N/A</v>
      </c>
      <c r="AG882" s="396" t="n">
        <f aca="false">IF(AND(L881&lt;L_rampe,Poussee&lt;Poids*SIN(M881)),0,(-W881+Poussee)/m-Poids*SIN(M881)/m)</f>
        <v>2.40961916413558</v>
      </c>
      <c r="AH882" s="397" t="n">
        <f aca="false">IF(AND(L881&lt;L_rampe,Poussee&lt;Poids*SIN(M881)), g*SIN(M881), (-W881+Poussee)/m)</f>
        <v>-7.35232207801159</v>
      </c>
    </row>
    <row r="883" customFormat="false" ht="12.75" hidden="false" customHeight="false" outlineLevel="0" collapsed="false">
      <c r="A883" s="396" t="n">
        <f aca="false">IF(B882+0.01&lt;=T_ini+ROUNDUP(Temps_fin_propu,0), 0.01, IF(K882&gt;0, 0.1, 0.0001))</f>
        <v>0.0001</v>
      </c>
      <c r="B883" s="397" t="n">
        <f aca="false">B882+pas</f>
        <v>32.1378000000014</v>
      </c>
      <c r="D883" s="396" t="n">
        <f aca="false">IF(AND(L882&lt;L_rampe,Poussee&lt;Poids*SIN(M882)),0,(-W882+Poussee)/m*COS(M882)-U882/m*SIN(M882))</f>
        <v>-0.726871079913564</v>
      </c>
      <c r="E883" s="398" t="n">
        <f aca="false">IF(AND(L882&lt;L_rampe,Poussee&lt;Poids*SIN(M882)),0,(-W882+Poussee)/m*SIN(M882)+U882/m*COS(M882)-Poids/m)</f>
        <v>-2.49365717874596</v>
      </c>
      <c r="F883" s="397" t="n">
        <f aca="false">SQRT(acc_x^2+acc_z^2)</f>
        <v>2.59743482919707</v>
      </c>
      <c r="G883" s="396" t="n">
        <f aca="false">G882+acc_x*pas</f>
        <v>11.4698156781267</v>
      </c>
      <c r="H883" s="398" t="n">
        <f aca="false">H882+acc_z*pas</f>
        <v>-115.450757331379</v>
      </c>
      <c r="I883" s="397" t="n">
        <f aca="false">SQRT(vit_x^2+vit_z^2)</f>
        <v>116.019110667507</v>
      </c>
      <c r="J883" s="396" t="n">
        <f aca="false">J882+0.5*(vit_x+G882)*pas*(K882&gt;=0)</f>
        <v>690.928492655337</v>
      </c>
      <c r="K883" s="398" t="n">
        <f aca="false">K882+0.5*(vit_z+H882)*pas</f>
        <v>-12.9668583858278</v>
      </c>
      <c r="L883" s="397" t="n">
        <f aca="false">SQRT(pos_x^2+pos_z^2)</f>
        <v>691.05015836723</v>
      </c>
      <c r="M883" s="396" t="n">
        <f aca="false">IF(AND(L882&gt;L_rampe,G883&gt;0),ATAN2(G883,H883),$M$4)</f>
        <v>-1.47177314174821</v>
      </c>
      <c r="N883" s="397" t="n">
        <f aca="false">DEGREES(Beta)</f>
        <v>-84.3263894228822</v>
      </c>
      <c r="P883" s="399" t="n">
        <f aca="false">MATCH(t-pas/2-T_ini,CdP_t)</f>
        <v>23</v>
      </c>
      <c r="Q883" s="397" t="n">
        <f aca="false">(INDEX(CdP,2,i_P+1)-INDEX(CdP,2,i_P+0))/(INDEX(CdP,1,i_P+1)-INDEX(CdP,1,i_P+0))*(t-pas/2-T_ini-INDEX(CdP,1,i_P+0))+INDEX(CdP,2,i_P+0)</f>
        <v>0</v>
      </c>
      <c r="R883" s="396" t="n">
        <f aca="false">Poussee/(g*ISP)</f>
        <v>0</v>
      </c>
      <c r="S883" s="398" t="n">
        <f aca="false">S882-Débit*pas</f>
        <v>8.45</v>
      </c>
      <c r="T883" s="397" t="n">
        <f aca="false">m*g</f>
        <v>82.8945</v>
      </c>
      <c r="U883" s="400" t="n">
        <f aca="false">IF(pos_xz&lt;L_rampe,Poids*COS(Beta),0)</f>
        <v>0</v>
      </c>
      <c r="V883" s="396" t="n">
        <f aca="false">Rho_moyen*(20000-Alt_rampe-pos_z)/(20000+Alt_rampe+pos_z)</f>
        <v>1.22658947067432</v>
      </c>
      <c r="W883" s="397" t="n">
        <f aca="false">1/2*Rho*Sref*Cx*vit_xz^2</f>
        <v>62.1277811431651</v>
      </c>
      <c r="Y883" s="408" t="str">
        <f aca="false">IF(AND(pos_z&lt;=0,K882&gt;0),"Impact balistique","") &amp; IF(AND(H884&lt;0,vit_z&gt;=0),"Apogée","") &amp; IF(AND(Poussee=0,Q882&gt;0),"Fin de propulsion","") &amp; IF(AND(L884&gt;L_rampe,pos_xz&lt;=L_rampe),"Sortie de rampe","")</f>
        <v/>
      </c>
      <c r="Z883" s="402" t="str">
        <f aca="false">IF(ABS(t-T_para)&lt;pas/2,"Para","")</f>
        <v/>
      </c>
      <c r="AA883" s="403" t="str">
        <f aca="false">IF(ABS(t-T_satellite)&lt;pas/2,"Satellite","")</f>
        <v/>
      </c>
      <c r="AC883" s="399" t="e">
        <f aca="false">IF(ABS(t-ROUND(t,0))&lt;0.001,t,NA())</f>
        <v>#N/A</v>
      </c>
      <c r="AD883" s="404" t="e">
        <f aca="false">IF(ABS(t-ROUND(t,0))&lt;0.001,pos_x,NA())</f>
        <v>#N/A</v>
      </c>
      <c r="AE883" s="405" t="e">
        <f aca="false">IF(t&lt;T_para, pos_z, NA())</f>
        <v>#N/A</v>
      </c>
      <c r="AG883" s="396" t="n">
        <f aca="false">IF(AND(L882&lt;L_rampe,Poussee&lt;Poids*SIN(M882)),0,(-W882+Poussee)/m-Poids*SIN(M882)/m)</f>
        <v>2.40958094606684</v>
      </c>
      <c r="AH883" s="397" t="n">
        <f aca="false">IF(AND(L882&lt;L_rampe,Poussee&lt;Poids*SIN(M882)), g*SIN(M882), (-W882+Poussee)/m)</f>
        <v>-7.35236110680985</v>
      </c>
    </row>
    <row r="884" customFormat="false" ht="12.75" hidden="false" customHeight="false" outlineLevel="0" collapsed="false">
      <c r="A884" s="396" t="n">
        <f aca="false">IF(B883+0.01&lt;=T_ini+ROUNDUP(Temps_fin_propu,0), 0.01, IF(K883&gt;0, 0.1, 0.0001))</f>
        <v>0.0001</v>
      </c>
      <c r="B884" s="397" t="n">
        <f aca="false">B883+pas</f>
        <v>32.1379000000014</v>
      </c>
      <c r="D884" s="396" t="n">
        <f aca="false">IF(AND(L883&lt;L_rampe,Poussee&lt;Poids*SIN(M883)),0,(-W883+Poussee)/m*COS(M883)-U883/m*SIN(M883))</f>
        <v>-0.72686882237221</v>
      </c>
      <c r="E884" s="398" t="n">
        <f aca="false">IF(AND(L883&lt;L_rampe,Poussee&lt;Poids*SIN(M883)),0,(-W883+Poussee)/m*SIN(M883)+U883/m*COS(M883)-Poids/m)</f>
        <v>-2.49361773385138</v>
      </c>
      <c r="F884" s="397" t="n">
        <f aca="false">SQRT(acc_x^2+acc_z^2)</f>
        <v>2.59739632854035</v>
      </c>
      <c r="G884" s="396" t="n">
        <f aca="false">G883+acc_x*pas</f>
        <v>11.4697429912444</v>
      </c>
      <c r="H884" s="398" t="n">
        <f aca="false">H883+acc_z*pas</f>
        <v>-115.451006693153</v>
      </c>
      <c r="I884" s="397" t="n">
        <f aca="false">SQRT(vit_x^2+vit_z^2)</f>
        <v>116.01935162182</v>
      </c>
      <c r="J884" s="396" t="n">
        <f aca="false">J883+0.5*(vit_x+G883)*pas*(K883&gt;=0)</f>
        <v>690.928492655337</v>
      </c>
      <c r="K884" s="398" t="n">
        <f aca="false">K883+0.5*(vit_z+H883)*pas</f>
        <v>-12.978403474029</v>
      </c>
      <c r="L884" s="397" t="n">
        <f aca="false">SQRT(pos_x^2+pos_z^2)</f>
        <v>691.050375095557</v>
      </c>
      <c r="M884" s="396" t="n">
        <f aca="false">IF(AND(L883&gt;L_rampe,G884&gt;0),ATAN2(G884,H884),$M$4)</f>
        <v>-1.47177397766969</v>
      </c>
      <c r="N884" s="397" t="n">
        <f aca="false">DEGREES(Beta)</f>
        <v>-84.3264373176544</v>
      </c>
      <c r="P884" s="399" t="n">
        <f aca="false">MATCH(t-pas/2-T_ini,CdP_t)</f>
        <v>23</v>
      </c>
      <c r="Q884" s="397" t="n">
        <f aca="false">(INDEX(CdP,2,i_P+1)-INDEX(CdP,2,i_P+0))/(INDEX(CdP,1,i_P+1)-INDEX(CdP,1,i_P+0))*(t-pas/2-T_ini-INDEX(CdP,1,i_P+0))+INDEX(CdP,2,i_P+0)</f>
        <v>0</v>
      </c>
      <c r="R884" s="396" t="n">
        <f aca="false">Poussee/(g*ISP)</f>
        <v>0</v>
      </c>
      <c r="S884" s="398" t="n">
        <f aca="false">S883-Débit*pas</f>
        <v>8.45</v>
      </c>
      <c r="T884" s="397" t="n">
        <f aca="false">m*g</f>
        <v>82.8945</v>
      </c>
      <c r="U884" s="400" t="n">
        <f aca="false">IF(pos_xz&lt;L_rampe,Poids*COS(Beta),0)</f>
        <v>0</v>
      </c>
      <c r="V884" s="396" t="n">
        <f aca="false">Rho_moyen*(20000-Alt_rampe-pos_z)/(20000+Alt_rampe+pos_z)</f>
        <v>1.2265908867841</v>
      </c>
      <c r="W884" s="397" t="n">
        <f aca="false">1/2*Rho*Sref*Cx*vit_xz^2</f>
        <v>62.1281109310634</v>
      </c>
      <c r="Y884" s="408" t="str">
        <f aca="false">IF(AND(pos_z&lt;=0,K883&gt;0),"Impact balistique","") &amp; IF(AND(H885&lt;0,vit_z&gt;=0),"Apogée","") &amp; IF(AND(Poussee=0,Q883&gt;0),"Fin de propulsion","") &amp; IF(AND(L885&gt;L_rampe,pos_xz&lt;=L_rampe),"Sortie de rampe","")</f>
        <v/>
      </c>
      <c r="Z884" s="402" t="str">
        <f aca="false">IF(ABS(t-T_para)&lt;pas/2,"Para","")</f>
        <v/>
      </c>
      <c r="AA884" s="403" t="str">
        <f aca="false">IF(ABS(t-T_satellite)&lt;pas/2,"Satellite","")</f>
        <v/>
      </c>
      <c r="AC884" s="399" t="e">
        <f aca="false">IF(ABS(t-ROUND(t,0))&lt;0.001,t,NA())</f>
        <v>#N/A</v>
      </c>
      <c r="AD884" s="404" t="e">
        <f aca="false">IF(ABS(t-ROUND(t,0))&lt;0.001,pos_x,NA())</f>
        <v>#N/A</v>
      </c>
      <c r="AE884" s="405" t="e">
        <f aca="false">IF(t&lt;T_para, pos_z, NA())</f>
        <v>#N/A</v>
      </c>
      <c r="AG884" s="396" t="n">
        <f aca="false">IF(AND(L883&lt;L_rampe,Poussee&lt;Poids*SIN(M883)),0,(-W883+Poussee)/m-Poids*SIN(M883)/m)</f>
        <v>2.40954272830508</v>
      </c>
      <c r="AH884" s="397" t="n">
        <f aca="false">IF(AND(L883&lt;L_rampe,Poussee&lt;Poids*SIN(M883)), g*SIN(M883), (-W883+Poussee)/m)</f>
        <v>-7.35240013528581</v>
      </c>
    </row>
    <row r="885" customFormat="false" ht="12.75" hidden="false" customHeight="false" outlineLevel="0" collapsed="false">
      <c r="A885" s="396" t="n">
        <f aca="false">IF(B884+0.01&lt;=T_ini+ROUNDUP(Temps_fin_propu,0), 0.01, IF(K884&gt;0, 0.1, 0.0001))</f>
        <v>0.0001</v>
      </c>
      <c r="B885" s="397" t="n">
        <f aca="false">B884+pas</f>
        <v>32.1380000000015</v>
      </c>
      <c r="D885" s="396" t="n">
        <f aca="false">IF(AND(L884&lt;L_rampe,Poussee&lt;Poids*SIN(M884)),0,(-W884+Poussee)/m*COS(M884)-U884/m*SIN(M884))</f>
        <v>-0.726866564797716</v>
      </c>
      <c r="E885" s="398" t="n">
        <f aca="false">IF(AND(L884&lt;L_rampe,Poussee&lt;Poids*SIN(M884)),0,(-W884+Poussee)/m*SIN(M884)+U884/m*COS(M884)-Poids/m)</f>
        <v>-2.49357828928256</v>
      </c>
      <c r="F885" s="397" t="n">
        <f aca="false">SQRT(acc_x^2+acc_z^2)</f>
        <v>2.59735782821739</v>
      </c>
      <c r="G885" s="396" t="n">
        <f aca="false">G884+acc_x*pas</f>
        <v>11.469670304588</v>
      </c>
      <c r="H885" s="398" t="n">
        <f aca="false">H884+acc_z*pas</f>
        <v>-115.451256050982</v>
      </c>
      <c r="I885" s="397" t="n">
        <f aca="false">SQRT(vit_x^2+vit_z^2)</f>
        <v>116.019592572312</v>
      </c>
      <c r="J885" s="396" t="n">
        <f aca="false">J884+0.5*(vit_x+G884)*pas*(K884&gt;=0)</f>
        <v>690.928492655337</v>
      </c>
      <c r="K885" s="398" t="n">
        <f aca="false">K884+0.5*(vit_z+H884)*pas</f>
        <v>-12.9899485871663</v>
      </c>
      <c r="L885" s="397" t="n">
        <f aca="false">SQRT(pos_x^2+pos_z^2)</f>
        <v>691.050592017164</v>
      </c>
      <c r="M885" s="396" t="n">
        <f aca="false">IF(AND(L884&gt;L_rampe,G885&gt;0),ATAN2(G885,H885),$M$4)</f>
        <v>-1.47177481358239</v>
      </c>
      <c r="N885" s="397" t="n">
        <f aca="false">DEGREES(Beta)</f>
        <v>-84.3264852119242</v>
      </c>
      <c r="P885" s="399" t="n">
        <f aca="false">MATCH(t-pas/2-T_ini,CdP_t)</f>
        <v>23</v>
      </c>
      <c r="Q885" s="397" t="n">
        <f aca="false">(INDEX(CdP,2,i_P+1)-INDEX(CdP,2,i_P+0))/(INDEX(CdP,1,i_P+1)-INDEX(CdP,1,i_P+0))*(t-pas/2-T_ini-INDEX(CdP,1,i_P+0))+INDEX(CdP,2,i_P+0)</f>
        <v>0</v>
      </c>
      <c r="R885" s="396" t="n">
        <f aca="false">Poussee/(g*ISP)</f>
        <v>0</v>
      </c>
      <c r="S885" s="398" t="n">
        <f aca="false">S884-Débit*pas</f>
        <v>8.45</v>
      </c>
      <c r="T885" s="397" t="n">
        <f aca="false">m*g</f>
        <v>82.8945</v>
      </c>
      <c r="U885" s="400" t="n">
        <f aca="false">IF(pos_xz&lt;L_rampe,Poids*COS(Beta),0)</f>
        <v>0</v>
      </c>
      <c r="V885" s="396" t="n">
        <f aca="false">Rho_moyen*(20000-Alt_rampe-pos_z)/(20000+Alt_rampe+pos_z)</f>
        <v>1.22659230289857</v>
      </c>
      <c r="W885" s="397" t="n">
        <f aca="false">1/2*Rho*Sref*Cx*vit_xz^2</f>
        <v>62.1284407162383</v>
      </c>
      <c r="Y885" s="408" t="str">
        <f aca="false">IF(AND(pos_z&lt;=0,K884&gt;0),"Impact balistique","") &amp; IF(AND(H886&lt;0,vit_z&gt;=0),"Apogée","") &amp; IF(AND(Poussee=0,Q884&gt;0),"Fin de propulsion","") &amp; IF(AND(L886&gt;L_rampe,pos_xz&lt;=L_rampe),"Sortie de rampe","")</f>
        <v/>
      </c>
      <c r="Z885" s="402" t="str">
        <f aca="false">IF(ABS(t-T_para)&lt;pas/2,"Para","")</f>
        <v/>
      </c>
      <c r="AA885" s="403" t="str">
        <f aca="false">IF(ABS(t-T_satellite)&lt;pas/2,"Satellite","")</f>
        <v/>
      </c>
      <c r="AC885" s="399" t="e">
        <f aca="false">IF(ABS(t-ROUND(t,0))&lt;0.001,t,NA())</f>
        <v>#N/A</v>
      </c>
      <c r="AD885" s="404" t="e">
        <f aca="false">IF(ABS(t-ROUND(t,0))&lt;0.001,pos_x,NA())</f>
        <v>#N/A</v>
      </c>
      <c r="AE885" s="405" t="e">
        <f aca="false">IF(t&lt;T_para, pos_z, NA())</f>
        <v>#N/A</v>
      </c>
      <c r="AG885" s="396" t="n">
        <f aca="false">IF(AND(L884&lt;L_rampe,Poussee&lt;Poids*SIN(M884)),0,(-W884+Poussee)/m-Poids*SIN(M884)/m)</f>
        <v>2.4095045108503</v>
      </c>
      <c r="AH885" s="397" t="n">
        <f aca="false">IF(AND(L884&lt;L_rampe,Poussee&lt;Poids*SIN(M884)), g*SIN(M884), (-W884+Poussee)/m)</f>
        <v>-7.35243916343946</v>
      </c>
    </row>
    <row r="886" customFormat="false" ht="12.75" hidden="false" customHeight="false" outlineLevel="0" collapsed="false">
      <c r="A886" s="396" t="n">
        <f aca="false">IF(B885+0.01&lt;=T_ini+ROUNDUP(Temps_fin_propu,0), 0.01, IF(K885&gt;0, 0.1, 0.0001))</f>
        <v>0.0001</v>
      </c>
      <c r="B886" s="397" t="n">
        <f aca="false">B885+pas</f>
        <v>32.1381000000015</v>
      </c>
      <c r="D886" s="396" t="n">
        <f aca="false">IF(AND(L885&lt;L_rampe,Poussee&lt;Poids*SIN(M885)),0,(-W885+Poussee)/m*COS(M885)-U885/m*SIN(M885))</f>
        <v>-0.726864307190084</v>
      </c>
      <c r="E886" s="398" t="n">
        <f aca="false">IF(AND(L885&lt;L_rampe,Poussee&lt;Poids*SIN(M885)),0,(-W885+Poussee)/m*SIN(M885)+U885/m*COS(M885)-Poids/m)</f>
        <v>-2.4935388450395</v>
      </c>
      <c r="F886" s="397" t="n">
        <f aca="false">SQRT(acc_x^2+acc_z^2)</f>
        <v>2.59731932822821</v>
      </c>
      <c r="G886" s="396" t="n">
        <f aca="false">G885+acc_x*pas</f>
        <v>11.4695976181572</v>
      </c>
      <c r="H886" s="398" t="n">
        <f aca="false">H885+acc_z*pas</f>
        <v>-115.451505404866</v>
      </c>
      <c r="I886" s="397" t="n">
        <f aca="false">SQRT(vit_x^2+vit_z^2)</f>
        <v>116.019833518982</v>
      </c>
      <c r="J886" s="396" t="n">
        <f aca="false">J885+0.5*(vit_x+G885)*pas*(K885&gt;=0)</f>
        <v>690.928492655337</v>
      </c>
      <c r="K886" s="398" t="n">
        <f aca="false">K885+0.5*(vit_z+H885)*pas</f>
        <v>-13.001493725239</v>
      </c>
      <c r="L886" s="397" t="n">
        <f aca="false">SQRT(pos_x^2+pos_z^2)</f>
        <v>691.050809132052</v>
      </c>
      <c r="M886" s="396" t="n">
        <f aca="false">IF(AND(L885&gt;L_rampe,G886&gt;0),ATAN2(G886,H886),$M$4)</f>
        <v>-1.47177564948632</v>
      </c>
      <c r="N886" s="397" t="n">
        <f aca="false">DEGREES(Beta)</f>
        <v>-84.3265331056915</v>
      </c>
      <c r="P886" s="399" t="n">
        <f aca="false">MATCH(t-pas/2-T_ini,CdP_t)</f>
        <v>23</v>
      </c>
      <c r="Q886" s="397" t="n">
        <f aca="false">(INDEX(CdP,2,i_P+1)-INDEX(CdP,2,i_P+0))/(INDEX(CdP,1,i_P+1)-INDEX(CdP,1,i_P+0))*(t-pas/2-T_ini-INDEX(CdP,1,i_P+0))+INDEX(CdP,2,i_P+0)</f>
        <v>0</v>
      </c>
      <c r="R886" s="396" t="n">
        <f aca="false">Poussee/(g*ISP)</f>
        <v>0</v>
      </c>
      <c r="S886" s="398" t="n">
        <f aca="false">S885-Débit*pas</f>
        <v>8.45</v>
      </c>
      <c r="T886" s="397" t="n">
        <f aca="false">m*g</f>
        <v>82.8945</v>
      </c>
      <c r="U886" s="400" t="n">
        <f aca="false">IF(pos_xz&lt;L_rampe,Poids*COS(Beta),0)</f>
        <v>0</v>
      </c>
      <c r="V886" s="396" t="n">
        <f aca="false">Rho_moyen*(20000-Alt_rampe-pos_z)/(20000+Alt_rampe+pos_z)</f>
        <v>1.22659371901773</v>
      </c>
      <c r="W886" s="397" t="n">
        <f aca="false">1/2*Rho*Sref*Cx*vit_xz^2</f>
        <v>62.1287704986897</v>
      </c>
      <c r="Y886" s="408" t="str">
        <f aca="false">IF(AND(pos_z&lt;=0,K885&gt;0),"Impact balistique","") &amp; IF(AND(H887&lt;0,vit_z&gt;=0),"Apogée","") &amp; IF(AND(Poussee=0,Q885&gt;0),"Fin de propulsion","") &amp; IF(AND(L887&gt;L_rampe,pos_xz&lt;=L_rampe),"Sortie de rampe","")</f>
        <v/>
      </c>
      <c r="Z886" s="402" t="str">
        <f aca="false">IF(ABS(t-T_para)&lt;pas/2,"Para","")</f>
        <v/>
      </c>
      <c r="AA886" s="403" t="str">
        <f aca="false">IF(ABS(t-T_satellite)&lt;pas/2,"Satellite","")</f>
        <v/>
      </c>
      <c r="AC886" s="399" t="e">
        <f aca="false">IF(ABS(t-ROUND(t,0))&lt;0.001,t,NA())</f>
        <v>#N/A</v>
      </c>
      <c r="AD886" s="404" t="e">
        <f aca="false">IF(ABS(t-ROUND(t,0))&lt;0.001,pos_x,NA())</f>
        <v>#N/A</v>
      </c>
      <c r="AE886" s="405" t="e">
        <f aca="false">IF(t&lt;T_para, pos_z, NA())</f>
        <v>#N/A</v>
      </c>
      <c r="AG886" s="396" t="n">
        <f aca="false">IF(AND(L885&lt;L_rampe,Poussee&lt;Poids*SIN(M885)),0,(-W885+Poussee)/m-Poids*SIN(M885)/m)</f>
        <v>2.40946629370249</v>
      </c>
      <c r="AH886" s="397" t="n">
        <f aca="false">IF(AND(L885&lt;L_rampe,Poussee&lt;Poids*SIN(M885)), g*SIN(M885), (-W885+Poussee)/m)</f>
        <v>-7.35247819127081</v>
      </c>
    </row>
    <row r="887" customFormat="false" ht="12.75" hidden="false" customHeight="false" outlineLevel="0" collapsed="false">
      <c r="A887" s="396" t="n">
        <f aca="false">IF(B886+0.01&lt;=T_ini+ROUNDUP(Temps_fin_propu,0), 0.01, IF(K886&gt;0, 0.1, 0.0001))</f>
        <v>0.0001</v>
      </c>
      <c r="B887" s="397" t="n">
        <f aca="false">B886+pas</f>
        <v>32.1382000000015</v>
      </c>
      <c r="D887" s="396" t="n">
        <f aca="false">IF(AND(L886&lt;L_rampe,Poussee&lt;Poids*SIN(M886)),0,(-W886+Poussee)/m*COS(M886)-U886/m*SIN(M886))</f>
        <v>-0.726862049549315</v>
      </c>
      <c r="E887" s="398" t="n">
        <f aca="false">IF(AND(L886&lt;L_rampe,Poussee&lt;Poids*SIN(M886)),0,(-W886+Poussee)/m*SIN(M886)+U886/m*COS(M886)-Poids/m)</f>
        <v>-2.49349940112221</v>
      </c>
      <c r="F887" s="397" t="n">
        <f aca="false">SQRT(acc_x^2+acc_z^2)</f>
        <v>2.5972808285728</v>
      </c>
      <c r="G887" s="396" t="n">
        <f aca="false">G886+acc_x*pas</f>
        <v>11.4695249319523</v>
      </c>
      <c r="H887" s="398" t="n">
        <f aca="false">H886+acc_z*pas</f>
        <v>-115.451754754806</v>
      </c>
      <c r="I887" s="397" t="n">
        <f aca="false">SQRT(vit_x^2+vit_z^2)</f>
        <v>116.02007446183</v>
      </c>
      <c r="J887" s="396" t="n">
        <f aca="false">J886+0.5*(vit_x+G886)*pas*(K886&gt;=0)</f>
        <v>690.928492655337</v>
      </c>
      <c r="K887" s="398" t="n">
        <f aca="false">K886+0.5*(vit_z+H886)*pas</f>
        <v>-13.013038888247</v>
      </c>
      <c r="L887" s="397" t="n">
        <f aca="false">SQRT(pos_x^2+pos_z^2)</f>
        <v>691.051026440221</v>
      </c>
      <c r="M887" s="396" t="n">
        <f aca="false">IF(AND(L886&gt;L_rampe,G887&gt;0),ATAN2(G887,H887),$M$4)</f>
        <v>-1.47177648538148</v>
      </c>
      <c r="N887" s="397" t="n">
        <f aca="false">DEGREES(Beta)</f>
        <v>-84.3265809989564</v>
      </c>
      <c r="P887" s="399" t="n">
        <f aca="false">MATCH(t-pas/2-T_ini,CdP_t)</f>
        <v>23</v>
      </c>
      <c r="Q887" s="397" t="n">
        <f aca="false">(INDEX(CdP,2,i_P+1)-INDEX(CdP,2,i_P+0))/(INDEX(CdP,1,i_P+1)-INDEX(CdP,1,i_P+0))*(t-pas/2-T_ini-INDEX(CdP,1,i_P+0))+INDEX(CdP,2,i_P+0)</f>
        <v>0</v>
      </c>
      <c r="R887" s="396" t="n">
        <f aca="false">Poussee/(g*ISP)</f>
        <v>0</v>
      </c>
      <c r="S887" s="398" t="n">
        <f aca="false">S886-Débit*pas</f>
        <v>8.45</v>
      </c>
      <c r="T887" s="397" t="n">
        <f aca="false">m*g</f>
        <v>82.8945</v>
      </c>
      <c r="U887" s="400" t="n">
        <f aca="false">IF(pos_xz&lt;L_rampe,Poids*COS(Beta),0)</f>
        <v>0</v>
      </c>
      <c r="V887" s="396" t="n">
        <f aca="false">Rho_moyen*(20000-Alt_rampe-pos_z)/(20000+Alt_rampe+pos_z)</f>
        <v>1.22659513514159</v>
      </c>
      <c r="W887" s="397" t="n">
        <f aca="false">1/2*Rho*Sref*Cx*vit_xz^2</f>
        <v>62.1291002784176</v>
      </c>
      <c r="Y887" s="408" t="str">
        <f aca="false">IF(AND(pos_z&lt;=0,K886&gt;0),"Impact balistique","") &amp; IF(AND(H888&lt;0,vit_z&gt;=0),"Apogée","") &amp; IF(AND(Poussee=0,Q886&gt;0),"Fin de propulsion","") &amp; IF(AND(L888&gt;L_rampe,pos_xz&lt;=L_rampe),"Sortie de rampe","")</f>
        <v/>
      </c>
      <c r="Z887" s="402" t="str">
        <f aca="false">IF(ABS(t-T_para)&lt;pas/2,"Para","")</f>
        <v/>
      </c>
      <c r="AA887" s="403" t="str">
        <f aca="false">IF(ABS(t-T_satellite)&lt;pas/2,"Satellite","")</f>
        <v/>
      </c>
      <c r="AC887" s="399" t="e">
        <f aca="false">IF(ABS(t-ROUND(t,0))&lt;0.001,t,NA())</f>
        <v>#N/A</v>
      </c>
      <c r="AD887" s="404" t="e">
        <f aca="false">IF(ABS(t-ROUND(t,0))&lt;0.001,pos_x,NA())</f>
        <v>#N/A</v>
      </c>
      <c r="AE887" s="405" t="e">
        <f aca="false">IF(t&lt;T_para, pos_z, NA())</f>
        <v>#N/A</v>
      </c>
      <c r="AG887" s="396" t="n">
        <f aca="false">IF(AND(L886&lt;L_rampe,Poussee&lt;Poids*SIN(M886)),0,(-W886+Poussee)/m-Poids*SIN(M886)/m)</f>
        <v>2.40942807686167</v>
      </c>
      <c r="AH887" s="397" t="n">
        <f aca="false">IF(AND(L886&lt;L_rampe,Poussee&lt;Poids*SIN(M886)), g*SIN(M886), (-W886+Poussee)/m)</f>
        <v>-7.35251721877985</v>
      </c>
    </row>
    <row r="888" customFormat="false" ht="12.75" hidden="false" customHeight="false" outlineLevel="0" collapsed="false">
      <c r="A888" s="396" t="n">
        <f aca="false">IF(B887+0.01&lt;=T_ini+ROUNDUP(Temps_fin_propu,0), 0.01, IF(K887&gt;0, 0.1, 0.0001))</f>
        <v>0.0001</v>
      </c>
      <c r="B888" s="397" t="n">
        <f aca="false">B887+pas</f>
        <v>32.1383000000015</v>
      </c>
      <c r="D888" s="396" t="n">
        <f aca="false">IF(AND(L887&lt;L_rampe,Poussee&lt;Poids*SIN(M887)),0,(-W887+Poussee)/m*COS(M887)-U887/m*SIN(M887))</f>
        <v>-0.726859791875409</v>
      </c>
      <c r="E888" s="398" t="n">
        <f aca="false">IF(AND(L887&lt;L_rampe,Poussee&lt;Poids*SIN(M887)),0,(-W887+Poussee)/m*SIN(M887)+U887/m*COS(M887)-Poids/m)</f>
        <v>-2.49345995753068</v>
      </c>
      <c r="F888" s="397" t="n">
        <f aca="false">SQRT(acc_x^2+acc_z^2)</f>
        <v>2.59724232925117</v>
      </c>
      <c r="G888" s="396" t="n">
        <f aca="false">G887+acc_x*pas</f>
        <v>11.4694522459731</v>
      </c>
      <c r="H888" s="398" t="n">
        <f aca="false">H887+acc_z*pas</f>
        <v>-115.452004100802</v>
      </c>
      <c r="I888" s="397" t="n">
        <f aca="false">SQRT(vit_x^2+vit_z^2)</f>
        <v>116.020315400857</v>
      </c>
      <c r="J888" s="396" t="n">
        <f aca="false">J887+0.5*(vit_x+G887)*pas*(K887&gt;=0)</f>
        <v>690.928492655337</v>
      </c>
      <c r="K888" s="398" t="n">
        <f aca="false">K887+0.5*(vit_z+H887)*pas</f>
        <v>-13.0245840761898</v>
      </c>
      <c r="L888" s="397" t="n">
        <f aca="false">SQRT(pos_x^2+pos_z^2)</f>
        <v>691.051243941673</v>
      </c>
      <c r="M888" s="396" t="n">
        <f aca="false">IF(AND(L887&gt;L_rampe,G888&gt;0),ATAN2(G888,H888),$M$4)</f>
        <v>-1.47177732126787</v>
      </c>
      <c r="N888" s="397" t="n">
        <f aca="false">DEGREES(Beta)</f>
        <v>-84.3266288917189</v>
      </c>
      <c r="P888" s="399" t="n">
        <f aca="false">MATCH(t-pas/2-T_ini,CdP_t)</f>
        <v>23</v>
      </c>
      <c r="Q888" s="397" t="n">
        <f aca="false">(INDEX(CdP,2,i_P+1)-INDEX(CdP,2,i_P+0))/(INDEX(CdP,1,i_P+1)-INDEX(CdP,1,i_P+0))*(t-pas/2-T_ini-INDEX(CdP,1,i_P+0))+INDEX(CdP,2,i_P+0)</f>
        <v>0</v>
      </c>
      <c r="R888" s="396" t="n">
        <f aca="false">Poussee/(g*ISP)</f>
        <v>0</v>
      </c>
      <c r="S888" s="398" t="n">
        <f aca="false">S887-Débit*pas</f>
        <v>8.45</v>
      </c>
      <c r="T888" s="397" t="n">
        <f aca="false">m*g</f>
        <v>82.8945</v>
      </c>
      <c r="U888" s="400" t="n">
        <f aca="false">IF(pos_xz&lt;L_rampe,Poids*COS(Beta),0)</f>
        <v>0</v>
      </c>
      <c r="V888" s="396" t="n">
        <f aca="false">Rho_moyen*(20000-Alt_rampe-pos_z)/(20000+Alt_rampe+pos_z)</f>
        <v>1.22659655127015</v>
      </c>
      <c r="W888" s="397" t="n">
        <f aca="false">1/2*Rho*Sref*Cx*vit_xz^2</f>
        <v>62.1294300554221</v>
      </c>
      <c r="Y888" s="408" t="str">
        <f aca="false">IF(AND(pos_z&lt;=0,K887&gt;0),"Impact balistique","") &amp; IF(AND(H889&lt;0,vit_z&gt;=0),"Apogée","") &amp; IF(AND(Poussee=0,Q887&gt;0),"Fin de propulsion","") &amp; IF(AND(L889&gt;L_rampe,pos_xz&lt;=L_rampe),"Sortie de rampe","")</f>
        <v/>
      </c>
      <c r="Z888" s="402" t="str">
        <f aca="false">IF(ABS(t-T_para)&lt;pas/2,"Para","")</f>
        <v/>
      </c>
      <c r="AA888" s="403" t="str">
        <f aca="false">IF(ABS(t-T_satellite)&lt;pas/2,"Satellite","")</f>
        <v/>
      </c>
      <c r="AC888" s="399" t="e">
        <f aca="false">IF(ABS(t-ROUND(t,0))&lt;0.001,t,NA())</f>
        <v>#N/A</v>
      </c>
      <c r="AD888" s="404" t="e">
        <f aca="false">IF(ABS(t-ROUND(t,0))&lt;0.001,pos_x,NA())</f>
        <v>#N/A</v>
      </c>
      <c r="AE888" s="405" t="e">
        <f aca="false">IF(t&lt;T_para, pos_z, NA())</f>
        <v>#N/A</v>
      </c>
      <c r="AG888" s="396" t="n">
        <f aca="false">IF(AND(L887&lt;L_rampe,Poussee&lt;Poids*SIN(M887)),0,(-W887+Poussee)/m-Poids*SIN(M887)/m)</f>
        <v>2.40938986032782</v>
      </c>
      <c r="AH888" s="397" t="n">
        <f aca="false">IF(AND(L887&lt;L_rampe,Poussee&lt;Poids*SIN(M887)), g*SIN(M887), (-W887+Poussee)/m)</f>
        <v>-7.35255624596658</v>
      </c>
    </row>
    <row r="889" customFormat="false" ht="12.75" hidden="false" customHeight="false" outlineLevel="0" collapsed="false">
      <c r="A889" s="396" t="n">
        <f aca="false">IF(B888+0.01&lt;=T_ini+ROUNDUP(Temps_fin_propu,0), 0.01, IF(K888&gt;0, 0.1, 0.0001))</f>
        <v>0.0001</v>
      </c>
      <c r="B889" s="397" t="n">
        <f aca="false">B888+pas</f>
        <v>32.1384000000015</v>
      </c>
      <c r="D889" s="396" t="n">
        <f aca="false">IF(AND(L888&lt;L_rampe,Poussee&lt;Poids*SIN(M888)),0,(-W888+Poussee)/m*COS(M888)-U888/m*SIN(M888))</f>
        <v>-0.726857534168366</v>
      </c>
      <c r="E889" s="398" t="n">
        <f aca="false">IF(AND(L888&lt;L_rampe,Poussee&lt;Poids*SIN(M888)),0,(-W888+Poussee)/m*SIN(M888)+U888/m*COS(M888)-Poids/m)</f>
        <v>-2.4934205142649</v>
      </c>
      <c r="F889" s="397" t="n">
        <f aca="false">SQRT(acc_x^2+acc_z^2)</f>
        <v>2.5972038302633</v>
      </c>
      <c r="G889" s="396" t="n">
        <f aca="false">G888+acc_x*pas</f>
        <v>11.4693795602197</v>
      </c>
      <c r="H889" s="398" t="n">
        <f aca="false">H888+acc_z*pas</f>
        <v>-115.452253442853</v>
      </c>
      <c r="I889" s="397" t="n">
        <f aca="false">SQRT(vit_x^2+vit_z^2)</f>
        <v>116.020556336062</v>
      </c>
      <c r="J889" s="396" t="n">
        <f aca="false">J888+0.5*(vit_x+G888)*pas*(K888&gt;=0)</f>
        <v>690.928492655337</v>
      </c>
      <c r="K889" s="398" t="n">
        <f aca="false">K888+0.5*(vit_z+H888)*pas</f>
        <v>-13.036129289067</v>
      </c>
      <c r="L889" s="397" t="n">
        <f aca="false">SQRT(pos_x^2+pos_z^2)</f>
        <v>691.051461636409</v>
      </c>
      <c r="M889" s="396" t="n">
        <f aca="false">IF(AND(L888&gt;L_rampe,G889&gt;0),ATAN2(G889,H889),$M$4)</f>
        <v>-1.4717781571455</v>
      </c>
      <c r="N889" s="397" t="n">
        <f aca="false">DEGREES(Beta)</f>
        <v>-84.3266767839789</v>
      </c>
      <c r="P889" s="399" t="n">
        <f aca="false">MATCH(t-pas/2-T_ini,CdP_t)</f>
        <v>23</v>
      </c>
      <c r="Q889" s="397" t="n">
        <f aca="false">(INDEX(CdP,2,i_P+1)-INDEX(CdP,2,i_P+0))/(INDEX(CdP,1,i_P+1)-INDEX(CdP,1,i_P+0))*(t-pas/2-T_ini-INDEX(CdP,1,i_P+0))+INDEX(CdP,2,i_P+0)</f>
        <v>0</v>
      </c>
      <c r="R889" s="396" t="n">
        <f aca="false">Poussee/(g*ISP)</f>
        <v>0</v>
      </c>
      <c r="S889" s="398" t="n">
        <f aca="false">S888-Débit*pas</f>
        <v>8.45</v>
      </c>
      <c r="T889" s="397" t="n">
        <f aca="false">m*g</f>
        <v>82.8945</v>
      </c>
      <c r="U889" s="400" t="n">
        <f aca="false">IF(pos_xz&lt;L_rampe,Poids*COS(Beta),0)</f>
        <v>0</v>
      </c>
      <c r="V889" s="396" t="n">
        <f aca="false">Rho_moyen*(20000-Alt_rampe-pos_z)/(20000+Alt_rampe+pos_z)</f>
        <v>1.22659796740339</v>
      </c>
      <c r="W889" s="397" t="n">
        <f aca="false">1/2*Rho*Sref*Cx*vit_xz^2</f>
        <v>62.129759829703</v>
      </c>
      <c r="Y889" s="408" t="str">
        <f aca="false">IF(AND(pos_z&lt;=0,K888&gt;0),"Impact balistique","") &amp; IF(AND(H890&lt;0,vit_z&gt;=0),"Apogée","") &amp; IF(AND(Poussee=0,Q888&gt;0),"Fin de propulsion","") &amp; IF(AND(L890&gt;L_rampe,pos_xz&lt;=L_rampe),"Sortie de rampe","")</f>
        <v/>
      </c>
      <c r="Z889" s="402" t="str">
        <f aca="false">IF(ABS(t-T_para)&lt;pas/2,"Para","")</f>
        <v/>
      </c>
      <c r="AA889" s="403" t="str">
        <f aca="false">IF(ABS(t-T_satellite)&lt;pas/2,"Satellite","")</f>
        <v/>
      </c>
      <c r="AC889" s="399" t="e">
        <f aca="false">IF(ABS(t-ROUND(t,0))&lt;0.001,t,NA())</f>
        <v>#N/A</v>
      </c>
      <c r="AD889" s="404" t="e">
        <f aca="false">IF(ABS(t-ROUND(t,0))&lt;0.001,pos_x,NA())</f>
        <v>#N/A</v>
      </c>
      <c r="AE889" s="405" t="e">
        <f aca="false">IF(t&lt;T_para, pos_z, NA())</f>
        <v>#N/A</v>
      </c>
      <c r="AG889" s="396" t="n">
        <f aca="false">IF(AND(L888&lt;L_rampe,Poussee&lt;Poids*SIN(M888)),0,(-W888+Poussee)/m-Poids*SIN(M888)/m)</f>
        <v>2.40935164410096</v>
      </c>
      <c r="AH889" s="397" t="n">
        <f aca="false">IF(AND(L888&lt;L_rampe,Poussee&lt;Poids*SIN(M888)), g*SIN(M888), (-W888+Poussee)/m)</f>
        <v>-7.35259527283101</v>
      </c>
    </row>
    <row r="890" customFormat="false" ht="12.75" hidden="false" customHeight="false" outlineLevel="0" collapsed="false">
      <c r="A890" s="396" t="n">
        <f aca="false">IF(B889+0.01&lt;=T_ini+ROUNDUP(Temps_fin_propu,0), 0.01, IF(K889&gt;0, 0.1, 0.0001))</f>
        <v>0.0001</v>
      </c>
      <c r="B890" s="397" t="n">
        <f aca="false">B889+pas</f>
        <v>32.1385000000015</v>
      </c>
      <c r="D890" s="396" t="n">
        <f aca="false">IF(AND(L889&lt;L_rampe,Poussee&lt;Poids*SIN(M889)),0,(-W889+Poussee)/m*COS(M889)-U889/m*SIN(M889))</f>
        <v>-0.72685527642819</v>
      </c>
      <c r="E890" s="398" t="n">
        <f aca="false">IF(AND(L889&lt;L_rampe,Poussee&lt;Poids*SIN(M889)),0,(-W889+Poussee)/m*SIN(M889)+U889/m*COS(M889)-Poids/m)</f>
        <v>-2.4933810713249</v>
      </c>
      <c r="F890" s="397" t="n">
        <f aca="false">SQRT(acc_x^2+acc_z^2)</f>
        <v>2.59716533160921</v>
      </c>
      <c r="G890" s="396" t="n">
        <f aca="false">G889+acc_x*pas</f>
        <v>11.469306874692</v>
      </c>
      <c r="H890" s="398" t="n">
        <f aca="false">H889+acc_z*pas</f>
        <v>-115.452502780961</v>
      </c>
      <c r="I890" s="397" t="n">
        <f aca="false">SQRT(vit_x^2+vit_z^2)</f>
        <v>116.020797267445</v>
      </c>
      <c r="J890" s="396" t="n">
        <f aca="false">J889+0.5*(vit_x+G889)*pas*(K889&gt;=0)</f>
        <v>690.928492655337</v>
      </c>
      <c r="K890" s="398" t="n">
        <f aca="false">K889+0.5*(vit_z+H889)*pas</f>
        <v>-13.0476745268782</v>
      </c>
      <c r="L890" s="397" t="n">
        <f aca="false">SQRT(pos_x^2+pos_z^2)</f>
        <v>691.05167952443</v>
      </c>
      <c r="M890" s="396" t="n">
        <f aca="false">IF(AND(L889&gt;L_rampe,G890&gt;0),ATAN2(G890,H890),$M$4)</f>
        <v>-1.47177899301435</v>
      </c>
      <c r="N890" s="397" t="n">
        <f aca="false">DEGREES(Beta)</f>
        <v>-84.3267246757366</v>
      </c>
      <c r="P890" s="399" t="n">
        <f aca="false">MATCH(t-pas/2-T_ini,CdP_t)</f>
        <v>23</v>
      </c>
      <c r="Q890" s="397" t="n">
        <f aca="false">(INDEX(CdP,2,i_P+1)-INDEX(CdP,2,i_P+0))/(INDEX(CdP,1,i_P+1)-INDEX(CdP,1,i_P+0))*(t-pas/2-T_ini-INDEX(CdP,1,i_P+0))+INDEX(CdP,2,i_P+0)</f>
        <v>0</v>
      </c>
      <c r="R890" s="396" t="n">
        <f aca="false">Poussee/(g*ISP)</f>
        <v>0</v>
      </c>
      <c r="S890" s="398" t="n">
        <f aca="false">S889-Débit*pas</f>
        <v>8.45</v>
      </c>
      <c r="T890" s="397" t="n">
        <f aca="false">m*g</f>
        <v>82.8945</v>
      </c>
      <c r="U890" s="400" t="n">
        <f aca="false">IF(pos_xz&lt;L_rampe,Poids*COS(Beta),0)</f>
        <v>0</v>
      </c>
      <c r="V890" s="396" t="n">
        <f aca="false">Rho_moyen*(20000-Alt_rampe-pos_z)/(20000+Alt_rampe+pos_z)</f>
        <v>1.22659938354134</v>
      </c>
      <c r="W890" s="397" t="n">
        <f aca="false">1/2*Rho*Sref*Cx*vit_xz^2</f>
        <v>62.1300896012604</v>
      </c>
      <c r="Y890" s="408" t="str">
        <f aca="false">IF(AND(pos_z&lt;=0,K889&gt;0),"Impact balistique","") &amp; IF(AND(H891&lt;0,vit_z&gt;=0),"Apogée","") &amp; IF(AND(Poussee=0,Q889&gt;0),"Fin de propulsion","") &amp; IF(AND(L891&gt;L_rampe,pos_xz&lt;=L_rampe),"Sortie de rampe","")</f>
        <v/>
      </c>
      <c r="Z890" s="402" t="str">
        <f aca="false">IF(ABS(t-T_para)&lt;pas/2,"Para","")</f>
        <v/>
      </c>
      <c r="AA890" s="403" t="str">
        <f aca="false">IF(ABS(t-T_satellite)&lt;pas/2,"Satellite","")</f>
        <v/>
      </c>
      <c r="AC890" s="399" t="e">
        <f aca="false">IF(ABS(t-ROUND(t,0))&lt;0.001,t,NA())</f>
        <v>#N/A</v>
      </c>
      <c r="AD890" s="404" t="e">
        <f aca="false">IF(ABS(t-ROUND(t,0))&lt;0.001,pos_x,NA())</f>
        <v>#N/A</v>
      </c>
      <c r="AE890" s="405" t="e">
        <f aca="false">IF(t&lt;T_para, pos_z, NA())</f>
        <v>#N/A</v>
      </c>
      <c r="AG890" s="396" t="n">
        <f aca="false">IF(AND(L889&lt;L_rampe,Poussee&lt;Poids*SIN(M889)),0,(-W889+Poussee)/m-Poids*SIN(M889)/m)</f>
        <v>2.40931342818108</v>
      </c>
      <c r="AH890" s="397" t="n">
        <f aca="false">IF(AND(L889&lt;L_rampe,Poussee&lt;Poids*SIN(M889)), g*SIN(M889), (-W889+Poussee)/m)</f>
        <v>-7.35263429937314</v>
      </c>
    </row>
    <row r="891" customFormat="false" ht="12.75" hidden="false" customHeight="false" outlineLevel="0" collapsed="false">
      <c r="A891" s="396" t="n">
        <f aca="false">IF(B890+0.01&lt;=T_ini+ROUNDUP(Temps_fin_propu,0), 0.01, IF(K890&gt;0, 0.1, 0.0001))</f>
        <v>0.0001</v>
      </c>
      <c r="B891" s="397" t="n">
        <f aca="false">B890+pas</f>
        <v>32.1386000000015</v>
      </c>
      <c r="D891" s="396" t="n">
        <f aca="false">IF(AND(L890&lt;L_rampe,Poussee&lt;Poids*SIN(M890)),0,(-W890+Poussee)/m*COS(M890)-U890/m*SIN(M890))</f>
        <v>-0.726853018654878</v>
      </c>
      <c r="E891" s="398" t="n">
        <f aca="false">IF(AND(L890&lt;L_rampe,Poussee&lt;Poids*SIN(M890)),0,(-W890+Poussee)/m*SIN(M890)+U890/m*COS(M890)-Poids/m)</f>
        <v>-2.49334162871066</v>
      </c>
      <c r="F891" s="397" t="n">
        <f aca="false">SQRT(acc_x^2+acc_z^2)</f>
        <v>2.5971268332889</v>
      </c>
      <c r="G891" s="396" t="n">
        <f aca="false">G890+acc_x*pas</f>
        <v>11.4692341893902</v>
      </c>
      <c r="H891" s="398" t="n">
        <f aca="false">H890+acc_z*pas</f>
        <v>-115.452752115123</v>
      </c>
      <c r="I891" s="397" t="n">
        <f aca="false">SQRT(vit_x^2+vit_z^2)</f>
        <v>116.021038195007</v>
      </c>
      <c r="J891" s="396" t="n">
        <f aca="false">J890+0.5*(vit_x+G890)*pas*(K890&gt;=0)</f>
        <v>690.928492655337</v>
      </c>
      <c r="K891" s="398" t="n">
        <f aca="false">K890+0.5*(vit_z+H890)*pas</f>
        <v>-13.059219789623</v>
      </c>
      <c r="L891" s="397" t="n">
        <f aca="false">SQRT(pos_x^2+pos_z^2)</f>
        <v>691.051897605737</v>
      </c>
      <c r="M891" s="396" t="n">
        <f aca="false">IF(AND(L890&gt;L_rampe,G891&gt;0),ATAN2(G891,H891),$M$4)</f>
        <v>-1.47177982887444</v>
      </c>
      <c r="N891" s="397" t="n">
        <f aca="false">DEGREES(Beta)</f>
        <v>-84.3267725669918</v>
      </c>
      <c r="P891" s="399" t="n">
        <f aca="false">MATCH(t-pas/2-T_ini,CdP_t)</f>
        <v>23</v>
      </c>
      <c r="Q891" s="397" t="n">
        <f aca="false">(INDEX(CdP,2,i_P+1)-INDEX(CdP,2,i_P+0))/(INDEX(CdP,1,i_P+1)-INDEX(CdP,1,i_P+0))*(t-pas/2-T_ini-INDEX(CdP,1,i_P+0))+INDEX(CdP,2,i_P+0)</f>
        <v>0</v>
      </c>
      <c r="R891" s="396" t="n">
        <f aca="false">Poussee/(g*ISP)</f>
        <v>0</v>
      </c>
      <c r="S891" s="398" t="n">
        <f aca="false">S890-Débit*pas</f>
        <v>8.45</v>
      </c>
      <c r="T891" s="397" t="n">
        <f aca="false">m*g</f>
        <v>82.8945</v>
      </c>
      <c r="U891" s="400" t="n">
        <f aca="false">IF(pos_xz&lt;L_rampe,Poids*COS(Beta),0)</f>
        <v>0</v>
      </c>
      <c r="V891" s="396" t="n">
        <f aca="false">Rho_moyen*(20000-Alt_rampe-pos_z)/(20000+Alt_rampe+pos_z)</f>
        <v>1.22660079968397</v>
      </c>
      <c r="W891" s="397" t="n">
        <f aca="false">1/2*Rho*Sref*Cx*vit_xz^2</f>
        <v>62.1304193700944</v>
      </c>
      <c r="Y891" s="408" t="str">
        <f aca="false">IF(AND(pos_z&lt;=0,K890&gt;0),"Impact balistique","") &amp; IF(AND(H892&lt;0,vit_z&gt;=0),"Apogée","") &amp; IF(AND(Poussee=0,Q890&gt;0),"Fin de propulsion","") &amp; IF(AND(L892&gt;L_rampe,pos_xz&lt;=L_rampe),"Sortie de rampe","")</f>
        <v/>
      </c>
      <c r="Z891" s="402" t="str">
        <f aca="false">IF(ABS(t-T_para)&lt;pas/2,"Para","")</f>
        <v/>
      </c>
      <c r="AA891" s="403" t="str">
        <f aca="false">IF(ABS(t-T_satellite)&lt;pas/2,"Satellite","")</f>
        <v/>
      </c>
      <c r="AC891" s="399" t="e">
        <f aca="false">IF(ABS(t-ROUND(t,0))&lt;0.001,t,NA())</f>
        <v>#N/A</v>
      </c>
      <c r="AD891" s="404" t="e">
        <f aca="false">IF(ABS(t-ROUND(t,0))&lt;0.001,pos_x,NA())</f>
        <v>#N/A</v>
      </c>
      <c r="AE891" s="405" t="e">
        <f aca="false">IF(t&lt;T_para, pos_z, NA())</f>
        <v>#N/A</v>
      </c>
      <c r="AG891" s="396" t="n">
        <f aca="false">IF(AND(L890&lt;L_rampe,Poussee&lt;Poids*SIN(M890)),0,(-W890+Poussee)/m-Poids*SIN(M890)/m)</f>
        <v>2.40927521256818</v>
      </c>
      <c r="AH891" s="397" t="n">
        <f aca="false">IF(AND(L890&lt;L_rampe,Poussee&lt;Poids*SIN(M890)), g*SIN(M890), (-W890+Poussee)/m)</f>
        <v>-7.35267332559295</v>
      </c>
    </row>
    <row r="892" customFormat="false" ht="12.75" hidden="false" customHeight="false" outlineLevel="0" collapsed="false">
      <c r="A892" s="396" t="n">
        <f aca="false">IF(B891+0.01&lt;=T_ini+ROUNDUP(Temps_fin_propu,0), 0.01, IF(K891&gt;0, 0.1, 0.0001))</f>
        <v>0.0001</v>
      </c>
      <c r="B892" s="397" t="n">
        <f aca="false">B891+pas</f>
        <v>32.1387000000015</v>
      </c>
      <c r="D892" s="396" t="n">
        <f aca="false">IF(AND(L891&lt;L_rampe,Poussee&lt;Poids*SIN(M891)),0,(-W891+Poussee)/m*COS(M891)-U891/m*SIN(M891))</f>
        <v>-0.726850760848434</v>
      </c>
      <c r="E892" s="398" t="n">
        <f aca="false">IF(AND(L891&lt;L_rampe,Poussee&lt;Poids*SIN(M891)),0,(-W891+Poussee)/m*SIN(M891)+U891/m*COS(M891)-Poids/m)</f>
        <v>-2.49330218642218</v>
      </c>
      <c r="F892" s="397" t="n">
        <f aca="false">SQRT(acc_x^2+acc_z^2)</f>
        <v>2.59708833530236</v>
      </c>
      <c r="G892" s="396" t="n">
        <f aca="false">G891+acc_x*pas</f>
        <v>11.4691615043141</v>
      </c>
      <c r="H892" s="398" t="n">
        <f aca="false">H891+acc_z*pas</f>
        <v>-115.453001445342</v>
      </c>
      <c r="I892" s="397" t="n">
        <f aca="false">SQRT(vit_x^2+vit_z^2)</f>
        <v>116.021279118747</v>
      </c>
      <c r="J892" s="396" t="n">
        <f aca="false">J891+0.5*(vit_x+G891)*pas*(K891&gt;=0)</f>
        <v>690.928492655337</v>
      </c>
      <c r="K892" s="398" t="n">
        <f aca="false">K891+0.5*(vit_z+H891)*pas</f>
        <v>-13.070765077301</v>
      </c>
      <c r="L892" s="397" t="n">
        <f aca="false">SQRT(pos_x^2+pos_z^2)</f>
        <v>691.052115880331</v>
      </c>
      <c r="M892" s="396" t="n">
        <f aca="false">IF(AND(L891&gt;L_rampe,G892&gt;0),ATAN2(G892,H892),$M$4)</f>
        <v>-1.47178066472575</v>
      </c>
      <c r="N892" s="397" t="n">
        <f aca="false">DEGREES(Beta)</f>
        <v>-84.3268204577446</v>
      </c>
      <c r="P892" s="399" t="n">
        <f aca="false">MATCH(t-pas/2-T_ini,CdP_t)</f>
        <v>23</v>
      </c>
      <c r="Q892" s="397" t="n">
        <f aca="false">(INDEX(CdP,2,i_P+1)-INDEX(CdP,2,i_P+0))/(INDEX(CdP,1,i_P+1)-INDEX(CdP,1,i_P+0))*(t-pas/2-T_ini-INDEX(CdP,1,i_P+0))+INDEX(CdP,2,i_P+0)</f>
        <v>0</v>
      </c>
      <c r="R892" s="396" t="n">
        <f aca="false">Poussee/(g*ISP)</f>
        <v>0</v>
      </c>
      <c r="S892" s="398" t="n">
        <f aca="false">S891-Débit*pas</f>
        <v>8.45</v>
      </c>
      <c r="T892" s="397" t="n">
        <f aca="false">m*g</f>
        <v>82.8945</v>
      </c>
      <c r="U892" s="400" t="n">
        <f aca="false">IF(pos_xz&lt;L_rampe,Poids*COS(Beta),0)</f>
        <v>0</v>
      </c>
      <c r="V892" s="396" t="n">
        <f aca="false">Rho_moyen*(20000-Alt_rampe-pos_z)/(20000+Alt_rampe+pos_z)</f>
        <v>1.22660221583131</v>
      </c>
      <c r="W892" s="397" t="n">
        <f aca="false">1/2*Rho*Sref*Cx*vit_xz^2</f>
        <v>62.1307491362048</v>
      </c>
      <c r="Y892" s="408" t="str">
        <f aca="false">IF(AND(pos_z&lt;=0,K891&gt;0),"Impact balistique","") &amp; IF(AND(H893&lt;0,vit_z&gt;=0),"Apogée","") &amp; IF(AND(Poussee=0,Q891&gt;0),"Fin de propulsion","") &amp; IF(AND(L893&gt;L_rampe,pos_xz&lt;=L_rampe),"Sortie de rampe","")</f>
        <v/>
      </c>
      <c r="Z892" s="402" t="str">
        <f aca="false">IF(ABS(t-T_para)&lt;pas/2,"Para","")</f>
        <v/>
      </c>
      <c r="AA892" s="403" t="str">
        <f aca="false">IF(ABS(t-T_satellite)&lt;pas/2,"Satellite","")</f>
        <v/>
      </c>
      <c r="AC892" s="399" t="e">
        <f aca="false">IF(ABS(t-ROUND(t,0))&lt;0.001,t,NA())</f>
        <v>#N/A</v>
      </c>
      <c r="AD892" s="404" t="e">
        <f aca="false">IF(ABS(t-ROUND(t,0))&lt;0.001,pos_x,NA())</f>
        <v>#N/A</v>
      </c>
      <c r="AE892" s="405" t="e">
        <f aca="false">IF(t&lt;T_para, pos_z, NA())</f>
        <v>#N/A</v>
      </c>
      <c r="AG892" s="396" t="n">
        <f aca="false">IF(AND(L891&lt;L_rampe,Poussee&lt;Poids*SIN(M891)),0,(-W891+Poussee)/m-Poids*SIN(M891)/m)</f>
        <v>2.40923699726226</v>
      </c>
      <c r="AH892" s="397" t="n">
        <f aca="false">IF(AND(L891&lt;L_rampe,Poussee&lt;Poids*SIN(M891)), g*SIN(M891), (-W891+Poussee)/m)</f>
        <v>-7.35271235149046</v>
      </c>
    </row>
    <row r="893" customFormat="false" ht="12.75" hidden="false" customHeight="false" outlineLevel="0" collapsed="false">
      <c r="A893" s="396" t="n">
        <f aca="false">IF(B892+0.01&lt;=T_ini+ROUNDUP(Temps_fin_propu,0), 0.01, IF(K892&gt;0, 0.1, 0.0001))</f>
        <v>0.0001</v>
      </c>
      <c r="B893" s="397" t="n">
        <f aca="false">B892+pas</f>
        <v>32.1388000000015</v>
      </c>
      <c r="D893" s="396" t="n">
        <f aca="false">IF(AND(L892&lt;L_rampe,Poussee&lt;Poids*SIN(M892)),0,(-W892+Poussee)/m*COS(M892)-U892/m*SIN(M892))</f>
        <v>-0.726848503008855</v>
      </c>
      <c r="E893" s="398" t="n">
        <f aca="false">IF(AND(L892&lt;L_rampe,Poussee&lt;Poids*SIN(M892)),0,(-W892+Poussee)/m*SIN(M892)+U892/m*COS(M892)-Poids/m)</f>
        <v>-2.49326274445948</v>
      </c>
      <c r="F893" s="397" t="n">
        <f aca="false">SQRT(acc_x^2+acc_z^2)</f>
        <v>2.5970498376496</v>
      </c>
      <c r="G893" s="396" t="n">
        <f aca="false">G892+acc_x*pas</f>
        <v>11.4690888194638</v>
      </c>
      <c r="H893" s="398" t="n">
        <f aca="false">H892+acc_z*pas</f>
        <v>-115.453250771616</v>
      </c>
      <c r="I893" s="397" t="n">
        <f aca="false">SQRT(vit_x^2+vit_z^2)</f>
        <v>116.021520038666</v>
      </c>
      <c r="J893" s="396" t="n">
        <f aca="false">J892+0.5*(vit_x+G892)*pas*(K892&gt;=0)</f>
        <v>690.928492655337</v>
      </c>
      <c r="K893" s="398" t="n">
        <f aca="false">K892+0.5*(vit_z+H892)*pas</f>
        <v>-13.0823103899119</v>
      </c>
      <c r="L893" s="397" t="n">
        <f aca="false">SQRT(pos_x^2+pos_z^2)</f>
        <v>691.052334348213</v>
      </c>
      <c r="M893" s="396" t="n">
        <f aca="false">IF(AND(L892&gt;L_rampe,G893&gt;0),ATAN2(G893,H893),$M$4)</f>
        <v>-1.4717815005683</v>
      </c>
      <c r="N893" s="397" t="n">
        <f aca="false">DEGREES(Beta)</f>
        <v>-84.326868347995</v>
      </c>
      <c r="P893" s="399" t="n">
        <f aca="false">MATCH(t-pas/2-T_ini,CdP_t)</f>
        <v>23</v>
      </c>
      <c r="Q893" s="397" t="n">
        <f aca="false">(INDEX(CdP,2,i_P+1)-INDEX(CdP,2,i_P+0))/(INDEX(CdP,1,i_P+1)-INDEX(CdP,1,i_P+0))*(t-pas/2-T_ini-INDEX(CdP,1,i_P+0))+INDEX(CdP,2,i_P+0)</f>
        <v>0</v>
      </c>
      <c r="R893" s="396" t="n">
        <f aca="false">Poussee/(g*ISP)</f>
        <v>0</v>
      </c>
      <c r="S893" s="398" t="n">
        <f aca="false">S892-Débit*pas</f>
        <v>8.45</v>
      </c>
      <c r="T893" s="397" t="n">
        <f aca="false">m*g</f>
        <v>82.8945</v>
      </c>
      <c r="U893" s="400" t="n">
        <f aca="false">IF(pos_xz&lt;L_rampe,Poids*COS(Beta),0)</f>
        <v>0</v>
      </c>
      <c r="V893" s="396" t="n">
        <f aca="false">Rho_moyen*(20000-Alt_rampe-pos_z)/(20000+Alt_rampe+pos_z)</f>
        <v>1.22660363198333</v>
      </c>
      <c r="W893" s="397" t="n">
        <f aca="false">1/2*Rho*Sref*Cx*vit_xz^2</f>
        <v>62.1310788995917</v>
      </c>
      <c r="Y893" s="408" t="str">
        <f aca="false">IF(AND(pos_z&lt;=0,K892&gt;0),"Impact balistique","") &amp; IF(AND(H894&lt;0,vit_z&gt;=0),"Apogée","") &amp; IF(AND(Poussee=0,Q892&gt;0),"Fin de propulsion","") &amp; IF(AND(L894&gt;L_rampe,pos_xz&lt;=L_rampe),"Sortie de rampe","")</f>
        <v/>
      </c>
      <c r="Z893" s="402" t="str">
        <f aca="false">IF(ABS(t-T_para)&lt;pas/2,"Para","")</f>
        <v/>
      </c>
      <c r="AA893" s="403" t="str">
        <f aca="false">IF(ABS(t-T_satellite)&lt;pas/2,"Satellite","")</f>
        <v/>
      </c>
      <c r="AC893" s="399" t="e">
        <f aca="false">IF(ABS(t-ROUND(t,0))&lt;0.001,t,NA())</f>
        <v>#N/A</v>
      </c>
      <c r="AD893" s="404" t="e">
        <f aca="false">IF(ABS(t-ROUND(t,0))&lt;0.001,pos_x,NA())</f>
        <v>#N/A</v>
      </c>
      <c r="AE893" s="405" t="e">
        <f aca="false">IF(t&lt;T_para, pos_z, NA())</f>
        <v>#N/A</v>
      </c>
      <c r="AG893" s="396" t="n">
        <f aca="false">IF(AND(L892&lt;L_rampe,Poussee&lt;Poids*SIN(M892)),0,(-W892+Poussee)/m-Poids*SIN(M892)/m)</f>
        <v>2.40919878226333</v>
      </c>
      <c r="AH893" s="397" t="n">
        <f aca="false">IF(AND(L892&lt;L_rampe,Poussee&lt;Poids*SIN(M892)), g*SIN(M892), (-W892+Poussee)/m)</f>
        <v>-7.35275137706566</v>
      </c>
    </row>
    <row r="894" customFormat="false" ht="12.75" hidden="false" customHeight="false" outlineLevel="0" collapsed="false">
      <c r="A894" s="396" t="n">
        <f aca="false">IF(B893+0.01&lt;=T_ini+ROUNDUP(Temps_fin_propu,0), 0.01, IF(K893&gt;0, 0.1, 0.0001))</f>
        <v>0.0001</v>
      </c>
      <c r="B894" s="397" t="n">
        <f aca="false">B893+pas</f>
        <v>32.1389000000015</v>
      </c>
      <c r="D894" s="396" t="n">
        <f aca="false">IF(AND(L893&lt;L_rampe,Poussee&lt;Poids*SIN(M893)),0,(-W893+Poussee)/m*COS(M893)-U893/m*SIN(M893))</f>
        <v>-0.726846245136146</v>
      </c>
      <c r="E894" s="398" t="n">
        <f aca="false">IF(AND(L893&lt;L_rampe,Poussee&lt;Poids*SIN(M893)),0,(-W893+Poussee)/m*SIN(M893)+U893/m*COS(M893)-Poids/m)</f>
        <v>-2.49322330282253</v>
      </c>
      <c r="F894" s="397" t="n">
        <f aca="false">SQRT(acc_x^2+acc_z^2)</f>
        <v>2.59701134033061</v>
      </c>
      <c r="G894" s="396" t="n">
        <f aca="false">G893+acc_x*pas</f>
        <v>11.4690161348393</v>
      </c>
      <c r="H894" s="398" t="n">
        <f aca="false">H893+acc_z*pas</f>
        <v>-115.453500093947</v>
      </c>
      <c r="I894" s="397" t="n">
        <f aca="false">SQRT(vit_x^2+vit_z^2)</f>
        <v>116.021760954763</v>
      </c>
      <c r="J894" s="396" t="n">
        <f aca="false">J893+0.5*(vit_x+G893)*pas*(K893&gt;=0)</f>
        <v>690.928492655337</v>
      </c>
      <c r="K894" s="398" t="n">
        <f aca="false">K893+0.5*(vit_z+H893)*pas</f>
        <v>-13.0938557274551</v>
      </c>
      <c r="L894" s="397" t="n">
        <f aca="false">SQRT(pos_x^2+pos_z^2)</f>
        <v>691.052553009384</v>
      </c>
      <c r="M894" s="396" t="n">
        <f aca="false">IF(AND(L893&gt;L_rampe,G894&gt;0),ATAN2(G894,H894),$M$4)</f>
        <v>-1.47178233640209</v>
      </c>
      <c r="N894" s="397" t="n">
        <f aca="false">DEGREES(Beta)</f>
        <v>-84.326916237743</v>
      </c>
      <c r="P894" s="399" t="n">
        <f aca="false">MATCH(t-pas/2-T_ini,CdP_t)</f>
        <v>23</v>
      </c>
      <c r="Q894" s="397" t="n">
        <f aca="false">(INDEX(CdP,2,i_P+1)-INDEX(CdP,2,i_P+0))/(INDEX(CdP,1,i_P+1)-INDEX(CdP,1,i_P+0))*(t-pas/2-T_ini-INDEX(CdP,1,i_P+0))+INDEX(CdP,2,i_P+0)</f>
        <v>0</v>
      </c>
      <c r="R894" s="396" t="n">
        <f aca="false">Poussee/(g*ISP)</f>
        <v>0</v>
      </c>
      <c r="S894" s="398" t="n">
        <f aca="false">S893-Débit*pas</f>
        <v>8.45</v>
      </c>
      <c r="T894" s="397" t="n">
        <f aca="false">m*g</f>
        <v>82.8945</v>
      </c>
      <c r="U894" s="400" t="n">
        <f aca="false">IF(pos_xz&lt;L_rampe,Poids*COS(Beta),0)</f>
        <v>0</v>
      </c>
      <c r="V894" s="396" t="n">
        <f aca="false">Rho_moyen*(20000-Alt_rampe-pos_z)/(20000+Alt_rampe+pos_z)</f>
        <v>1.22660504814005</v>
      </c>
      <c r="W894" s="397" t="n">
        <f aca="false">1/2*Rho*Sref*Cx*vit_xz^2</f>
        <v>62.1314086602551</v>
      </c>
      <c r="Y894" s="408" t="str">
        <f aca="false">IF(AND(pos_z&lt;=0,K893&gt;0),"Impact balistique","") &amp; IF(AND(H895&lt;0,vit_z&gt;=0),"Apogée","") &amp; IF(AND(Poussee=0,Q893&gt;0),"Fin de propulsion","") &amp; IF(AND(L895&gt;L_rampe,pos_xz&lt;=L_rampe),"Sortie de rampe","")</f>
        <v/>
      </c>
      <c r="Z894" s="402" t="str">
        <f aca="false">IF(ABS(t-T_para)&lt;pas/2,"Para","")</f>
        <v/>
      </c>
      <c r="AA894" s="403" t="str">
        <f aca="false">IF(ABS(t-T_satellite)&lt;pas/2,"Satellite","")</f>
        <v/>
      </c>
      <c r="AC894" s="399" t="e">
        <f aca="false">IF(ABS(t-ROUND(t,0))&lt;0.001,t,NA())</f>
        <v>#N/A</v>
      </c>
      <c r="AD894" s="404" t="e">
        <f aca="false">IF(ABS(t-ROUND(t,0))&lt;0.001,pos_x,NA())</f>
        <v>#N/A</v>
      </c>
      <c r="AE894" s="405" t="e">
        <f aca="false">IF(t&lt;T_para, pos_z, NA())</f>
        <v>#N/A</v>
      </c>
      <c r="AG894" s="396" t="n">
        <f aca="false">IF(AND(L893&lt;L_rampe,Poussee&lt;Poids*SIN(M893)),0,(-W893+Poussee)/m-Poids*SIN(M893)/m)</f>
        <v>2.40916056757139</v>
      </c>
      <c r="AH894" s="397" t="n">
        <f aca="false">IF(AND(L893&lt;L_rampe,Poussee&lt;Poids*SIN(M893)), g*SIN(M893), (-W893+Poussee)/m)</f>
        <v>-7.35279040231855</v>
      </c>
    </row>
    <row r="895" customFormat="false" ht="12.75" hidden="false" customHeight="false" outlineLevel="0" collapsed="false">
      <c r="A895" s="396" t="n">
        <f aca="false">IF(B894+0.01&lt;=T_ini+ROUNDUP(Temps_fin_propu,0), 0.01, IF(K894&gt;0, 0.1, 0.0001))</f>
        <v>0.0001</v>
      </c>
      <c r="B895" s="397" t="n">
        <f aca="false">B894+pas</f>
        <v>32.1390000000015</v>
      </c>
      <c r="D895" s="396" t="n">
        <f aca="false">IF(AND(L894&lt;L_rampe,Poussee&lt;Poids*SIN(M894)),0,(-W894+Poussee)/m*COS(M894)-U894/m*SIN(M894))</f>
        <v>-0.726843987230305</v>
      </c>
      <c r="E895" s="398" t="n">
        <f aca="false">IF(AND(L894&lt;L_rampe,Poussee&lt;Poids*SIN(M894)),0,(-W894+Poussee)/m*SIN(M894)+U894/m*COS(M894)-Poids/m)</f>
        <v>-2.49318386151136</v>
      </c>
      <c r="F895" s="397" t="n">
        <f aca="false">SQRT(acc_x^2+acc_z^2)</f>
        <v>2.59697284334541</v>
      </c>
      <c r="G895" s="396" t="n">
        <f aca="false">G894+acc_x*pas</f>
        <v>11.4689434504405</v>
      </c>
      <c r="H895" s="398" t="n">
        <f aca="false">H894+acc_z*pas</f>
        <v>-115.453749412333</v>
      </c>
      <c r="I895" s="397" t="n">
        <f aca="false">SQRT(vit_x^2+vit_z^2)</f>
        <v>116.022001867039</v>
      </c>
      <c r="J895" s="396" t="n">
        <f aca="false">J894+0.5*(vit_x+G894)*pas*(K894&gt;=0)</f>
        <v>690.928492655337</v>
      </c>
      <c r="K895" s="398" t="n">
        <f aca="false">K894+0.5*(vit_z+H894)*pas</f>
        <v>-13.1054010899305</v>
      </c>
      <c r="L895" s="397" t="n">
        <f aca="false">SQRT(pos_x^2+pos_z^2)</f>
        <v>691.052771863845</v>
      </c>
      <c r="M895" s="396" t="n">
        <f aca="false">IF(AND(L894&gt;L_rampe,G895&gt;0),ATAN2(G895,H895),$M$4)</f>
        <v>-1.4717831722271</v>
      </c>
      <c r="N895" s="397" t="n">
        <f aca="false">DEGREES(Beta)</f>
        <v>-84.3269641269887</v>
      </c>
      <c r="P895" s="399" t="n">
        <f aca="false">MATCH(t-pas/2-T_ini,CdP_t)</f>
        <v>23</v>
      </c>
      <c r="Q895" s="397" t="n">
        <f aca="false">(INDEX(CdP,2,i_P+1)-INDEX(CdP,2,i_P+0))/(INDEX(CdP,1,i_P+1)-INDEX(CdP,1,i_P+0))*(t-pas/2-T_ini-INDEX(CdP,1,i_P+0))+INDEX(CdP,2,i_P+0)</f>
        <v>0</v>
      </c>
      <c r="R895" s="396" t="n">
        <f aca="false">Poussee/(g*ISP)</f>
        <v>0</v>
      </c>
      <c r="S895" s="398" t="n">
        <f aca="false">S894-Débit*pas</f>
        <v>8.45</v>
      </c>
      <c r="T895" s="397" t="n">
        <f aca="false">m*g</f>
        <v>82.8945</v>
      </c>
      <c r="U895" s="400" t="n">
        <f aca="false">IF(pos_xz&lt;L_rampe,Poids*COS(Beta),0)</f>
        <v>0</v>
      </c>
      <c r="V895" s="396" t="n">
        <f aca="false">Rho_moyen*(20000-Alt_rampe-pos_z)/(20000+Alt_rampe+pos_z)</f>
        <v>1.22660646430147</v>
      </c>
      <c r="W895" s="397" t="n">
        <f aca="false">1/2*Rho*Sref*Cx*vit_xz^2</f>
        <v>62.131738418195</v>
      </c>
      <c r="Y895" s="408" t="str">
        <f aca="false">IF(AND(pos_z&lt;=0,K894&gt;0),"Impact balistique","") &amp; IF(AND(H896&lt;0,vit_z&gt;=0),"Apogée","") &amp; IF(AND(Poussee=0,Q894&gt;0),"Fin de propulsion","") &amp; IF(AND(L896&gt;L_rampe,pos_xz&lt;=L_rampe),"Sortie de rampe","")</f>
        <v/>
      </c>
      <c r="Z895" s="402" t="str">
        <f aca="false">IF(ABS(t-T_para)&lt;pas/2,"Para","")</f>
        <v/>
      </c>
      <c r="AA895" s="403" t="str">
        <f aca="false">IF(ABS(t-T_satellite)&lt;pas/2,"Satellite","")</f>
        <v/>
      </c>
      <c r="AC895" s="399" t="e">
        <f aca="false">IF(ABS(t-ROUND(t,0))&lt;0.001,t,NA())</f>
        <v>#N/A</v>
      </c>
      <c r="AD895" s="404" t="e">
        <f aca="false">IF(ABS(t-ROUND(t,0))&lt;0.001,pos_x,NA())</f>
        <v>#N/A</v>
      </c>
      <c r="AE895" s="405" t="e">
        <f aca="false">IF(t&lt;T_para, pos_z, NA())</f>
        <v>#N/A</v>
      </c>
      <c r="AG895" s="396" t="n">
        <f aca="false">IF(AND(L894&lt;L_rampe,Poussee&lt;Poids*SIN(M894)),0,(-W894+Poussee)/m-Poids*SIN(M894)/m)</f>
        <v>2.40912235318643</v>
      </c>
      <c r="AH895" s="397" t="n">
        <f aca="false">IF(AND(L894&lt;L_rampe,Poussee&lt;Poids*SIN(M894)), g*SIN(M894), (-W894+Poussee)/m)</f>
        <v>-7.35282942724913</v>
      </c>
    </row>
    <row r="896" customFormat="false" ht="12.75" hidden="false" customHeight="false" outlineLevel="0" collapsed="false">
      <c r="A896" s="396" t="n">
        <f aca="false">IF(B895+0.01&lt;=T_ini+ROUNDUP(Temps_fin_propu,0), 0.01, IF(K895&gt;0, 0.1, 0.0001))</f>
        <v>0.0001</v>
      </c>
      <c r="B896" s="397" t="n">
        <f aca="false">B895+pas</f>
        <v>32.1391000000015</v>
      </c>
      <c r="D896" s="396" t="n">
        <f aca="false">IF(AND(L895&lt;L_rampe,Poussee&lt;Poids*SIN(M895)),0,(-W895+Poussee)/m*COS(M895)-U895/m*SIN(M895))</f>
        <v>-0.726841729291334</v>
      </c>
      <c r="E896" s="398" t="n">
        <f aca="false">IF(AND(L895&lt;L_rampe,Poussee&lt;Poids*SIN(M895)),0,(-W895+Poussee)/m*SIN(M895)+U895/m*COS(M895)-Poids/m)</f>
        <v>-2.49314442052595</v>
      </c>
      <c r="F896" s="397" t="n">
        <f aca="false">SQRT(acc_x^2+acc_z^2)</f>
        <v>2.59693434669398</v>
      </c>
      <c r="G896" s="396" t="n">
        <f aca="false">G895+acc_x*pas</f>
        <v>11.4688707662676</v>
      </c>
      <c r="H896" s="398" t="n">
        <f aca="false">H895+acc_z*pas</f>
        <v>-115.453998726775</v>
      </c>
      <c r="I896" s="397" t="n">
        <f aca="false">SQRT(vit_x^2+vit_z^2)</f>
        <v>116.022242775493</v>
      </c>
      <c r="J896" s="396" t="n">
        <f aca="false">J895+0.5*(vit_x+G895)*pas*(K895&gt;=0)</f>
        <v>690.928492655337</v>
      </c>
      <c r="K896" s="398" t="n">
        <f aca="false">K895+0.5*(vit_z+H895)*pas</f>
        <v>-13.1169464773374</v>
      </c>
      <c r="L896" s="397" t="n">
        <f aca="false">SQRT(pos_x^2+pos_z^2)</f>
        <v>691.052990911598</v>
      </c>
      <c r="M896" s="396" t="n">
        <f aca="false">IF(AND(L895&gt;L_rampe,G896&gt;0),ATAN2(G896,H896),$M$4)</f>
        <v>-1.47178400804334</v>
      </c>
      <c r="N896" s="397" t="n">
        <f aca="false">DEGREES(Beta)</f>
        <v>-84.3270120157319</v>
      </c>
      <c r="P896" s="399" t="n">
        <f aca="false">MATCH(t-pas/2-T_ini,CdP_t)</f>
        <v>23</v>
      </c>
      <c r="Q896" s="397" t="n">
        <f aca="false">(INDEX(CdP,2,i_P+1)-INDEX(CdP,2,i_P+0))/(INDEX(CdP,1,i_P+1)-INDEX(CdP,1,i_P+0))*(t-pas/2-T_ini-INDEX(CdP,1,i_P+0))+INDEX(CdP,2,i_P+0)</f>
        <v>0</v>
      </c>
      <c r="R896" s="396" t="n">
        <f aca="false">Poussee/(g*ISP)</f>
        <v>0</v>
      </c>
      <c r="S896" s="398" t="n">
        <f aca="false">S895-Débit*pas</f>
        <v>8.45</v>
      </c>
      <c r="T896" s="397" t="n">
        <f aca="false">m*g</f>
        <v>82.8945</v>
      </c>
      <c r="U896" s="400" t="n">
        <f aca="false">IF(pos_xz&lt;L_rampe,Poids*COS(Beta),0)</f>
        <v>0</v>
      </c>
      <c r="V896" s="396" t="n">
        <f aca="false">Rho_moyen*(20000-Alt_rampe-pos_z)/(20000+Alt_rampe+pos_z)</f>
        <v>1.22660788046758</v>
      </c>
      <c r="W896" s="397" t="n">
        <f aca="false">1/2*Rho*Sref*Cx*vit_xz^2</f>
        <v>62.1320681734114</v>
      </c>
      <c r="Y896" s="408" t="str">
        <f aca="false">IF(AND(pos_z&lt;=0,K895&gt;0),"Impact balistique","") &amp; IF(AND(H897&lt;0,vit_z&gt;=0),"Apogée","") &amp; IF(AND(Poussee=0,Q895&gt;0),"Fin de propulsion","") &amp; IF(AND(L897&gt;L_rampe,pos_xz&lt;=L_rampe),"Sortie de rampe","")</f>
        <v/>
      </c>
      <c r="Z896" s="402" t="str">
        <f aca="false">IF(ABS(t-T_para)&lt;pas/2,"Para","")</f>
        <v/>
      </c>
      <c r="AA896" s="403" t="str">
        <f aca="false">IF(ABS(t-T_satellite)&lt;pas/2,"Satellite","")</f>
        <v/>
      </c>
      <c r="AC896" s="399" t="e">
        <f aca="false">IF(ABS(t-ROUND(t,0))&lt;0.001,t,NA())</f>
        <v>#N/A</v>
      </c>
      <c r="AD896" s="404" t="e">
        <f aca="false">IF(ABS(t-ROUND(t,0))&lt;0.001,pos_x,NA())</f>
        <v>#N/A</v>
      </c>
      <c r="AE896" s="405" t="e">
        <f aca="false">IF(t&lt;T_para, pos_z, NA())</f>
        <v>#N/A</v>
      </c>
      <c r="AG896" s="396" t="n">
        <f aca="false">IF(AND(L895&lt;L_rampe,Poussee&lt;Poids*SIN(M895)),0,(-W895+Poussee)/m-Poids*SIN(M895)/m)</f>
        <v>2.40908413910846</v>
      </c>
      <c r="AH896" s="397" t="n">
        <f aca="false">IF(AND(L895&lt;L_rampe,Poussee&lt;Poids*SIN(M895)), g*SIN(M895), (-W895+Poussee)/m)</f>
        <v>-7.3528684518574</v>
      </c>
    </row>
    <row r="897" customFormat="false" ht="12.75" hidden="false" customHeight="false" outlineLevel="0" collapsed="false">
      <c r="A897" s="396" t="n">
        <f aca="false">IF(B896+0.01&lt;=T_ini+ROUNDUP(Temps_fin_propu,0), 0.01, IF(K896&gt;0, 0.1, 0.0001))</f>
        <v>0.0001</v>
      </c>
      <c r="B897" s="397" t="n">
        <f aca="false">B896+pas</f>
        <v>32.1392000000015</v>
      </c>
      <c r="D897" s="396" t="n">
        <f aca="false">IF(AND(L896&lt;L_rampe,Poussee&lt;Poids*SIN(M896)),0,(-W896+Poussee)/m*COS(M896)-U896/m*SIN(M896))</f>
        <v>-0.726839471319233</v>
      </c>
      <c r="E897" s="398" t="n">
        <f aca="false">IF(AND(L896&lt;L_rampe,Poussee&lt;Poids*SIN(M896)),0,(-W896+Poussee)/m*SIN(M896)+U896/m*COS(M896)-Poids/m)</f>
        <v>-2.4931049798663</v>
      </c>
      <c r="F897" s="397" t="n">
        <f aca="false">SQRT(acc_x^2+acc_z^2)</f>
        <v>2.59689585037633</v>
      </c>
      <c r="G897" s="396" t="n">
        <f aca="false">G896+acc_x*pas</f>
        <v>11.4687980823205</v>
      </c>
      <c r="H897" s="398" t="n">
        <f aca="false">H896+acc_z*pas</f>
        <v>-115.454248037273</v>
      </c>
      <c r="I897" s="397" t="n">
        <f aca="false">SQRT(vit_x^2+vit_z^2)</f>
        <v>116.022483680126</v>
      </c>
      <c r="J897" s="396" t="n">
        <f aca="false">J896+0.5*(vit_x+G896)*pas*(K896&gt;=0)</f>
        <v>690.928492655337</v>
      </c>
      <c r="K897" s="398" t="n">
        <f aca="false">K896+0.5*(vit_z+H896)*pas</f>
        <v>-13.1284918896756</v>
      </c>
      <c r="L897" s="397" t="n">
        <f aca="false">SQRT(pos_x^2+pos_z^2)</f>
        <v>691.053210152643</v>
      </c>
      <c r="M897" s="396" t="n">
        <f aca="false">IF(AND(L896&gt;L_rampe,G897&gt;0),ATAN2(G897,H897),$M$4)</f>
        <v>-1.47178484385082</v>
      </c>
      <c r="N897" s="397" t="n">
        <f aca="false">DEGREES(Beta)</f>
        <v>-84.3270599039729</v>
      </c>
      <c r="P897" s="399" t="n">
        <f aca="false">MATCH(t-pas/2-T_ini,CdP_t)</f>
        <v>23</v>
      </c>
      <c r="Q897" s="397" t="n">
        <f aca="false">(INDEX(CdP,2,i_P+1)-INDEX(CdP,2,i_P+0))/(INDEX(CdP,1,i_P+1)-INDEX(CdP,1,i_P+0))*(t-pas/2-T_ini-INDEX(CdP,1,i_P+0))+INDEX(CdP,2,i_P+0)</f>
        <v>0</v>
      </c>
      <c r="R897" s="396" t="n">
        <f aca="false">Poussee/(g*ISP)</f>
        <v>0</v>
      </c>
      <c r="S897" s="398" t="n">
        <f aca="false">S896-Débit*pas</f>
        <v>8.45</v>
      </c>
      <c r="T897" s="397" t="n">
        <f aca="false">m*g</f>
        <v>82.8945</v>
      </c>
      <c r="U897" s="400" t="n">
        <f aca="false">IF(pos_xz&lt;L_rampe,Poids*COS(Beta),0)</f>
        <v>0</v>
      </c>
      <c r="V897" s="396" t="n">
        <f aca="false">Rho_moyen*(20000-Alt_rampe-pos_z)/(20000+Alt_rampe+pos_z)</f>
        <v>1.22660929663838</v>
      </c>
      <c r="W897" s="397" t="n">
        <f aca="false">1/2*Rho*Sref*Cx*vit_xz^2</f>
        <v>62.1323979259042</v>
      </c>
      <c r="Y897" s="408" t="str">
        <f aca="false">IF(AND(pos_z&lt;=0,K896&gt;0),"Impact balistique","") &amp; IF(AND(H898&lt;0,vit_z&gt;=0),"Apogée","") &amp; IF(AND(Poussee=0,Q896&gt;0),"Fin de propulsion","") &amp; IF(AND(L898&gt;L_rampe,pos_xz&lt;=L_rampe),"Sortie de rampe","")</f>
        <v/>
      </c>
      <c r="Z897" s="402" t="str">
        <f aca="false">IF(ABS(t-T_para)&lt;pas/2,"Para","")</f>
        <v/>
      </c>
      <c r="AA897" s="403" t="str">
        <f aca="false">IF(ABS(t-T_satellite)&lt;pas/2,"Satellite","")</f>
        <v/>
      </c>
      <c r="AC897" s="399" t="e">
        <f aca="false">IF(ABS(t-ROUND(t,0))&lt;0.001,t,NA())</f>
        <v>#N/A</v>
      </c>
      <c r="AD897" s="404" t="e">
        <f aca="false">IF(ABS(t-ROUND(t,0))&lt;0.001,pos_x,NA())</f>
        <v>#N/A</v>
      </c>
      <c r="AE897" s="405" t="e">
        <f aca="false">IF(t&lt;T_para, pos_z, NA())</f>
        <v>#N/A</v>
      </c>
      <c r="AG897" s="396" t="n">
        <f aca="false">IF(AND(L896&lt;L_rampe,Poussee&lt;Poids*SIN(M896)),0,(-W896+Poussee)/m-Poids*SIN(M896)/m)</f>
        <v>2.40904592533748</v>
      </c>
      <c r="AH897" s="397" t="n">
        <f aca="false">IF(AND(L896&lt;L_rampe,Poussee&lt;Poids*SIN(M896)), g*SIN(M896), (-W896+Poussee)/m)</f>
        <v>-7.35290747614336</v>
      </c>
    </row>
    <row r="898" customFormat="false" ht="12.75" hidden="false" customHeight="false" outlineLevel="0" collapsed="false">
      <c r="A898" s="396" t="n">
        <f aca="false">IF(B897+0.01&lt;=T_ini+ROUNDUP(Temps_fin_propu,0), 0.01, IF(K897&gt;0, 0.1, 0.0001))</f>
        <v>0.0001</v>
      </c>
      <c r="B898" s="397" t="n">
        <f aca="false">B897+pas</f>
        <v>32.1393000000015</v>
      </c>
      <c r="D898" s="396" t="n">
        <f aca="false">IF(AND(L897&lt;L_rampe,Poussee&lt;Poids*SIN(M897)),0,(-W897+Poussee)/m*COS(M897)-U897/m*SIN(M897))</f>
        <v>-0.726837213314003</v>
      </c>
      <c r="E898" s="398" t="n">
        <f aca="false">IF(AND(L897&lt;L_rampe,Poussee&lt;Poids*SIN(M897)),0,(-W897+Poussee)/m*SIN(M897)+U897/m*COS(M897)-Poids/m)</f>
        <v>-2.49306553953243</v>
      </c>
      <c r="F898" s="397" t="n">
        <f aca="false">SQRT(acc_x^2+acc_z^2)</f>
        <v>2.59685735439246</v>
      </c>
      <c r="G898" s="396" t="n">
        <f aca="false">G897+acc_x*pas</f>
        <v>11.4687253985992</v>
      </c>
      <c r="H898" s="398" t="n">
        <f aca="false">H897+acc_z*pas</f>
        <v>-115.454497343827</v>
      </c>
      <c r="I898" s="397" t="n">
        <f aca="false">SQRT(vit_x^2+vit_z^2)</f>
        <v>116.022724580938</v>
      </c>
      <c r="J898" s="396" t="n">
        <f aca="false">J897+0.5*(vit_x+G897)*pas*(K897&gt;=0)</f>
        <v>690.928492655337</v>
      </c>
      <c r="K898" s="398" t="n">
        <f aca="false">K897+0.5*(vit_z+H897)*pas</f>
        <v>-13.1400373269447</v>
      </c>
      <c r="L898" s="397" t="n">
        <f aca="false">SQRT(pos_x^2+pos_z^2)</f>
        <v>691.053429586982</v>
      </c>
      <c r="M898" s="396" t="n">
        <f aca="false">IF(AND(L897&gt;L_rampe,G898&gt;0),ATAN2(G898,H898),$M$4)</f>
        <v>-1.47178567964953</v>
      </c>
      <c r="N898" s="397" t="n">
        <f aca="false">DEGREES(Beta)</f>
        <v>-84.3271077917114</v>
      </c>
      <c r="P898" s="399" t="n">
        <f aca="false">MATCH(t-pas/2-T_ini,CdP_t)</f>
        <v>23</v>
      </c>
      <c r="Q898" s="397" t="n">
        <f aca="false">(INDEX(CdP,2,i_P+1)-INDEX(CdP,2,i_P+0))/(INDEX(CdP,1,i_P+1)-INDEX(CdP,1,i_P+0))*(t-pas/2-T_ini-INDEX(CdP,1,i_P+0))+INDEX(CdP,2,i_P+0)</f>
        <v>0</v>
      </c>
      <c r="R898" s="396" t="n">
        <f aca="false">Poussee/(g*ISP)</f>
        <v>0</v>
      </c>
      <c r="S898" s="398" t="n">
        <f aca="false">S897-Débit*pas</f>
        <v>8.45</v>
      </c>
      <c r="T898" s="397" t="n">
        <f aca="false">m*g</f>
        <v>82.8945</v>
      </c>
      <c r="U898" s="400" t="n">
        <f aca="false">IF(pos_xz&lt;L_rampe,Poids*COS(Beta),0)</f>
        <v>0</v>
      </c>
      <c r="V898" s="396" t="n">
        <f aca="false">Rho_moyen*(20000-Alt_rampe-pos_z)/(20000+Alt_rampe+pos_z)</f>
        <v>1.22661071281388</v>
      </c>
      <c r="W898" s="397" t="n">
        <f aca="false">1/2*Rho*Sref*Cx*vit_xz^2</f>
        <v>62.1327276756736</v>
      </c>
      <c r="Y898" s="408" t="str">
        <f aca="false">IF(AND(pos_z&lt;=0,K897&gt;0),"Impact balistique","") &amp; IF(AND(H899&lt;0,vit_z&gt;=0),"Apogée","") &amp; IF(AND(Poussee=0,Q897&gt;0),"Fin de propulsion","") &amp; IF(AND(L899&gt;L_rampe,pos_xz&lt;=L_rampe),"Sortie de rampe","")</f>
        <v/>
      </c>
      <c r="Z898" s="402" t="str">
        <f aca="false">IF(ABS(t-T_para)&lt;pas/2,"Para","")</f>
        <v/>
      </c>
      <c r="AA898" s="403" t="str">
        <f aca="false">IF(ABS(t-T_satellite)&lt;pas/2,"Satellite","")</f>
        <v/>
      </c>
      <c r="AC898" s="399" t="e">
        <f aca="false">IF(ABS(t-ROUND(t,0))&lt;0.001,t,NA())</f>
        <v>#N/A</v>
      </c>
      <c r="AD898" s="404" t="e">
        <f aca="false">IF(ABS(t-ROUND(t,0))&lt;0.001,pos_x,NA())</f>
        <v>#N/A</v>
      </c>
      <c r="AE898" s="405" t="e">
        <f aca="false">IF(t&lt;T_para, pos_z, NA())</f>
        <v>#N/A</v>
      </c>
      <c r="AG898" s="396" t="n">
        <f aca="false">IF(AND(L897&lt;L_rampe,Poussee&lt;Poids*SIN(M897)),0,(-W897+Poussee)/m-Poids*SIN(M897)/m)</f>
        <v>2.40900771187348</v>
      </c>
      <c r="AH898" s="397" t="n">
        <f aca="false">IF(AND(L897&lt;L_rampe,Poussee&lt;Poids*SIN(M897)), g*SIN(M897), (-W897+Poussee)/m)</f>
        <v>-7.35294650010701</v>
      </c>
    </row>
    <row r="899" customFormat="false" ht="12.75" hidden="false" customHeight="false" outlineLevel="0" collapsed="false">
      <c r="A899" s="396" t="n">
        <f aca="false">IF(B898+0.01&lt;=T_ini+ROUNDUP(Temps_fin_propu,0), 0.01, IF(K898&gt;0, 0.1, 0.0001))</f>
        <v>0.0001</v>
      </c>
      <c r="B899" s="397" t="n">
        <f aca="false">B898+pas</f>
        <v>32.1394000000015</v>
      </c>
      <c r="D899" s="396" t="n">
        <f aca="false">IF(AND(L898&lt;L_rampe,Poussee&lt;Poids*SIN(M898)),0,(-W898+Poussee)/m*COS(M898)-U898/m*SIN(M898))</f>
        <v>-0.726834955275646</v>
      </c>
      <c r="E899" s="398" t="n">
        <f aca="false">IF(AND(L898&lt;L_rampe,Poussee&lt;Poids*SIN(M898)),0,(-W898+Poussee)/m*SIN(M898)+U898/m*COS(M898)-Poids/m)</f>
        <v>-2.49302609952432</v>
      </c>
      <c r="F899" s="397" t="n">
        <f aca="false">SQRT(acc_x^2+acc_z^2)</f>
        <v>2.59681885874237</v>
      </c>
      <c r="G899" s="396" t="n">
        <f aca="false">G898+acc_x*pas</f>
        <v>11.4686527151036</v>
      </c>
      <c r="H899" s="398" t="n">
        <f aca="false">H898+acc_z*pas</f>
        <v>-115.454746646437</v>
      </c>
      <c r="I899" s="397" t="n">
        <f aca="false">SQRT(vit_x^2+vit_z^2)</f>
        <v>116.022965477928</v>
      </c>
      <c r="J899" s="396" t="n">
        <f aca="false">J898+0.5*(vit_x+G898)*pas*(K898&gt;=0)</f>
        <v>690.928492655337</v>
      </c>
      <c r="K899" s="398" t="n">
        <f aca="false">K898+0.5*(vit_z+H898)*pas</f>
        <v>-13.1515827891442</v>
      </c>
      <c r="L899" s="397" t="n">
        <f aca="false">SQRT(pos_x^2+pos_z^2)</f>
        <v>691.053649214614</v>
      </c>
      <c r="M899" s="396" t="n">
        <f aca="false">IF(AND(L898&gt;L_rampe,G899&gt;0),ATAN2(G899,H899),$M$4)</f>
        <v>-1.47178651543947</v>
      </c>
      <c r="N899" s="397" t="n">
        <f aca="false">DEGREES(Beta)</f>
        <v>-84.3271556789476</v>
      </c>
      <c r="P899" s="399" t="n">
        <f aca="false">MATCH(t-pas/2-T_ini,CdP_t)</f>
        <v>23</v>
      </c>
      <c r="Q899" s="397" t="n">
        <f aca="false">(INDEX(CdP,2,i_P+1)-INDEX(CdP,2,i_P+0))/(INDEX(CdP,1,i_P+1)-INDEX(CdP,1,i_P+0))*(t-pas/2-T_ini-INDEX(CdP,1,i_P+0))+INDEX(CdP,2,i_P+0)</f>
        <v>0</v>
      </c>
      <c r="R899" s="396" t="n">
        <f aca="false">Poussee/(g*ISP)</f>
        <v>0</v>
      </c>
      <c r="S899" s="398" t="n">
        <f aca="false">S898-Débit*pas</f>
        <v>8.45</v>
      </c>
      <c r="T899" s="397" t="n">
        <f aca="false">m*g</f>
        <v>82.8945</v>
      </c>
      <c r="U899" s="400" t="n">
        <f aca="false">IF(pos_xz&lt;L_rampe,Poids*COS(Beta),0)</f>
        <v>0</v>
      </c>
      <c r="V899" s="396" t="n">
        <f aca="false">Rho_moyen*(20000-Alt_rampe-pos_z)/(20000+Alt_rampe+pos_z)</f>
        <v>1.22661212899407</v>
      </c>
      <c r="W899" s="397" t="n">
        <f aca="false">1/2*Rho*Sref*Cx*vit_xz^2</f>
        <v>62.1330574227194</v>
      </c>
      <c r="Y899" s="408" t="str">
        <f aca="false">IF(AND(pos_z&lt;=0,K898&gt;0),"Impact balistique","") &amp; IF(AND(H900&lt;0,vit_z&gt;=0),"Apogée","") &amp; IF(AND(Poussee=0,Q898&gt;0),"Fin de propulsion","") &amp; IF(AND(L900&gt;L_rampe,pos_xz&lt;=L_rampe),"Sortie de rampe","")</f>
        <v/>
      </c>
      <c r="Z899" s="402" t="str">
        <f aca="false">IF(ABS(t-T_para)&lt;pas/2,"Para","")</f>
        <v/>
      </c>
      <c r="AA899" s="403" t="str">
        <f aca="false">IF(ABS(t-T_satellite)&lt;pas/2,"Satellite","")</f>
        <v/>
      </c>
      <c r="AC899" s="399" t="e">
        <f aca="false">IF(ABS(t-ROUND(t,0))&lt;0.001,t,NA())</f>
        <v>#N/A</v>
      </c>
      <c r="AD899" s="404" t="e">
        <f aca="false">IF(ABS(t-ROUND(t,0))&lt;0.001,pos_x,NA())</f>
        <v>#N/A</v>
      </c>
      <c r="AE899" s="405" t="e">
        <f aca="false">IF(t&lt;T_para, pos_z, NA())</f>
        <v>#N/A</v>
      </c>
      <c r="AG899" s="396" t="n">
        <f aca="false">IF(AND(L898&lt;L_rampe,Poussee&lt;Poids*SIN(M898)),0,(-W898+Poussee)/m-Poids*SIN(M898)/m)</f>
        <v>2.40896949871648</v>
      </c>
      <c r="AH899" s="397" t="n">
        <f aca="false">IF(AND(L898&lt;L_rampe,Poussee&lt;Poids*SIN(M898)), g*SIN(M898), (-W898+Poussee)/m)</f>
        <v>-7.35298552374835</v>
      </c>
    </row>
    <row r="900" customFormat="false" ht="12.75" hidden="false" customHeight="false" outlineLevel="0" collapsed="false">
      <c r="A900" s="396" t="n">
        <f aca="false">IF(B899+0.01&lt;=T_ini+ROUNDUP(Temps_fin_propu,0), 0.01, IF(K899&gt;0, 0.1, 0.0001))</f>
        <v>0.0001</v>
      </c>
      <c r="B900" s="397" t="n">
        <f aca="false">B899+pas</f>
        <v>32.1395000000015</v>
      </c>
      <c r="D900" s="396" t="n">
        <f aca="false">IF(AND(L899&lt;L_rampe,Poussee&lt;Poids*SIN(M899)),0,(-W899+Poussee)/m*COS(M899)-U899/m*SIN(M899))</f>
        <v>-0.72683269720416</v>
      </c>
      <c r="E900" s="398" t="n">
        <f aca="false">IF(AND(L899&lt;L_rampe,Poussee&lt;Poids*SIN(M899)),0,(-W899+Poussee)/m*SIN(M899)+U899/m*COS(M899)-Poids/m)</f>
        <v>-2.49298665984198</v>
      </c>
      <c r="F900" s="397" t="n">
        <f aca="false">SQRT(acc_x^2+acc_z^2)</f>
        <v>2.59678036342606</v>
      </c>
      <c r="G900" s="396" t="n">
        <f aca="false">G899+acc_x*pas</f>
        <v>11.4685800318339</v>
      </c>
      <c r="H900" s="398" t="n">
        <f aca="false">H899+acc_z*pas</f>
        <v>-115.454995945103</v>
      </c>
      <c r="I900" s="397" t="n">
        <f aca="false">SQRT(vit_x^2+vit_z^2)</f>
        <v>116.023206371098</v>
      </c>
      <c r="J900" s="396" t="n">
        <f aca="false">J899+0.5*(vit_x+G899)*pas*(K899&gt;=0)</f>
        <v>690.928492655337</v>
      </c>
      <c r="K900" s="398" t="n">
        <f aca="false">K899+0.5*(vit_z+H899)*pas</f>
        <v>-13.1631282762738</v>
      </c>
      <c r="L900" s="397" t="n">
        <f aca="false">SQRT(pos_x^2+pos_z^2)</f>
        <v>691.053869035543</v>
      </c>
      <c r="M900" s="396" t="n">
        <f aca="false">IF(AND(L899&gt;L_rampe,G900&gt;0),ATAN2(G900,H900),$M$4)</f>
        <v>-1.47178735122064</v>
      </c>
      <c r="N900" s="397" t="n">
        <f aca="false">DEGREES(Beta)</f>
        <v>-84.3272035656815</v>
      </c>
      <c r="P900" s="399" t="n">
        <f aca="false">MATCH(t-pas/2-T_ini,CdP_t)</f>
        <v>23</v>
      </c>
      <c r="Q900" s="397" t="n">
        <f aca="false">(INDEX(CdP,2,i_P+1)-INDEX(CdP,2,i_P+0))/(INDEX(CdP,1,i_P+1)-INDEX(CdP,1,i_P+0))*(t-pas/2-T_ini-INDEX(CdP,1,i_P+0))+INDEX(CdP,2,i_P+0)</f>
        <v>0</v>
      </c>
      <c r="R900" s="396" t="n">
        <f aca="false">Poussee/(g*ISP)</f>
        <v>0</v>
      </c>
      <c r="S900" s="398" t="n">
        <f aca="false">S899-Débit*pas</f>
        <v>8.45</v>
      </c>
      <c r="T900" s="397" t="n">
        <f aca="false">m*g</f>
        <v>82.8945</v>
      </c>
      <c r="U900" s="400" t="n">
        <f aca="false">IF(pos_xz&lt;L_rampe,Poids*COS(Beta),0)</f>
        <v>0</v>
      </c>
      <c r="V900" s="396" t="n">
        <f aca="false">Rho_moyen*(20000-Alt_rampe-pos_z)/(20000+Alt_rampe+pos_z)</f>
        <v>1.22661354517895</v>
      </c>
      <c r="W900" s="397" t="n">
        <f aca="false">1/2*Rho*Sref*Cx*vit_xz^2</f>
        <v>62.1333871670416</v>
      </c>
      <c r="Y900" s="408" t="str">
        <f aca="false">IF(AND(pos_z&lt;=0,K899&gt;0),"Impact balistique","") &amp; IF(AND(H901&lt;0,vit_z&gt;=0),"Apogée","") &amp; IF(AND(Poussee=0,Q899&gt;0),"Fin de propulsion","") &amp; IF(AND(L901&gt;L_rampe,pos_xz&lt;=L_rampe),"Sortie de rampe","")</f>
        <v/>
      </c>
      <c r="Z900" s="402" t="str">
        <f aca="false">IF(ABS(t-T_para)&lt;pas/2,"Para","")</f>
        <v/>
      </c>
      <c r="AA900" s="403" t="str">
        <f aca="false">IF(ABS(t-T_satellite)&lt;pas/2,"Satellite","")</f>
        <v/>
      </c>
      <c r="AC900" s="399" t="e">
        <f aca="false">IF(ABS(t-ROUND(t,0))&lt;0.001,t,NA())</f>
        <v>#N/A</v>
      </c>
      <c r="AD900" s="404" t="e">
        <f aca="false">IF(ABS(t-ROUND(t,0))&lt;0.001,pos_x,NA())</f>
        <v>#N/A</v>
      </c>
      <c r="AE900" s="405" t="e">
        <f aca="false">IF(t&lt;T_para, pos_z, NA())</f>
        <v>#N/A</v>
      </c>
      <c r="AG900" s="396" t="n">
        <f aca="false">IF(AND(L899&lt;L_rampe,Poussee&lt;Poids*SIN(M899)),0,(-W899+Poussee)/m-Poids*SIN(M899)/m)</f>
        <v>2.40893128586646</v>
      </c>
      <c r="AH900" s="397" t="n">
        <f aca="false">IF(AND(L899&lt;L_rampe,Poussee&lt;Poids*SIN(M899)), g*SIN(M899), (-W899+Poussee)/m)</f>
        <v>-7.35302454706738</v>
      </c>
    </row>
    <row r="901" customFormat="false" ht="12.75" hidden="false" customHeight="false" outlineLevel="0" collapsed="false">
      <c r="A901" s="396" t="n">
        <f aca="false">IF(B900+0.01&lt;=T_ini+ROUNDUP(Temps_fin_propu,0), 0.01, IF(K900&gt;0, 0.1, 0.0001))</f>
        <v>0.0001</v>
      </c>
      <c r="B901" s="397" t="n">
        <f aca="false">B900+pas</f>
        <v>32.1396000000015</v>
      </c>
      <c r="D901" s="396" t="n">
        <f aca="false">IF(AND(L900&lt;L_rampe,Poussee&lt;Poids*SIN(M900)),0,(-W900+Poussee)/m*COS(M900)-U900/m*SIN(M900))</f>
        <v>-0.726830439099549</v>
      </c>
      <c r="E901" s="398" t="n">
        <f aca="false">IF(AND(L900&lt;L_rampe,Poussee&lt;Poids*SIN(M900)),0,(-W900+Poussee)/m*SIN(M900)+U900/m*COS(M900)-Poids/m)</f>
        <v>-2.49294722048542</v>
      </c>
      <c r="F901" s="397" t="n">
        <f aca="false">SQRT(acc_x^2+acc_z^2)</f>
        <v>2.59674186844353</v>
      </c>
      <c r="G901" s="396" t="n">
        <f aca="false">G900+acc_x*pas</f>
        <v>11.46850734879</v>
      </c>
      <c r="H901" s="398" t="n">
        <f aca="false">H900+acc_z*pas</f>
        <v>-115.455245239825</v>
      </c>
      <c r="I901" s="397" t="n">
        <f aca="false">SQRT(vit_x^2+vit_z^2)</f>
        <v>116.023447260445</v>
      </c>
      <c r="J901" s="396" t="n">
        <f aca="false">J900+0.5*(vit_x+G900)*pas*(K900&gt;=0)</f>
        <v>690.928492655337</v>
      </c>
      <c r="K901" s="398" t="n">
        <f aca="false">K900+0.5*(vit_z+H900)*pas</f>
        <v>-13.174673788333</v>
      </c>
      <c r="L901" s="397" t="n">
        <f aca="false">SQRT(pos_x^2+pos_z^2)</f>
        <v>691.054089049768</v>
      </c>
      <c r="M901" s="396" t="n">
        <f aca="false">IF(AND(L900&gt;L_rampe,G901&gt;0),ATAN2(G901,H901),$M$4)</f>
        <v>-1.47178818699305</v>
      </c>
      <c r="N901" s="397" t="n">
        <f aca="false">DEGREES(Beta)</f>
        <v>-84.327251451913</v>
      </c>
      <c r="P901" s="399" t="n">
        <f aca="false">MATCH(t-pas/2-T_ini,CdP_t)</f>
        <v>23</v>
      </c>
      <c r="Q901" s="397" t="n">
        <f aca="false">(INDEX(CdP,2,i_P+1)-INDEX(CdP,2,i_P+0))/(INDEX(CdP,1,i_P+1)-INDEX(CdP,1,i_P+0))*(t-pas/2-T_ini-INDEX(CdP,1,i_P+0))+INDEX(CdP,2,i_P+0)</f>
        <v>0</v>
      </c>
      <c r="R901" s="396" t="n">
        <f aca="false">Poussee/(g*ISP)</f>
        <v>0</v>
      </c>
      <c r="S901" s="398" t="n">
        <f aca="false">S900-Débit*pas</f>
        <v>8.45</v>
      </c>
      <c r="T901" s="397" t="n">
        <f aca="false">m*g</f>
        <v>82.8945</v>
      </c>
      <c r="U901" s="400" t="n">
        <f aca="false">IF(pos_xz&lt;L_rampe,Poids*COS(Beta),0)</f>
        <v>0</v>
      </c>
      <c r="V901" s="396" t="n">
        <f aca="false">Rho_moyen*(20000-Alt_rampe-pos_z)/(20000+Alt_rampe+pos_z)</f>
        <v>1.22661496136853</v>
      </c>
      <c r="W901" s="397" t="n">
        <f aca="false">1/2*Rho*Sref*Cx*vit_xz^2</f>
        <v>62.1337169086403</v>
      </c>
      <c r="Y901" s="408" t="str">
        <f aca="false">IF(AND(pos_z&lt;=0,K900&gt;0),"Impact balistique","") &amp; IF(AND(H902&lt;0,vit_z&gt;=0),"Apogée","") &amp; IF(AND(Poussee=0,Q900&gt;0),"Fin de propulsion","") &amp; IF(AND(L902&gt;L_rampe,pos_xz&lt;=L_rampe),"Sortie de rampe","")</f>
        <v/>
      </c>
      <c r="Z901" s="402" t="str">
        <f aca="false">IF(ABS(t-T_para)&lt;pas/2,"Para","")</f>
        <v/>
      </c>
      <c r="AA901" s="403" t="str">
        <f aca="false">IF(ABS(t-T_satellite)&lt;pas/2,"Satellite","")</f>
        <v/>
      </c>
      <c r="AC901" s="399" t="e">
        <f aca="false">IF(ABS(t-ROUND(t,0))&lt;0.001,t,NA())</f>
        <v>#N/A</v>
      </c>
      <c r="AD901" s="404" t="e">
        <f aca="false">IF(ABS(t-ROUND(t,0))&lt;0.001,pos_x,NA())</f>
        <v>#N/A</v>
      </c>
      <c r="AE901" s="405" t="e">
        <f aca="false">IF(t&lt;T_para, pos_z, NA())</f>
        <v>#N/A</v>
      </c>
      <c r="AG901" s="396" t="n">
        <f aca="false">IF(AND(L900&lt;L_rampe,Poussee&lt;Poids*SIN(M900)),0,(-W900+Poussee)/m-Poids*SIN(M900)/m)</f>
        <v>2.40889307332344</v>
      </c>
      <c r="AH901" s="397" t="n">
        <f aca="false">IF(AND(L900&lt;L_rampe,Poussee&lt;Poids*SIN(M900)), g*SIN(M900), (-W900+Poussee)/m)</f>
        <v>-7.3530635700641</v>
      </c>
    </row>
    <row r="902" customFormat="false" ht="12.75" hidden="false" customHeight="false" outlineLevel="0" collapsed="false">
      <c r="A902" s="396" t="n">
        <f aca="false">IF(B901+0.01&lt;=T_ini+ROUNDUP(Temps_fin_propu,0), 0.01, IF(K901&gt;0, 0.1, 0.0001))</f>
        <v>0.0001</v>
      </c>
      <c r="B902" s="397" t="n">
        <f aca="false">B901+pas</f>
        <v>32.1397000000015</v>
      </c>
      <c r="D902" s="396" t="n">
        <f aca="false">IF(AND(L901&lt;L_rampe,Poussee&lt;Poids*SIN(M901)),0,(-W901+Poussee)/m*COS(M901)-U901/m*SIN(M901))</f>
        <v>-0.726828180961812</v>
      </c>
      <c r="E902" s="398" t="n">
        <f aca="false">IF(AND(L901&lt;L_rampe,Poussee&lt;Poids*SIN(M901)),0,(-W901+Poussee)/m*SIN(M901)+U901/m*COS(M901)-Poids/m)</f>
        <v>-2.49290778145462</v>
      </c>
      <c r="F902" s="397" t="n">
        <f aca="false">SQRT(acc_x^2+acc_z^2)</f>
        <v>2.59670337379479</v>
      </c>
      <c r="G902" s="396" t="n">
        <f aca="false">G901+acc_x*pas</f>
        <v>11.4684346659719</v>
      </c>
      <c r="H902" s="398" t="n">
        <f aca="false">H901+acc_z*pas</f>
        <v>-115.455494530603</v>
      </c>
      <c r="I902" s="397" t="n">
        <f aca="false">SQRT(vit_x^2+vit_z^2)</f>
        <v>116.023688145972</v>
      </c>
      <c r="J902" s="396" t="n">
        <f aca="false">J901+0.5*(vit_x+G901)*pas*(K901&gt;=0)</f>
        <v>690.928492655337</v>
      </c>
      <c r="K902" s="398" t="n">
        <f aca="false">K901+0.5*(vit_z+H901)*pas</f>
        <v>-13.1862193253215</v>
      </c>
      <c r="L902" s="397" t="n">
        <f aca="false">SQRT(pos_x^2+pos_z^2)</f>
        <v>691.054309257291</v>
      </c>
      <c r="M902" s="396" t="n">
        <f aca="false">IF(AND(L901&gt;L_rampe,G902&gt;0),ATAN2(G902,H902),$M$4)</f>
        <v>-1.47178902275669</v>
      </c>
      <c r="N902" s="397" t="n">
        <f aca="false">DEGREES(Beta)</f>
        <v>-84.3272993376423</v>
      </c>
      <c r="P902" s="399" t="n">
        <f aca="false">MATCH(t-pas/2-T_ini,CdP_t)</f>
        <v>23</v>
      </c>
      <c r="Q902" s="397" t="n">
        <f aca="false">(INDEX(CdP,2,i_P+1)-INDEX(CdP,2,i_P+0))/(INDEX(CdP,1,i_P+1)-INDEX(CdP,1,i_P+0))*(t-pas/2-T_ini-INDEX(CdP,1,i_P+0))+INDEX(CdP,2,i_P+0)</f>
        <v>0</v>
      </c>
      <c r="R902" s="396" t="n">
        <f aca="false">Poussee/(g*ISP)</f>
        <v>0</v>
      </c>
      <c r="S902" s="398" t="n">
        <f aca="false">S901-Débit*pas</f>
        <v>8.45</v>
      </c>
      <c r="T902" s="397" t="n">
        <f aca="false">m*g</f>
        <v>82.8945</v>
      </c>
      <c r="U902" s="400" t="n">
        <f aca="false">IF(pos_xz&lt;L_rampe,Poids*COS(Beta),0)</f>
        <v>0</v>
      </c>
      <c r="V902" s="396" t="n">
        <f aca="false">Rho_moyen*(20000-Alt_rampe-pos_z)/(20000+Alt_rampe+pos_z)</f>
        <v>1.22661637756281</v>
      </c>
      <c r="W902" s="397" t="n">
        <f aca="false">1/2*Rho*Sref*Cx*vit_xz^2</f>
        <v>62.1340466475155</v>
      </c>
      <c r="Y902" s="408" t="str">
        <f aca="false">IF(AND(pos_z&lt;=0,K901&gt;0),"Impact balistique","") &amp; IF(AND(H903&lt;0,vit_z&gt;=0),"Apogée","") &amp; IF(AND(Poussee=0,Q901&gt;0),"Fin de propulsion","") &amp; IF(AND(L903&gt;L_rampe,pos_xz&lt;=L_rampe),"Sortie de rampe","")</f>
        <v/>
      </c>
      <c r="Z902" s="402" t="str">
        <f aca="false">IF(ABS(t-T_para)&lt;pas/2,"Para","")</f>
        <v/>
      </c>
      <c r="AA902" s="403" t="str">
        <f aca="false">IF(ABS(t-T_satellite)&lt;pas/2,"Satellite","")</f>
        <v/>
      </c>
      <c r="AC902" s="399" t="e">
        <f aca="false">IF(ABS(t-ROUND(t,0))&lt;0.001,t,NA())</f>
        <v>#N/A</v>
      </c>
      <c r="AD902" s="404" t="e">
        <f aca="false">IF(ABS(t-ROUND(t,0))&lt;0.001,pos_x,NA())</f>
        <v>#N/A</v>
      </c>
      <c r="AE902" s="405" t="e">
        <f aca="false">IF(t&lt;T_para, pos_z, NA())</f>
        <v>#N/A</v>
      </c>
      <c r="AG902" s="396" t="n">
        <f aca="false">IF(AND(L901&lt;L_rampe,Poussee&lt;Poids*SIN(M901)),0,(-W901+Poussee)/m-Poids*SIN(M901)/m)</f>
        <v>2.40885486108741</v>
      </c>
      <c r="AH902" s="397" t="n">
        <f aca="false">IF(AND(L901&lt;L_rampe,Poussee&lt;Poids*SIN(M901)), g*SIN(M901), (-W901+Poussee)/m)</f>
        <v>-7.3531025927385</v>
      </c>
    </row>
    <row r="903" customFormat="false" ht="12.75" hidden="false" customHeight="false" outlineLevel="0" collapsed="false">
      <c r="A903" s="396" t="n">
        <f aca="false">IF(B902+0.01&lt;=T_ini+ROUNDUP(Temps_fin_propu,0), 0.01, IF(K902&gt;0, 0.1, 0.0001))</f>
        <v>0.0001</v>
      </c>
      <c r="B903" s="397" t="n">
        <f aca="false">B902+pas</f>
        <v>32.1398000000015</v>
      </c>
      <c r="D903" s="396" t="n">
        <f aca="false">IF(AND(L902&lt;L_rampe,Poussee&lt;Poids*SIN(M902)),0,(-W902+Poussee)/m*COS(M902)-U902/m*SIN(M902))</f>
        <v>-0.726825922790949</v>
      </c>
      <c r="E903" s="398" t="n">
        <f aca="false">IF(AND(L902&lt;L_rampe,Poussee&lt;Poids*SIN(M902)),0,(-W902+Poussee)/m*SIN(M902)+U902/m*COS(M902)-Poids/m)</f>
        <v>-2.49286834274959</v>
      </c>
      <c r="F903" s="397" t="n">
        <f aca="false">SQRT(acc_x^2+acc_z^2)</f>
        <v>2.59666487947983</v>
      </c>
      <c r="G903" s="396" t="n">
        <f aca="false">G902+acc_x*pas</f>
        <v>11.4683619833796</v>
      </c>
      <c r="H903" s="398" t="n">
        <f aca="false">H902+acc_z*pas</f>
        <v>-115.455743817437</v>
      </c>
      <c r="I903" s="397" t="n">
        <f aca="false">SQRT(vit_x^2+vit_z^2)</f>
        <v>116.023929027677</v>
      </c>
      <c r="J903" s="396" t="n">
        <f aca="false">J902+0.5*(vit_x+G902)*pas*(K902&gt;=0)</f>
        <v>690.928492655337</v>
      </c>
      <c r="K903" s="398" t="n">
        <f aca="false">K902+0.5*(vit_z+H902)*pas</f>
        <v>-13.1977648872389</v>
      </c>
      <c r="L903" s="397" t="n">
        <f aca="false">SQRT(pos_x^2+pos_z^2)</f>
        <v>691.054529658112</v>
      </c>
      <c r="M903" s="396" t="n">
        <f aca="false">IF(AND(L902&gt;L_rampe,G903&gt;0),ATAN2(G903,H903),$M$4)</f>
        <v>-1.47178985851156</v>
      </c>
      <c r="N903" s="397" t="n">
        <f aca="false">DEGREES(Beta)</f>
        <v>-84.3273472228692</v>
      </c>
      <c r="P903" s="399" t="n">
        <f aca="false">MATCH(t-pas/2-T_ini,CdP_t)</f>
        <v>23</v>
      </c>
      <c r="Q903" s="397" t="n">
        <f aca="false">(INDEX(CdP,2,i_P+1)-INDEX(CdP,2,i_P+0))/(INDEX(CdP,1,i_P+1)-INDEX(CdP,1,i_P+0))*(t-pas/2-T_ini-INDEX(CdP,1,i_P+0))+INDEX(CdP,2,i_P+0)</f>
        <v>0</v>
      </c>
      <c r="R903" s="396" t="n">
        <f aca="false">Poussee/(g*ISP)</f>
        <v>0</v>
      </c>
      <c r="S903" s="398" t="n">
        <f aca="false">S902-Débit*pas</f>
        <v>8.45</v>
      </c>
      <c r="T903" s="397" t="n">
        <f aca="false">m*g</f>
        <v>82.8945</v>
      </c>
      <c r="U903" s="400" t="n">
        <f aca="false">IF(pos_xz&lt;L_rampe,Poids*COS(Beta),0)</f>
        <v>0</v>
      </c>
      <c r="V903" s="396" t="n">
        <f aca="false">Rho_moyen*(20000-Alt_rampe-pos_z)/(20000+Alt_rampe+pos_z)</f>
        <v>1.22661779376177</v>
      </c>
      <c r="W903" s="397" t="n">
        <f aca="false">1/2*Rho*Sref*Cx*vit_xz^2</f>
        <v>62.1343763836671</v>
      </c>
      <c r="Y903" s="408" t="str">
        <f aca="false">IF(AND(pos_z&lt;=0,K902&gt;0),"Impact balistique","") &amp; IF(AND(H904&lt;0,vit_z&gt;=0),"Apogée","") &amp; IF(AND(Poussee=0,Q902&gt;0),"Fin de propulsion","") &amp; IF(AND(L904&gt;L_rampe,pos_xz&lt;=L_rampe),"Sortie de rampe","")</f>
        <v/>
      </c>
      <c r="Z903" s="402" t="str">
        <f aca="false">IF(ABS(t-T_para)&lt;pas/2,"Para","")</f>
        <v/>
      </c>
      <c r="AA903" s="403" t="str">
        <f aca="false">IF(ABS(t-T_satellite)&lt;pas/2,"Satellite","")</f>
        <v/>
      </c>
      <c r="AC903" s="399" t="e">
        <f aca="false">IF(ABS(t-ROUND(t,0))&lt;0.001,t,NA())</f>
        <v>#N/A</v>
      </c>
      <c r="AD903" s="404" t="e">
        <f aca="false">IF(ABS(t-ROUND(t,0))&lt;0.001,pos_x,NA())</f>
        <v>#N/A</v>
      </c>
      <c r="AE903" s="405" t="e">
        <f aca="false">IF(t&lt;T_para, pos_z, NA())</f>
        <v>#N/A</v>
      </c>
      <c r="AG903" s="396" t="n">
        <f aca="false">IF(AND(L902&lt;L_rampe,Poussee&lt;Poids*SIN(M902)),0,(-W902+Poussee)/m-Poids*SIN(M902)/m)</f>
        <v>2.40881664915837</v>
      </c>
      <c r="AH903" s="397" t="n">
        <f aca="false">IF(AND(L902&lt;L_rampe,Poussee&lt;Poids*SIN(M902)), g*SIN(M902), (-W902+Poussee)/m)</f>
        <v>-7.35314161509059</v>
      </c>
    </row>
    <row r="904" customFormat="false" ht="12.75" hidden="false" customHeight="false" outlineLevel="0" collapsed="false">
      <c r="A904" s="396" t="n">
        <f aca="false">IF(B903+0.01&lt;=T_ini+ROUNDUP(Temps_fin_propu,0), 0.01, IF(K903&gt;0, 0.1, 0.0001))</f>
        <v>0.0001</v>
      </c>
      <c r="B904" s="397" t="n">
        <f aca="false">B903+pas</f>
        <v>32.1399000000015</v>
      </c>
      <c r="D904" s="396" t="n">
        <f aca="false">IF(AND(L903&lt;L_rampe,Poussee&lt;Poids*SIN(M903)),0,(-W903+Poussee)/m*COS(M903)-U903/m*SIN(M903))</f>
        <v>-0.726823664586964</v>
      </c>
      <c r="E904" s="398" t="n">
        <f aca="false">IF(AND(L903&lt;L_rampe,Poussee&lt;Poids*SIN(M903)),0,(-W903+Poussee)/m*SIN(M903)+U903/m*COS(M903)-Poids/m)</f>
        <v>-2.49282890437033</v>
      </c>
      <c r="F904" s="397" t="n">
        <f aca="false">SQRT(acc_x^2+acc_z^2)</f>
        <v>2.59662638549866</v>
      </c>
      <c r="G904" s="396" t="n">
        <f aca="false">G903+acc_x*pas</f>
        <v>11.4682893010132</v>
      </c>
      <c r="H904" s="398" t="n">
        <f aca="false">H903+acc_z*pas</f>
        <v>-115.455993100328</v>
      </c>
      <c r="I904" s="397" t="n">
        <f aca="false">SQRT(vit_x^2+vit_z^2)</f>
        <v>116.024169905562</v>
      </c>
      <c r="J904" s="396" t="n">
        <f aca="false">J903+0.5*(vit_x+G903)*pas*(K903&gt;=0)</f>
        <v>690.928492655337</v>
      </c>
      <c r="K904" s="398" t="n">
        <f aca="false">K903+0.5*(vit_z+H903)*pas</f>
        <v>-13.2093104740848</v>
      </c>
      <c r="L904" s="397" t="n">
        <f aca="false">SQRT(pos_x^2+pos_z^2)</f>
        <v>691.054750252233</v>
      </c>
      <c r="M904" s="396" t="n">
        <f aca="false">IF(AND(L903&gt;L_rampe,G904&gt;0),ATAN2(G904,H904),$M$4)</f>
        <v>-1.47179069425767</v>
      </c>
      <c r="N904" s="397" t="n">
        <f aca="false">DEGREES(Beta)</f>
        <v>-84.3273951075938</v>
      </c>
      <c r="P904" s="399" t="n">
        <f aca="false">MATCH(t-pas/2-T_ini,CdP_t)</f>
        <v>23</v>
      </c>
      <c r="Q904" s="397" t="n">
        <f aca="false">(INDEX(CdP,2,i_P+1)-INDEX(CdP,2,i_P+0))/(INDEX(CdP,1,i_P+1)-INDEX(CdP,1,i_P+0))*(t-pas/2-T_ini-INDEX(CdP,1,i_P+0))+INDEX(CdP,2,i_P+0)</f>
        <v>0</v>
      </c>
      <c r="R904" s="396" t="n">
        <f aca="false">Poussee/(g*ISP)</f>
        <v>0</v>
      </c>
      <c r="S904" s="398" t="n">
        <f aca="false">S903-Débit*pas</f>
        <v>8.45</v>
      </c>
      <c r="T904" s="397" t="n">
        <f aca="false">m*g</f>
        <v>82.8945</v>
      </c>
      <c r="U904" s="400" t="n">
        <f aca="false">IF(pos_xz&lt;L_rampe,Poids*COS(Beta),0)</f>
        <v>0</v>
      </c>
      <c r="V904" s="396" t="n">
        <f aca="false">Rho_moyen*(20000-Alt_rampe-pos_z)/(20000+Alt_rampe+pos_z)</f>
        <v>1.22661920996543</v>
      </c>
      <c r="W904" s="397" t="n">
        <f aca="false">1/2*Rho*Sref*Cx*vit_xz^2</f>
        <v>62.1347061170952</v>
      </c>
      <c r="Y904" s="408" t="str">
        <f aca="false">IF(AND(pos_z&lt;=0,K903&gt;0),"Impact balistique","") &amp; IF(AND(H905&lt;0,vit_z&gt;=0),"Apogée","") &amp; IF(AND(Poussee=0,Q903&gt;0),"Fin de propulsion","") &amp; IF(AND(L905&gt;L_rampe,pos_xz&lt;=L_rampe),"Sortie de rampe","")</f>
        <v/>
      </c>
      <c r="Z904" s="402" t="str">
        <f aca="false">IF(ABS(t-T_para)&lt;pas/2,"Para","")</f>
        <v/>
      </c>
      <c r="AA904" s="403" t="str">
        <f aca="false">IF(ABS(t-T_satellite)&lt;pas/2,"Satellite","")</f>
        <v/>
      </c>
      <c r="AC904" s="399" t="e">
        <f aca="false">IF(ABS(t-ROUND(t,0))&lt;0.001,t,NA())</f>
        <v>#N/A</v>
      </c>
      <c r="AD904" s="404" t="e">
        <f aca="false">IF(ABS(t-ROUND(t,0))&lt;0.001,pos_x,NA())</f>
        <v>#N/A</v>
      </c>
      <c r="AE904" s="405" t="e">
        <f aca="false">IF(t&lt;T_para, pos_z, NA())</f>
        <v>#N/A</v>
      </c>
      <c r="AG904" s="396" t="n">
        <f aca="false">IF(AND(L903&lt;L_rampe,Poussee&lt;Poids*SIN(M903)),0,(-W903+Poussee)/m-Poids*SIN(M903)/m)</f>
        <v>2.40877843753632</v>
      </c>
      <c r="AH904" s="397" t="n">
        <f aca="false">IF(AND(L903&lt;L_rampe,Poussee&lt;Poids*SIN(M903)), g*SIN(M903), (-W903+Poussee)/m)</f>
        <v>-7.35318063712037</v>
      </c>
    </row>
    <row r="905" customFormat="false" ht="12.75" hidden="false" customHeight="false" outlineLevel="0" collapsed="false">
      <c r="A905" s="396" t="n">
        <f aca="false">IF(B904+0.01&lt;=T_ini+ROUNDUP(Temps_fin_propu,0), 0.01, IF(K904&gt;0, 0.1, 0.0001))</f>
        <v>0.0001</v>
      </c>
      <c r="B905" s="397" t="n">
        <f aca="false">B904+pas</f>
        <v>32.1400000000015</v>
      </c>
      <c r="D905" s="396" t="n">
        <f aca="false">IF(AND(L904&lt;L_rampe,Poussee&lt;Poids*SIN(M904)),0,(-W904+Poussee)/m*COS(M904)-U904/m*SIN(M904))</f>
        <v>-0.726821406349854</v>
      </c>
      <c r="E905" s="398" t="n">
        <f aca="false">IF(AND(L904&lt;L_rampe,Poussee&lt;Poids*SIN(M904)),0,(-W904+Poussee)/m*SIN(M904)+U904/m*COS(M904)-Poids/m)</f>
        <v>-2.49278946631684</v>
      </c>
      <c r="F905" s="397" t="n">
        <f aca="false">SQRT(acc_x^2+acc_z^2)</f>
        <v>2.59658789185127</v>
      </c>
      <c r="G905" s="396" t="n">
        <f aca="false">G904+acc_x*pas</f>
        <v>11.4682166188725</v>
      </c>
      <c r="H905" s="398" t="n">
        <f aca="false">H904+acc_z*pas</f>
        <v>-115.456242379274</v>
      </c>
      <c r="I905" s="397" t="n">
        <f aca="false">SQRT(vit_x^2+vit_z^2)</f>
        <v>116.024410779625</v>
      </c>
      <c r="J905" s="396" t="n">
        <f aca="false">J904+0.5*(vit_x+G904)*pas*(K904&gt;=0)</f>
        <v>690.928492655337</v>
      </c>
      <c r="K905" s="398" t="n">
        <f aca="false">K904+0.5*(vit_z+H904)*pas</f>
        <v>-13.2208560858588</v>
      </c>
      <c r="L905" s="397" t="n">
        <f aca="false">SQRT(pos_x^2+pos_z^2)</f>
        <v>691.054971039655</v>
      </c>
      <c r="M905" s="396" t="n">
        <f aca="false">IF(AND(L904&gt;L_rampe,G905&gt;0),ATAN2(G905,H905),$M$4)</f>
        <v>-1.47179152999501</v>
      </c>
      <c r="N905" s="397" t="n">
        <f aca="false">DEGREES(Beta)</f>
        <v>-84.3274429918161</v>
      </c>
      <c r="P905" s="399" t="n">
        <f aca="false">MATCH(t-pas/2-T_ini,CdP_t)</f>
        <v>23</v>
      </c>
      <c r="Q905" s="397" t="n">
        <f aca="false">(INDEX(CdP,2,i_P+1)-INDEX(CdP,2,i_P+0))/(INDEX(CdP,1,i_P+1)-INDEX(CdP,1,i_P+0))*(t-pas/2-T_ini-INDEX(CdP,1,i_P+0))+INDEX(CdP,2,i_P+0)</f>
        <v>0</v>
      </c>
      <c r="R905" s="396" t="n">
        <f aca="false">Poussee/(g*ISP)</f>
        <v>0</v>
      </c>
      <c r="S905" s="398" t="n">
        <f aca="false">S904-Débit*pas</f>
        <v>8.45</v>
      </c>
      <c r="T905" s="397" t="n">
        <f aca="false">m*g</f>
        <v>82.8945</v>
      </c>
      <c r="U905" s="400" t="n">
        <f aca="false">IF(pos_xz&lt;L_rampe,Poids*COS(Beta),0)</f>
        <v>0</v>
      </c>
      <c r="V905" s="396" t="n">
        <f aca="false">Rho_moyen*(20000-Alt_rampe-pos_z)/(20000+Alt_rampe+pos_z)</f>
        <v>1.22662062617379</v>
      </c>
      <c r="W905" s="397" t="n">
        <f aca="false">1/2*Rho*Sref*Cx*vit_xz^2</f>
        <v>62.1350358477997</v>
      </c>
      <c r="Y905" s="408" t="str">
        <f aca="false">IF(AND(pos_z&lt;=0,K904&gt;0),"Impact balistique","") &amp; IF(AND(H906&lt;0,vit_z&gt;=0),"Apogée","") &amp; IF(AND(Poussee=0,Q904&gt;0),"Fin de propulsion","") &amp; IF(AND(L906&gt;L_rampe,pos_xz&lt;=L_rampe),"Sortie de rampe","")</f>
        <v/>
      </c>
      <c r="Z905" s="402" t="str">
        <f aca="false">IF(ABS(t-T_para)&lt;pas/2,"Para","")</f>
        <v/>
      </c>
      <c r="AA905" s="403" t="str">
        <f aca="false">IF(ABS(t-T_satellite)&lt;pas/2,"Satellite","")</f>
        <v/>
      </c>
      <c r="AC905" s="399" t="e">
        <f aca="false">IF(ABS(t-ROUND(t,0))&lt;0.001,t,NA())</f>
        <v>#N/A</v>
      </c>
      <c r="AD905" s="404" t="e">
        <f aca="false">IF(ABS(t-ROUND(t,0))&lt;0.001,pos_x,NA())</f>
        <v>#N/A</v>
      </c>
      <c r="AE905" s="405" t="e">
        <f aca="false">IF(t&lt;T_para, pos_z, NA())</f>
        <v>#N/A</v>
      </c>
      <c r="AG905" s="396" t="n">
        <f aca="false">IF(AND(L904&lt;L_rampe,Poussee&lt;Poids*SIN(M904)),0,(-W904+Poussee)/m-Poids*SIN(M904)/m)</f>
        <v>2.40874022622127</v>
      </c>
      <c r="AH905" s="397" t="n">
        <f aca="false">IF(AND(L904&lt;L_rampe,Poussee&lt;Poids*SIN(M904)), g*SIN(M904), (-W904+Poussee)/m)</f>
        <v>-7.35321965882783</v>
      </c>
    </row>
    <row r="906" customFormat="false" ht="12.75" hidden="false" customHeight="false" outlineLevel="0" collapsed="false">
      <c r="A906" s="396" t="n">
        <f aca="false">IF(B905+0.01&lt;=T_ini+ROUNDUP(Temps_fin_propu,0), 0.01, IF(K905&gt;0, 0.1, 0.0001))</f>
        <v>0.0001</v>
      </c>
      <c r="B906" s="397" t="n">
        <f aca="false">B905+pas</f>
        <v>32.1401000000015</v>
      </c>
      <c r="D906" s="396" t="n">
        <f aca="false">IF(AND(L905&lt;L_rampe,Poussee&lt;Poids*SIN(M905)),0,(-W905+Poussee)/m*COS(M905)-U905/m*SIN(M905))</f>
        <v>-0.726819148079624</v>
      </c>
      <c r="E906" s="398" t="n">
        <f aca="false">IF(AND(L905&lt;L_rampe,Poussee&lt;Poids*SIN(M905)),0,(-W905+Poussee)/m*SIN(M905)+U905/m*COS(M905)-Poids/m)</f>
        <v>-2.49275002858913</v>
      </c>
      <c r="F906" s="397" t="n">
        <f aca="false">SQRT(acc_x^2+acc_z^2)</f>
        <v>2.59654939853766</v>
      </c>
      <c r="G906" s="396" t="n">
        <f aca="false">G905+acc_x*pas</f>
        <v>11.4681439369577</v>
      </c>
      <c r="H906" s="398" t="n">
        <f aca="false">H905+acc_z*pas</f>
        <v>-115.456491654277</v>
      </c>
      <c r="I906" s="397" t="n">
        <f aca="false">SQRT(vit_x^2+vit_z^2)</f>
        <v>116.024651649867</v>
      </c>
      <c r="J906" s="396" t="n">
        <f aca="false">J905+0.5*(vit_x+G905)*pas*(K905&gt;=0)</f>
        <v>690.928492655337</v>
      </c>
      <c r="K906" s="398" t="n">
        <f aca="false">K905+0.5*(vit_z+H905)*pas</f>
        <v>-13.2324017225605</v>
      </c>
      <c r="L906" s="397" t="n">
        <f aca="false">SQRT(pos_x^2+pos_z^2)</f>
        <v>691.055192020379</v>
      </c>
      <c r="M906" s="396" t="n">
        <f aca="false">IF(AND(L905&gt;L_rampe,G906&gt;0),ATAN2(G906,H906),$M$4)</f>
        <v>-1.47179236572358</v>
      </c>
      <c r="N906" s="397" t="n">
        <f aca="false">DEGREES(Beta)</f>
        <v>-84.3274908755361</v>
      </c>
      <c r="P906" s="399" t="n">
        <f aca="false">MATCH(t-pas/2-T_ini,CdP_t)</f>
        <v>23</v>
      </c>
      <c r="Q906" s="397" t="n">
        <f aca="false">(INDEX(CdP,2,i_P+1)-INDEX(CdP,2,i_P+0))/(INDEX(CdP,1,i_P+1)-INDEX(CdP,1,i_P+0))*(t-pas/2-T_ini-INDEX(CdP,1,i_P+0))+INDEX(CdP,2,i_P+0)</f>
        <v>0</v>
      </c>
      <c r="R906" s="396" t="n">
        <f aca="false">Poussee/(g*ISP)</f>
        <v>0</v>
      </c>
      <c r="S906" s="398" t="n">
        <f aca="false">S905-Débit*pas</f>
        <v>8.45</v>
      </c>
      <c r="T906" s="397" t="n">
        <f aca="false">m*g</f>
        <v>82.8945</v>
      </c>
      <c r="U906" s="400" t="n">
        <f aca="false">IF(pos_xz&lt;L_rampe,Poids*COS(Beta),0)</f>
        <v>0</v>
      </c>
      <c r="V906" s="396" t="n">
        <f aca="false">Rho_moyen*(20000-Alt_rampe-pos_z)/(20000+Alt_rampe+pos_z)</f>
        <v>1.22662204238684</v>
      </c>
      <c r="W906" s="397" t="n">
        <f aca="false">1/2*Rho*Sref*Cx*vit_xz^2</f>
        <v>62.1353655757807</v>
      </c>
      <c r="Y906" s="408" t="str">
        <f aca="false">IF(AND(pos_z&lt;=0,K905&gt;0),"Impact balistique","") &amp; IF(AND(H907&lt;0,vit_z&gt;=0),"Apogée","") &amp; IF(AND(Poussee=0,Q905&gt;0),"Fin de propulsion","") &amp; IF(AND(L907&gt;L_rampe,pos_xz&lt;=L_rampe),"Sortie de rampe","")</f>
        <v/>
      </c>
      <c r="Z906" s="402" t="str">
        <f aca="false">IF(ABS(t-T_para)&lt;pas/2,"Para","")</f>
        <v/>
      </c>
      <c r="AA906" s="403" t="str">
        <f aca="false">IF(ABS(t-T_satellite)&lt;pas/2,"Satellite","")</f>
        <v/>
      </c>
      <c r="AC906" s="399" t="e">
        <f aca="false">IF(ABS(t-ROUND(t,0))&lt;0.001,t,NA())</f>
        <v>#N/A</v>
      </c>
      <c r="AD906" s="404" t="e">
        <f aca="false">IF(ABS(t-ROUND(t,0))&lt;0.001,pos_x,NA())</f>
        <v>#N/A</v>
      </c>
      <c r="AE906" s="405" t="e">
        <f aca="false">IF(t&lt;T_para, pos_z, NA())</f>
        <v>#N/A</v>
      </c>
      <c r="AG906" s="396" t="n">
        <f aca="false">IF(AND(L905&lt;L_rampe,Poussee&lt;Poids*SIN(M905)),0,(-W905+Poussee)/m-Poids*SIN(M905)/m)</f>
        <v>2.40870201521321</v>
      </c>
      <c r="AH906" s="397" t="n">
        <f aca="false">IF(AND(L905&lt;L_rampe,Poussee&lt;Poids*SIN(M905)), g*SIN(M905), (-W905+Poussee)/m)</f>
        <v>-7.35325868021299</v>
      </c>
    </row>
    <row r="907" customFormat="false" ht="12.75" hidden="false" customHeight="false" outlineLevel="0" collapsed="false">
      <c r="A907" s="396" t="n">
        <f aca="false">IF(B906+0.01&lt;=T_ini+ROUNDUP(Temps_fin_propu,0), 0.01, IF(K906&gt;0, 0.1, 0.0001))</f>
        <v>0.0001</v>
      </c>
      <c r="B907" s="397" t="n">
        <f aca="false">B906+pas</f>
        <v>32.1402000000015</v>
      </c>
      <c r="D907" s="396" t="n">
        <f aca="false">IF(AND(L906&lt;L_rampe,Poussee&lt;Poids*SIN(M906)),0,(-W906+Poussee)/m*COS(M906)-U906/m*SIN(M906))</f>
        <v>-0.72681688977627</v>
      </c>
      <c r="E907" s="398" t="n">
        <f aca="false">IF(AND(L906&lt;L_rampe,Poussee&lt;Poids*SIN(M906)),0,(-W906+Poussee)/m*SIN(M906)+U906/m*COS(M906)-Poids/m)</f>
        <v>-2.49271059118719</v>
      </c>
      <c r="F907" s="397" t="n">
        <f aca="false">SQRT(acc_x^2+acc_z^2)</f>
        <v>2.59651090555784</v>
      </c>
      <c r="G907" s="396" t="n">
        <f aca="false">G906+acc_x*pas</f>
        <v>11.4680712552687</v>
      </c>
      <c r="H907" s="398" t="n">
        <f aca="false">H906+acc_z*pas</f>
        <v>-115.456740925336</v>
      </c>
      <c r="I907" s="397" t="n">
        <f aca="false">SQRT(vit_x^2+vit_z^2)</f>
        <v>116.024892516288</v>
      </c>
      <c r="J907" s="396" t="n">
        <f aca="false">J906+0.5*(vit_x+G906)*pas*(K906&gt;=0)</f>
        <v>690.928492655337</v>
      </c>
      <c r="K907" s="398" t="n">
        <f aca="false">K906+0.5*(vit_z+H906)*pas</f>
        <v>-13.2439473841895</v>
      </c>
      <c r="L907" s="397" t="n">
        <f aca="false">SQRT(pos_x^2+pos_z^2)</f>
        <v>691.055413194406</v>
      </c>
      <c r="M907" s="396" t="n">
        <f aca="false">IF(AND(L906&gt;L_rampe,G907&gt;0),ATAN2(G907,H907),$M$4)</f>
        <v>-1.47179320144339</v>
      </c>
      <c r="N907" s="397" t="n">
        <f aca="false">DEGREES(Beta)</f>
        <v>-84.3275387587538</v>
      </c>
      <c r="P907" s="399" t="n">
        <f aca="false">MATCH(t-pas/2-T_ini,CdP_t)</f>
        <v>23</v>
      </c>
      <c r="Q907" s="397" t="n">
        <f aca="false">(INDEX(CdP,2,i_P+1)-INDEX(CdP,2,i_P+0))/(INDEX(CdP,1,i_P+1)-INDEX(CdP,1,i_P+0))*(t-pas/2-T_ini-INDEX(CdP,1,i_P+0))+INDEX(CdP,2,i_P+0)</f>
        <v>0</v>
      </c>
      <c r="R907" s="396" t="n">
        <f aca="false">Poussee/(g*ISP)</f>
        <v>0</v>
      </c>
      <c r="S907" s="398" t="n">
        <f aca="false">S906-Débit*pas</f>
        <v>8.45</v>
      </c>
      <c r="T907" s="397" t="n">
        <f aca="false">m*g</f>
        <v>82.8945</v>
      </c>
      <c r="U907" s="400" t="n">
        <f aca="false">IF(pos_xz&lt;L_rampe,Poids*COS(Beta),0)</f>
        <v>0</v>
      </c>
      <c r="V907" s="396" t="n">
        <f aca="false">Rho_moyen*(20000-Alt_rampe-pos_z)/(20000+Alt_rampe+pos_z)</f>
        <v>1.22662345860458</v>
      </c>
      <c r="W907" s="397" t="n">
        <f aca="false">1/2*Rho*Sref*Cx*vit_xz^2</f>
        <v>62.1356953010381</v>
      </c>
      <c r="Y907" s="408" t="str">
        <f aca="false">IF(AND(pos_z&lt;=0,K906&gt;0),"Impact balistique","") &amp; IF(AND(H908&lt;0,vit_z&gt;=0),"Apogée","") &amp; IF(AND(Poussee=0,Q906&gt;0),"Fin de propulsion","") &amp; IF(AND(L908&gt;L_rampe,pos_xz&lt;=L_rampe),"Sortie de rampe","")</f>
        <v/>
      </c>
      <c r="Z907" s="402" t="str">
        <f aca="false">IF(ABS(t-T_para)&lt;pas/2,"Para","")</f>
        <v/>
      </c>
      <c r="AA907" s="403" t="str">
        <f aca="false">IF(ABS(t-T_satellite)&lt;pas/2,"Satellite","")</f>
        <v/>
      </c>
      <c r="AC907" s="399" t="e">
        <f aca="false">IF(ABS(t-ROUND(t,0))&lt;0.001,t,NA())</f>
        <v>#N/A</v>
      </c>
      <c r="AD907" s="404" t="e">
        <f aca="false">IF(ABS(t-ROUND(t,0))&lt;0.001,pos_x,NA())</f>
        <v>#N/A</v>
      </c>
      <c r="AE907" s="405" t="e">
        <f aca="false">IF(t&lt;T_para, pos_z, NA())</f>
        <v>#N/A</v>
      </c>
      <c r="AG907" s="396" t="n">
        <f aca="false">IF(AND(L906&lt;L_rampe,Poussee&lt;Poids*SIN(M906)),0,(-W906+Poussee)/m-Poids*SIN(M906)/m)</f>
        <v>2.40866380451215</v>
      </c>
      <c r="AH907" s="397" t="n">
        <f aca="false">IF(AND(L906&lt;L_rampe,Poussee&lt;Poids*SIN(M906)), g*SIN(M906), (-W906+Poussee)/m)</f>
        <v>-7.35329770127582</v>
      </c>
    </row>
    <row r="908" customFormat="false" ht="12.75" hidden="false" customHeight="false" outlineLevel="0" collapsed="false">
      <c r="A908" s="396" t="n">
        <f aca="false">IF(B907+0.01&lt;=T_ini+ROUNDUP(Temps_fin_propu,0), 0.01, IF(K907&gt;0, 0.1, 0.0001))</f>
        <v>0.0001</v>
      </c>
      <c r="B908" s="397" t="n">
        <f aca="false">B907+pas</f>
        <v>32.1403000000015</v>
      </c>
      <c r="D908" s="396" t="n">
        <f aca="false">IF(AND(L907&lt;L_rampe,Poussee&lt;Poids*SIN(M907)),0,(-W907+Poussee)/m*COS(M907)-U907/m*SIN(M907))</f>
        <v>-0.726814631439795</v>
      </c>
      <c r="E908" s="398" t="n">
        <f aca="false">IF(AND(L907&lt;L_rampe,Poussee&lt;Poids*SIN(M907)),0,(-W907+Poussee)/m*SIN(M907)+U907/m*COS(M907)-Poids/m)</f>
        <v>-2.49267115411102</v>
      </c>
      <c r="F908" s="397" t="n">
        <f aca="false">SQRT(acc_x^2+acc_z^2)</f>
        <v>2.59647241291182</v>
      </c>
      <c r="G908" s="396" t="n">
        <f aca="false">G907+acc_x*pas</f>
        <v>11.4679985738056</v>
      </c>
      <c r="H908" s="398" t="n">
        <f aca="false">H907+acc_z*pas</f>
        <v>-115.456990192452</v>
      </c>
      <c r="I908" s="397" t="n">
        <f aca="false">SQRT(vit_x^2+vit_z^2)</f>
        <v>116.025133378888</v>
      </c>
      <c r="J908" s="396" t="n">
        <f aca="false">J907+0.5*(vit_x+G907)*pas*(K907&gt;=0)</f>
        <v>690.928492655337</v>
      </c>
      <c r="K908" s="398" t="n">
        <f aca="false">K907+0.5*(vit_z+H907)*pas</f>
        <v>-13.2554930707453</v>
      </c>
      <c r="L908" s="397" t="n">
        <f aca="false">SQRT(pos_x^2+pos_z^2)</f>
        <v>691.055634561737</v>
      </c>
      <c r="M908" s="396" t="n">
        <f aca="false">IF(AND(L907&gt;L_rampe,G908&gt;0),ATAN2(G908,H908),$M$4)</f>
        <v>-1.47179403715443</v>
      </c>
      <c r="N908" s="397" t="n">
        <f aca="false">DEGREES(Beta)</f>
        <v>-84.3275866414692</v>
      </c>
      <c r="P908" s="399" t="n">
        <f aca="false">MATCH(t-pas/2-T_ini,CdP_t)</f>
        <v>23</v>
      </c>
      <c r="Q908" s="397" t="n">
        <f aca="false">(INDEX(CdP,2,i_P+1)-INDEX(CdP,2,i_P+0))/(INDEX(CdP,1,i_P+1)-INDEX(CdP,1,i_P+0))*(t-pas/2-T_ini-INDEX(CdP,1,i_P+0))+INDEX(CdP,2,i_P+0)</f>
        <v>0</v>
      </c>
      <c r="R908" s="396" t="n">
        <f aca="false">Poussee/(g*ISP)</f>
        <v>0</v>
      </c>
      <c r="S908" s="398" t="n">
        <f aca="false">S907-Débit*pas</f>
        <v>8.45</v>
      </c>
      <c r="T908" s="397" t="n">
        <f aca="false">m*g</f>
        <v>82.8945</v>
      </c>
      <c r="U908" s="400" t="n">
        <f aca="false">IF(pos_xz&lt;L_rampe,Poids*COS(Beta),0)</f>
        <v>0</v>
      </c>
      <c r="V908" s="396" t="n">
        <f aca="false">Rho_moyen*(20000-Alt_rampe-pos_z)/(20000+Alt_rampe+pos_z)</f>
        <v>1.22662487482702</v>
      </c>
      <c r="W908" s="397" t="n">
        <f aca="false">1/2*Rho*Sref*Cx*vit_xz^2</f>
        <v>62.1360250235719</v>
      </c>
      <c r="Y908" s="408" t="str">
        <f aca="false">IF(AND(pos_z&lt;=0,K907&gt;0),"Impact balistique","") &amp; IF(AND(H909&lt;0,vit_z&gt;=0),"Apogée","") &amp; IF(AND(Poussee=0,Q907&gt;0),"Fin de propulsion","") &amp; IF(AND(L909&gt;L_rampe,pos_xz&lt;=L_rampe),"Sortie de rampe","")</f>
        <v/>
      </c>
      <c r="Z908" s="402" t="str">
        <f aca="false">IF(ABS(t-T_para)&lt;pas/2,"Para","")</f>
        <v/>
      </c>
      <c r="AA908" s="403" t="str">
        <f aca="false">IF(ABS(t-T_satellite)&lt;pas/2,"Satellite","")</f>
        <v/>
      </c>
      <c r="AC908" s="399" t="e">
        <f aca="false">IF(ABS(t-ROUND(t,0))&lt;0.001,t,NA())</f>
        <v>#N/A</v>
      </c>
      <c r="AD908" s="404" t="e">
        <f aca="false">IF(ABS(t-ROUND(t,0))&lt;0.001,pos_x,NA())</f>
        <v>#N/A</v>
      </c>
      <c r="AE908" s="405" t="e">
        <f aca="false">IF(t&lt;T_para, pos_z, NA())</f>
        <v>#N/A</v>
      </c>
      <c r="AG908" s="396" t="n">
        <f aca="false">IF(AND(L907&lt;L_rampe,Poussee&lt;Poids*SIN(M907)),0,(-W907+Poussee)/m-Poids*SIN(M907)/m)</f>
        <v>2.40862559411809</v>
      </c>
      <c r="AH908" s="397" t="n">
        <f aca="false">IF(AND(L907&lt;L_rampe,Poussee&lt;Poids*SIN(M907)), g*SIN(M907), (-W907+Poussee)/m)</f>
        <v>-7.35333672201634</v>
      </c>
    </row>
    <row r="909" customFormat="false" ht="12.75" hidden="false" customHeight="false" outlineLevel="0" collapsed="false">
      <c r="A909" s="396" t="n">
        <f aca="false">IF(B908+0.01&lt;=T_ini+ROUNDUP(Temps_fin_propu,0), 0.01, IF(K908&gt;0, 0.1, 0.0001))</f>
        <v>0.0001</v>
      </c>
      <c r="B909" s="397" t="n">
        <f aca="false">B908+pas</f>
        <v>32.1404000000015</v>
      </c>
      <c r="D909" s="396" t="n">
        <f aca="false">IF(AND(L908&lt;L_rampe,Poussee&lt;Poids*SIN(M908)),0,(-W908+Poussee)/m*COS(M908)-U908/m*SIN(M908))</f>
        <v>-0.7268123730702</v>
      </c>
      <c r="E909" s="398" t="n">
        <f aca="false">IF(AND(L908&lt;L_rampe,Poussee&lt;Poids*SIN(M908)),0,(-W908+Poussee)/m*SIN(M908)+U908/m*COS(M908)-Poids/m)</f>
        <v>-2.49263171736062</v>
      </c>
      <c r="F909" s="397" t="n">
        <f aca="false">SQRT(acc_x^2+acc_z^2)</f>
        <v>2.59643392059958</v>
      </c>
      <c r="G909" s="396" t="n">
        <f aca="false">G908+acc_x*pas</f>
        <v>11.4679258925683</v>
      </c>
      <c r="H909" s="398" t="n">
        <f aca="false">H908+acc_z*pas</f>
        <v>-115.457239455624</v>
      </c>
      <c r="I909" s="397" t="n">
        <f aca="false">SQRT(vit_x^2+vit_z^2)</f>
        <v>116.025374237667</v>
      </c>
      <c r="J909" s="396" t="n">
        <f aca="false">J908+0.5*(vit_x+G908)*pas*(K908&gt;=0)</f>
        <v>690.928492655337</v>
      </c>
      <c r="K909" s="398" t="n">
        <f aca="false">K908+0.5*(vit_z+H908)*pas</f>
        <v>-13.2670387822277</v>
      </c>
      <c r="L909" s="397" t="n">
        <f aca="false">SQRT(pos_x^2+pos_z^2)</f>
        <v>691.055856122372</v>
      </c>
      <c r="M909" s="396" t="n">
        <f aca="false">IF(AND(L908&gt;L_rampe,G909&gt;0),ATAN2(G909,H909),$M$4)</f>
        <v>-1.4717948728567</v>
      </c>
      <c r="N909" s="397" t="n">
        <f aca="false">DEGREES(Beta)</f>
        <v>-84.3276345236824</v>
      </c>
      <c r="P909" s="399" t="n">
        <f aca="false">MATCH(t-pas/2-T_ini,CdP_t)</f>
        <v>23</v>
      </c>
      <c r="Q909" s="397" t="n">
        <f aca="false">(INDEX(CdP,2,i_P+1)-INDEX(CdP,2,i_P+0))/(INDEX(CdP,1,i_P+1)-INDEX(CdP,1,i_P+0))*(t-pas/2-T_ini-INDEX(CdP,1,i_P+0))+INDEX(CdP,2,i_P+0)</f>
        <v>0</v>
      </c>
      <c r="R909" s="396" t="n">
        <f aca="false">Poussee/(g*ISP)</f>
        <v>0</v>
      </c>
      <c r="S909" s="398" t="n">
        <f aca="false">S908-Débit*pas</f>
        <v>8.45</v>
      </c>
      <c r="T909" s="397" t="n">
        <f aca="false">m*g</f>
        <v>82.8945</v>
      </c>
      <c r="U909" s="400" t="n">
        <f aca="false">IF(pos_xz&lt;L_rampe,Poids*COS(Beta),0)</f>
        <v>0</v>
      </c>
      <c r="V909" s="396" t="n">
        <f aca="false">Rho_moyen*(20000-Alt_rampe-pos_z)/(20000+Alt_rampe+pos_z)</f>
        <v>1.22662629105415</v>
      </c>
      <c r="W909" s="397" t="n">
        <f aca="false">1/2*Rho*Sref*Cx*vit_xz^2</f>
        <v>62.1363547433822</v>
      </c>
      <c r="Y909" s="408" t="str">
        <f aca="false">IF(AND(pos_z&lt;=0,K908&gt;0),"Impact balistique","") &amp; IF(AND(H910&lt;0,vit_z&gt;=0),"Apogée","") &amp; IF(AND(Poussee=0,Q908&gt;0),"Fin de propulsion","") &amp; IF(AND(L910&gt;L_rampe,pos_xz&lt;=L_rampe),"Sortie de rampe","")</f>
        <v/>
      </c>
      <c r="Z909" s="402" t="str">
        <f aca="false">IF(ABS(t-T_para)&lt;pas/2,"Para","")</f>
        <v/>
      </c>
      <c r="AA909" s="403" t="str">
        <f aca="false">IF(ABS(t-T_satellite)&lt;pas/2,"Satellite","")</f>
        <v/>
      </c>
      <c r="AC909" s="399" t="e">
        <f aca="false">IF(ABS(t-ROUND(t,0))&lt;0.001,t,NA())</f>
        <v>#N/A</v>
      </c>
      <c r="AD909" s="404" t="e">
        <f aca="false">IF(ABS(t-ROUND(t,0))&lt;0.001,pos_x,NA())</f>
        <v>#N/A</v>
      </c>
      <c r="AE909" s="405" t="e">
        <f aca="false">IF(t&lt;T_para, pos_z, NA())</f>
        <v>#N/A</v>
      </c>
      <c r="AG909" s="396" t="n">
        <f aca="false">IF(AND(L908&lt;L_rampe,Poussee&lt;Poids*SIN(M908)),0,(-W908+Poussee)/m-Poids*SIN(M908)/m)</f>
        <v>2.40858738403102</v>
      </c>
      <c r="AH909" s="397" t="n">
        <f aca="false">IF(AND(L908&lt;L_rampe,Poussee&lt;Poids*SIN(M908)), g*SIN(M908), (-W908+Poussee)/m)</f>
        <v>-7.35337574243454</v>
      </c>
    </row>
    <row r="910" customFormat="false" ht="12.75" hidden="false" customHeight="false" outlineLevel="0" collapsed="false">
      <c r="A910" s="396" t="n">
        <f aca="false">IF(B909+0.01&lt;=T_ini+ROUNDUP(Temps_fin_propu,0), 0.01, IF(K909&gt;0, 0.1, 0.0001))</f>
        <v>0.0001</v>
      </c>
      <c r="B910" s="397" t="n">
        <f aca="false">B909+pas</f>
        <v>32.1405000000015</v>
      </c>
      <c r="D910" s="396" t="n">
        <f aca="false">IF(AND(L909&lt;L_rampe,Poussee&lt;Poids*SIN(M909)),0,(-W909+Poussee)/m*COS(M909)-U909/m*SIN(M909))</f>
        <v>-0.726810114667487</v>
      </c>
      <c r="E910" s="398" t="n">
        <f aca="false">IF(AND(L909&lt;L_rampe,Poussee&lt;Poids*SIN(M909)),0,(-W909+Poussee)/m*SIN(M909)+U909/m*COS(M909)-Poids/m)</f>
        <v>-2.49259228093599</v>
      </c>
      <c r="F910" s="397" t="n">
        <f aca="false">SQRT(acc_x^2+acc_z^2)</f>
        <v>2.59639542862112</v>
      </c>
      <c r="G910" s="396" t="n">
        <f aca="false">G909+acc_x*pas</f>
        <v>11.4678532115568</v>
      </c>
      <c r="H910" s="398" t="n">
        <f aca="false">H909+acc_z*pas</f>
        <v>-115.457488714852</v>
      </c>
      <c r="I910" s="397" t="n">
        <f aca="false">SQRT(vit_x^2+vit_z^2)</f>
        <v>116.025615092625</v>
      </c>
      <c r="J910" s="396" t="n">
        <f aca="false">J909+0.5*(vit_x+G909)*pas*(K909&gt;=0)</f>
        <v>690.928492655337</v>
      </c>
      <c r="K910" s="398" t="n">
        <f aca="false">K909+0.5*(vit_z+H909)*pas</f>
        <v>-13.2785845186363</v>
      </c>
      <c r="L910" s="397" t="n">
        <f aca="false">SQRT(pos_x^2+pos_z^2)</f>
        <v>691.056077876314</v>
      </c>
      <c r="M910" s="396" t="n">
        <f aca="false">IF(AND(L909&gt;L_rampe,G910&gt;0),ATAN2(G910,H910),$M$4)</f>
        <v>-1.4717957085502</v>
      </c>
      <c r="N910" s="397" t="n">
        <f aca="false">DEGREES(Beta)</f>
        <v>-84.3276824053933</v>
      </c>
      <c r="P910" s="399" t="n">
        <f aca="false">MATCH(t-pas/2-T_ini,CdP_t)</f>
        <v>23</v>
      </c>
      <c r="Q910" s="397" t="n">
        <f aca="false">(INDEX(CdP,2,i_P+1)-INDEX(CdP,2,i_P+0))/(INDEX(CdP,1,i_P+1)-INDEX(CdP,1,i_P+0))*(t-pas/2-T_ini-INDEX(CdP,1,i_P+0))+INDEX(CdP,2,i_P+0)</f>
        <v>0</v>
      </c>
      <c r="R910" s="396" t="n">
        <f aca="false">Poussee/(g*ISP)</f>
        <v>0</v>
      </c>
      <c r="S910" s="398" t="n">
        <f aca="false">S909-Débit*pas</f>
        <v>8.45</v>
      </c>
      <c r="T910" s="397" t="n">
        <f aca="false">m*g</f>
        <v>82.8945</v>
      </c>
      <c r="U910" s="400" t="n">
        <f aca="false">IF(pos_xz&lt;L_rampe,Poids*COS(Beta),0)</f>
        <v>0</v>
      </c>
      <c r="V910" s="396" t="n">
        <f aca="false">Rho_moyen*(20000-Alt_rampe-pos_z)/(20000+Alt_rampe+pos_z)</f>
        <v>1.22662770728597</v>
      </c>
      <c r="W910" s="397" t="n">
        <f aca="false">1/2*Rho*Sref*Cx*vit_xz^2</f>
        <v>62.1366844604689</v>
      </c>
      <c r="Y910" s="408" t="str">
        <f aca="false">IF(AND(pos_z&lt;=0,K909&gt;0),"Impact balistique","") &amp; IF(AND(H911&lt;0,vit_z&gt;=0),"Apogée","") &amp; IF(AND(Poussee=0,Q909&gt;0),"Fin de propulsion","") &amp; IF(AND(L911&gt;L_rampe,pos_xz&lt;=L_rampe),"Sortie de rampe","")</f>
        <v/>
      </c>
      <c r="Z910" s="402" t="str">
        <f aca="false">IF(ABS(t-T_para)&lt;pas/2,"Para","")</f>
        <v/>
      </c>
      <c r="AA910" s="403" t="str">
        <f aca="false">IF(ABS(t-T_satellite)&lt;pas/2,"Satellite","")</f>
        <v/>
      </c>
      <c r="AC910" s="399" t="e">
        <f aca="false">IF(ABS(t-ROUND(t,0))&lt;0.001,t,NA())</f>
        <v>#N/A</v>
      </c>
      <c r="AD910" s="404" t="e">
        <f aca="false">IF(ABS(t-ROUND(t,0))&lt;0.001,pos_x,NA())</f>
        <v>#N/A</v>
      </c>
      <c r="AE910" s="405" t="e">
        <f aca="false">IF(t&lt;T_para, pos_z, NA())</f>
        <v>#N/A</v>
      </c>
      <c r="AG910" s="396" t="n">
        <f aca="false">IF(AND(L909&lt;L_rampe,Poussee&lt;Poids*SIN(M909)),0,(-W909+Poussee)/m-Poids*SIN(M909)/m)</f>
        <v>2.40854917425095</v>
      </c>
      <c r="AH910" s="397" t="n">
        <f aca="false">IF(AND(L909&lt;L_rampe,Poussee&lt;Poids*SIN(M909)), g*SIN(M909), (-W909+Poussee)/m)</f>
        <v>-7.35341476253044</v>
      </c>
    </row>
    <row r="911" customFormat="false" ht="12.75" hidden="false" customHeight="false" outlineLevel="0" collapsed="false">
      <c r="A911" s="396" t="n">
        <f aca="false">IF(B910+0.01&lt;=T_ini+ROUNDUP(Temps_fin_propu,0), 0.01, IF(K910&gt;0, 0.1, 0.0001))</f>
        <v>0.0001</v>
      </c>
      <c r="B911" s="397" t="n">
        <f aca="false">B910+pas</f>
        <v>32.1406000000015</v>
      </c>
      <c r="D911" s="396" t="n">
        <f aca="false">IF(AND(L910&lt;L_rampe,Poussee&lt;Poids*SIN(M910)),0,(-W910+Poussee)/m*COS(M910)-U910/m*SIN(M910))</f>
        <v>-0.726807856231655</v>
      </c>
      <c r="E911" s="398" t="n">
        <f aca="false">IF(AND(L910&lt;L_rampe,Poussee&lt;Poids*SIN(M910)),0,(-W910+Poussee)/m*SIN(M910)+U910/m*COS(M910)-Poids/m)</f>
        <v>-2.49255284483714</v>
      </c>
      <c r="F911" s="397" t="n">
        <f aca="false">SQRT(acc_x^2+acc_z^2)</f>
        <v>2.59635693697646</v>
      </c>
      <c r="G911" s="396" t="n">
        <f aca="false">G910+acc_x*pas</f>
        <v>11.4677805307712</v>
      </c>
      <c r="H911" s="398" t="n">
        <f aca="false">H910+acc_z*pas</f>
        <v>-115.457737970136</v>
      </c>
      <c r="I911" s="397" t="n">
        <f aca="false">SQRT(vit_x^2+vit_z^2)</f>
        <v>116.025855943762</v>
      </c>
      <c r="J911" s="396" t="n">
        <f aca="false">J910+0.5*(vit_x+G910)*pas*(K910&gt;=0)</f>
        <v>690.928492655337</v>
      </c>
      <c r="K911" s="398" t="n">
        <f aca="false">K910+0.5*(vit_z+H910)*pas</f>
        <v>-13.2901302799705</v>
      </c>
      <c r="L911" s="397" t="n">
        <f aca="false">SQRT(pos_x^2+pos_z^2)</f>
        <v>691.056299823563</v>
      </c>
      <c r="M911" s="396" t="n">
        <f aca="false">IF(AND(L910&gt;L_rampe,G911&gt;0),ATAN2(G911,H911),$M$4)</f>
        <v>-1.47179654423495</v>
      </c>
      <c r="N911" s="397" t="n">
        <f aca="false">DEGREES(Beta)</f>
        <v>-84.327730286602</v>
      </c>
      <c r="P911" s="399" t="n">
        <f aca="false">MATCH(t-pas/2-T_ini,CdP_t)</f>
        <v>23</v>
      </c>
      <c r="Q911" s="397" t="n">
        <f aca="false">(INDEX(CdP,2,i_P+1)-INDEX(CdP,2,i_P+0))/(INDEX(CdP,1,i_P+1)-INDEX(CdP,1,i_P+0))*(t-pas/2-T_ini-INDEX(CdP,1,i_P+0))+INDEX(CdP,2,i_P+0)</f>
        <v>0</v>
      </c>
      <c r="R911" s="396" t="n">
        <f aca="false">Poussee/(g*ISP)</f>
        <v>0</v>
      </c>
      <c r="S911" s="398" t="n">
        <f aca="false">S910-Débit*pas</f>
        <v>8.45</v>
      </c>
      <c r="T911" s="397" t="n">
        <f aca="false">m*g</f>
        <v>82.8945</v>
      </c>
      <c r="U911" s="400" t="n">
        <f aca="false">IF(pos_xz&lt;L_rampe,Poids*COS(Beta),0)</f>
        <v>0</v>
      </c>
      <c r="V911" s="396" t="n">
        <f aca="false">Rho_moyen*(20000-Alt_rampe-pos_z)/(20000+Alt_rampe+pos_z)</f>
        <v>1.22662912352249</v>
      </c>
      <c r="W911" s="397" t="n">
        <f aca="false">1/2*Rho*Sref*Cx*vit_xz^2</f>
        <v>62.137014174832</v>
      </c>
      <c r="Y911" s="408" t="str">
        <f aca="false">IF(AND(pos_z&lt;=0,K910&gt;0),"Impact balistique","") &amp; IF(AND(H912&lt;0,vit_z&gt;=0),"Apogée","") &amp; IF(AND(Poussee=0,Q910&gt;0),"Fin de propulsion","") &amp; IF(AND(L912&gt;L_rampe,pos_xz&lt;=L_rampe),"Sortie de rampe","")</f>
        <v/>
      </c>
      <c r="Z911" s="402" t="str">
        <f aca="false">IF(ABS(t-T_para)&lt;pas/2,"Para","")</f>
        <v/>
      </c>
      <c r="AA911" s="403" t="str">
        <f aca="false">IF(ABS(t-T_satellite)&lt;pas/2,"Satellite","")</f>
        <v/>
      </c>
      <c r="AC911" s="399" t="e">
        <f aca="false">IF(ABS(t-ROUND(t,0))&lt;0.001,t,NA())</f>
        <v>#N/A</v>
      </c>
      <c r="AD911" s="404" t="e">
        <f aca="false">IF(ABS(t-ROUND(t,0))&lt;0.001,pos_x,NA())</f>
        <v>#N/A</v>
      </c>
      <c r="AE911" s="405" t="e">
        <f aca="false">IF(t&lt;T_para, pos_z, NA())</f>
        <v>#N/A</v>
      </c>
      <c r="AG911" s="396" t="n">
        <f aca="false">IF(AND(L910&lt;L_rampe,Poussee&lt;Poids*SIN(M910)),0,(-W910+Poussee)/m-Poids*SIN(M910)/m)</f>
        <v>2.40851096477788</v>
      </c>
      <c r="AH911" s="397" t="n">
        <f aca="false">IF(AND(L910&lt;L_rampe,Poussee&lt;Poids*SIN(M910)), g*SIN(M910), (-W910+Poussee)/m)</f>
        <v>-7.35345378230401</v>
      </c>
    </row>
    <row r="912" customFormat="false" ht="12.75" hidden="false" customHeight="false" outlineLevel="0" collapsed="false">
      <c r="A912" s="396" t="n">
        <f aca="false">IF(B911+0.01&lt;=T_ini+ROUNDUP(Temps_fin_propu,0), 0.01, IF(K911&gt;0, 0.1, 0.0001))</f>
        <v>0.0001</v>
      </c>
      <c r="B912" s="397" t="n">
        <f aca="false">B911+pas</f>
        <v>32.1407000000015</v>
      </c>
      <c r="D912" s="396" t="n">
        <f aca="false">IF(AND(L911&lt;L_rampe,Poussee&lt;Poids*SIN(M911)),0,(-W911+Poussee)/m*COS(M911)-U911/m*SIN(M911))</f>
        <v>-0.726805597762705</v>
      </c>
      <c r="E912" s="398" t="n">
        <f aca="false">IF(AND(L911&lt;L_rampe,Poussee&lt;Poids*SIN(M911)),0,(-W911+Poussee)/m*SIN(M911)+U911/m*COS(M911)-Poids/m)</f>
        <v>-2.49251340906406</v>
      </c>
      <c r="F912" s="397" t="n">
        <f aca="false">SQRT(acc_x^2+acc_z^2)</f>
        <v>2.59631844566558</v>
      </c>
      <c r="G912" s="396" t="n">
        <f aca="false">G911+acc_x*pas</f>
        <v>11.4677078502114</v>
      </c>
      <c r="H912" s="398" t="n">
        <f aca="false">H911+acc_z*pas</f>
        <v>-115.457987221477</v>
      </c>
      <c r="I912" s="397" t="n">
        <f aca="false">SQRT(vit_x^2+vit_z^2)</f>
        <v>116.026096791078</v>
      </c>
      <c r="J912" s="396" t="n">
        <f aca="false">J911+0.5*(vit_x+G911)*pas*(K911&gt;=0)</f>
        <v>690.928492655337</v>
      </c>
      <c r="K912" s="398" t="n">
        <f aca="false">K911+0.5*(vit_z+H911)*pas</f>
        <v>-13.3016760662301</v>
      </c>
      <c r="L912" s="397" t="n">
        <f aca="false">SQRT(pos_x^2+pos_z^2)</f>
        <v>691.05652196412</v>
      </c>
      <c r="M912" s="396" t="n">
        <f aca="false">IF(AND(L911&gt;L_rampe,G912&gt;0),ATAN2(G912,H912),$M$4)</f>
        <v>-1.47179737991092</v>
      </c>
      <c r="N912" s="397" t="n">
        <f aca="false">DEGREES(Beta)</f>
        <v>-84.3277781673084</v>
      </c>
      <c r="P912" s="399" t="n">
        <f aca="false">MATCH(t-pas/2-T_ini,CdP_t)</f>
        <v>23</v>
      </c>
      <c r="Q912" s="397" t="n">
        <f aca="false">(INDEX(CdP,2,i_P+1)-INDEX(CdP,2,i_P+0))/(INDEX(CdP,1,i_P+1)-INDEX(CdP,1,i_P+0))*(t-pas/2-T_ini-INDEX(CdP,1,i_P+0))+INDEX(CdP,2,i_P+0)</f>
        <v>0</v>
      </c>
      <c r="R912" s="396" t="n">
        <f aca="false">Poussee/(g*ISP)</f>
        <v>0</v>
      </c>
      <c r="S912" s="398" t="n">
        <f aca="false">S911-Débit*pas</f>
        <v>8.45</v>
      </c>
      <c r="T912" s="397" t="n">
        <f aca="false">m*g</f>
        <v>82.8945</v>
      </c>
      <c r="U912" s="400" t="n">
        <f aca="false">IF(pos_xz&lt;L_rampe,Poids*COS(Beta),0)</f>
        <v>0</v>
      </c>
      <c r="V912" s="396" t="n">
        <f aca="false">Rho_moyen*(20000-Alt_rampe-pos_z)/(20000+Alt_rampe+pos_z)</f>
        <v>1.2266305397637</v>
      </c>
      <c r="W912" s="397" t="n">
        <f aca="false">1/2*Rho*Sref*Cx*vit_xz^2</f>
        <v>62.1373438864715</v>
      </c>
      <c r="Y912" s="408" t="str">
        <f aca="false">IF(AND(pos_z&lt;=0,K911&gt;0),"Impact balistique","") &amp; IF(AND(H913&lt;0,vit_z&gt;=0),"Apogée","") &amp; IF(AND(Poussee=0,Q911&gt;0),"Fin de propulsion","") &amp; IF(AND(L913&gt;L_rampe,pos_xz&lt;=L_rampe),"Sortie de rampe","")</f>
        <v/>
      </c>
      <c r="Z912" s="402" t="str">
        <f aca="false">IF(ABS(t-T_para)&lt;pas/2,"Para","")</f>
        <v/>
      </c>
      <c r="AA912" s="403" t="str">
        <f aca="false">IF(ABS(t-T_satellite)&lt;pas/2,"Satellite","")</f>
        <v/>
      </c>
      <c r="AC912" s="399" t="e">
        <f aca="false">IF(ABS(t-ROUND(t,0))&lt;0.001,t,NA())</f>
        <v>#N/A</v>
      </c>
      <c r="AD912" s="404" t="e">
        <f aca="false">IF(ABS(t-ROUND(t,0))&lt;0.001,pos_x,NA())</f>
        <v>#N/A</v>
      </c>
      <c r="AE912" s="405" t="e">
        <f aca="false">IF(t&lt;T_para, pos_z, NA())</f>
        <v>#N/A</v>
      </c>
      <c r="AG912" s="396" t="n">
        <f aca="false">IF(AND(L911&lt;L_rampe,Poussee&lt;Poids*SIN(M911)),0,(-W911+Poussee)/m-Poids*SIN(M911)/m)</f>
        <v>2.40847275561181</v>
      </c>
      <c r="AH912" s="397" t="n">
        <f aca="false">IF(AND(L911&lt;L_rampe,Poussee&lt;Poids*SIN(M911)), g*SIN(M911), (-W911+Poussee)/m)</f>
        <v>-7.35349280175526</v>
      </c>
    </row>
    <row r="913" customFormat="false" ht="12.75" hidden="false" customHeight="false" outlineLevel="0" collapsed="false">
      <c r="A913" s="396" t="n">
        <f aca="false">IF(B912+0.01&lt;=T_ini+ROUNDUP(Temps_fin_propu,0), 0.01, IF(K912&gt;0, 0.1, 0.0001))</f>
        <v>0.0001</v>
      </c>
      <c r="B913" s="397" t="n">
        <f aca="false">B912+pas</f>
        <v>32.1408000000015</v>
      </c>
      <c r="D913" s="396" t="n">
        <f aca="false">IF(AND(L912&lt;L_rampe,Poussee&lt;Poids*SIN(M912)),0,(-W912+Poussee)/m*COS(M912)-U912/m*SIN(M912))</f>
        <v>-0.726803339260638</v>
      </c>
      <c r="E913" s="398" t="n">
        <f aca="false">IF(AND(L912&lt;L_rampe,Poussee&lt;Poids*SIN(M912)),0,(-W912+Poussee)/m*SIN(M912)+U912/m*COS(M912)-Poids/m)</f>
        <v>-2.49247397361676</v>
      </c>
      <c r="F913" s="397" t="n">
        <f aca="false">SQRT(acc_x^2+acc_z^2)</f>
        <v>2.5962799546885</v>
      </c>
      <c r="G913" s="396" t="n">
        <f aca="false">G912+acc_x*pas</f>
        <v>11.4676351698775</v>
      </c>
      <c r="H913" s="398" t="n">
        <f aca="false">H912+acc_z*pas</f>
        <v>-115.458236468874</v>
      </c>
      <c r="I913" s="397" t="n">
        <f aca="false">SQRT(vit_x^2+vit_z^2)</f>
        <v>116.026337634573</v>
      </c>
      <c r="J913" s="396" t="n">
        <f aca="false">J912+0.5*(vit_x+G912)*pas*(K912&gt;=0)</f>
        <v>690.928492655337</v>
      </c>
      <c r="K913" s="398" t="n">
        <f aca="false">K912+0.5*(vit_z+H912)*pas</f>
        <v>-13.3132218774146</v>
      </c>
      <c r="L913" s="397" t="n">
        <f aca="false">SQRT(pos_x^2+pos_z^2)</f>
        <v>691.056744297987</v>
      </c>
      <c r="M913" s="396" t="n">
        <f aca="false">IF(AND(L912&gt;L_rampe,G913&gt;0),ATAN2(G913,H913),$M$4)</f>
        <v>-1.47179821557813</v>
      </c>
      <c r="N913" s="397" t="n">
        <f aca="false">DEGREES(Beta)</f>
        <v>-84.3278260475125</v>
      </c>
      <c r="P913" s="399" t="n">
        <f aca="false">MATCH(t-pas/2-T_ini,CdP_t)</f>
        <v>23</v>
      </c>
      <c r="Q913" s="397" t="n">
        <f aca="false">(INDEX(CdP,2,i_P+1)-INDEX(CdP,2,i_P+0))/(INDEX(CdP,1,i_P+1)-INDEX(CdP,1,i_P+0))*(t-pas/2-T_ini-INDEX(CdP,1,i_P+0))+INDEX(CdP,2,i_P+0)</f>
        <v>0</v>
      </c>
      <c r="R913" s="396" t="n">
        <f aca="false">Poussee/(g*ISP)</f>
        <v>0</v>
      </c>
      <c r="S913" s="398" t="n">
        <f aca="false">S912-Débit*pas</f>
        <v>8.45</v>
      </c>
      <c r="T913" s="397" t="n">
        <f aca="false">m*g</f>
        <v>82.8945</v>
      </c>
      <c r="U913" s="400" t="n">
        <f aca="false">IF(pos_xz&lt;L_rampe,Poids*COS(Beta),0)</f>
        <v>0</v>
      </c>
      <c r="V913" s="396" t="n">
        <f aca="false">Rho_moyen*(20000-Alt_rampe-pos_z)/(20000+Alt_rampe+pos_z)</f>
        <v>1.22663195600961</v>
      </c>
      <c r="W913" s="397" t="n">
        <f aca="false">1/2*Rho*Sref*Cx*vit_xz^2</f>
        <v>62.1376735953875</v>
      </c>
      <c r="Y913" s="408" t="str">
        <f aca="false">IF(AND(pos_z&lt;=0,K912&gt;0),"Impact balistique","") &amp; IF(AND(H914&lt;0,vit_z&gt;=0),"Apogée","") &amp; IF(AND(Poussee=0,Q912&gt;0),"Fin de propulsion","") &amp; IF(AND(L914&gt;L_rampe,pos_xz&lt;=L_rampe),"Sortie de rampe","")</f>
        <v/>
      </c>
      <c r="Z913" s="402" t="str">
        <f aca="false">IF(ABS(t-T_para)&lt;pas/2,"Para","")</f>
        <v/>
      </c>
      <c r="AA913" s="403" t="str">
        <f aca="false">IF(ABS(t-T_satellite)&lt;pas/2,"Satellite","")</f>
        <v/>
      </c>
      <c r="AC913" s="399" t="e">
        <f aca="false">IF(ABS(t-ROUND(t,0))&lt;0.001,t,NA())</f>
        <v>#N/A</v>
      </c>
      <c r="AD913" s="404" t="e">
        <f aca="false">IF(ABS(t-ROUND(t,0))&lt;0.001,pos_x,NA())</f>
        <v>#N/A</v>
      </c>
      <c r="AE913" s="405" t="e">
        <f aca="false">IF(t&lt;T_para, pos_z, NA())</f>
        <v>#N/A</v>
      </c>
      <c r="AG913" s="396" t="n">
        <f aca="false">IF(AND(L912&lt;L_rampe,Poussee&lt;Poids*SIN(M912)),0,(-W912+Poussee)/m-Poids*SIN(M912)/m)</f>
        <v>2.40843454675274</v>
      </c>
      <c r="AH913" s="397" t="n">
        <f aca="false">IF(AND(L912&lt;L_rampe,Poussee&lt;Poids*SIN(M912)), g*SIN(M912), (-W912+Poussee)/m)</f>
        <v>-7.35353182088421</v>
      </c>
    </row>
    <row r="914" customFormat="false" ht="12.75" hidden="false" customHeight="false" outlineLevel="0" collapsed="false">
      <c r="A914" s="396" t="n">
        <f aca="false">IF(B913+0.01&lt;=T_ini+ROUNDUP(Temps_fin_propu,0), 0.01, IF(K913&gt;0, 0.1, 0.0001))</f>
        <v>0.0001</v>
      </c>
      <c r="B914" s="397" t="n">
        <f aca="false">B913+pas</f>
        <v>32.1409000000015</v>
      </c>
      <c r="D914" s="396" t="n">
        <f aca="false">IF(AND(L913&lt;L_rampe,Poussee&lt;Poids*SIN(M913)),0,(-W913+Poussee)/m*COS(M913)-U913/m*SIN(M913))</f>
        <v>-0.726801080725455</v>
      </c>
      <c r="E914" s="398" t="n">
        <f aca="false">IF(AND(L913&lt;L_rampe,Poussee&lt;Poids*SIN(M913)),0,(-W913+Poussee)/m*SIN(M913)+U913/m*COS(M913)-Poids/m)</f>
        <v>-2.49243453849523</v>
      </c>
      <c r="F914" s="397" t="n">
        <f aca="false">SQRT(acc_x^2+acc_z^2)</f>
        <v>2.59624146404521</v>
      </c>
      <c r="G914" s="396" t="n">
        <f aca="false">G913+acc_x*pas</f>
        <v>11.4675624897694</v>
      </c>
      <c r="H914" s="398" t="n">
        <f aca="false">H913+acc_z*pas</f>
        <v>-115.458485712328</v>
      </c>
      <c r="I914" s="397" t="n">
        <f aca="false">SQRT(vit_x^2+vit_z^2)</f>
        <v>116.026578474247</v>
      </c>
      <c r="J914" s="396" t="n">
        <f aca="false">J913+0.5*(vit_x+G913)*pas*(K913&gt;=0)</f>
        <v>690.928492655337</v>
      </c>
      <c r="K914" s="398" t="n">
        <f aca="false">K913+0.5*(vit_z+H913)*pas</f>
        <v>-13.3247677135237</v>
      </c>
      <c r="L914" s="397" t="n">
        <f aca="false">SQRT(pos_x^2+pos_z^2)</f>
        <v>691.056966825164</v>
      </c>
      <c r="M914" s="396" t="n">
        <f aca="false">IF(AND(L913&gt;L_rampe,G914&gt;0),ATAN2(G914,H914),$M$4)</f>
        <v>-1.47179905123657</v>
      </c>
      <c r="N914" s="397" t="n">
        <f aca="false">DEGREES(Beta)</f>
        <v>-84.3278739272145</v>
      </c>
      <c r="P914" s="399" t="n">
        <f aca="false">MATCH(t-pas/2-T_ini,CdP_t)</f>
        <v>23</v>
      </c>
      <c r="Q914" s="397" t="n">
        <f aca="false">(INDEX(CdP,2,i_P+1)-INDEX(CdP,2,i_P+0))/(INDEX(CdP,1,i_P+1)-INDEX(CdP,1,i_P+0))*(t-pas/2-T_ini-INDEX(CdP,1,i_P+0))+INDEX(CdP,2,i_P+0)</f>
        <v>0</v>
      </c>
      <c r="R914" s="396" t="n">
        <f aca="false">Poussee/(g*ISP)</f>
        <v>0</v>
      </c>
      <c r="S914" s="398" t="n">
        <f aca="false">S913-Débit*pas</f>
        <v>8.45</v>
      </c>
      <c r="T914" s="397" t="n">
        <f aca="false">m*g</f>
        <v>82.8945</v>
      </c>
      <c r="U914" s="400" t="n">
        <f aca="false">IF(pos_xz&lt;L_rampe,Poids*COS(Beta),0)</f>
        <v>0</v>
      </c>
      <c r="V914" s="396" t="n">
        <f aca="false">Rho_moyen*(20000-Alt_rampe-pos_z)/(20000+Alt_rampe+pos_z)</f>
        <v>1.2266333722602</v>
      </c>
      <c r="W914" s="397" t="n">
        <f aca="false">1/2*Rho*Sref*Cx*vit_xz^2</f>
        <v>62.1380033015798</v>
      </c>
      <c r="Y914" s="408" t="str">
        <f aca="false">IF(AND(pos_z&lt;=0,K913&gt;0),"Impact balistique","") &amp; IF(AND(H915&lt;0,vit_z&gt;=0),"Apogée","") &amp; IF(AND(Poussee=0,Q913&gt;0),"Fin de propulsion","") &amp; IF(AND(L915&gt;L_rampe,pos_xz&lt;=L_rampe),"Sortie de rampe","")</f>
        <v/>
      </c>
      <c r="Z914" s="402" t="str">
        <f aca="false">IF(ABS(t-T_para)&lt;pas/2,"Para","")</f>
        <v/>
      </c>
      <c r="AA914" s="403" t="str">
        <f aca="false">IF(ABS(t-T_satellite)&lt;pas/2,"Satellite","")</f>
        <v/>
      </c>
      <c r="AC914" s="399" t="e">
        <f aca="false">IF(ABS(t-ROUND(t,0))&lt;0.001,t,NA())</f>
        <v>#N/A</v>
      </c>
      <c r="AD914" s="404" t="e">
        <f aca="false">IF(ABS(t-ROUND(t,0))&lt;0.001,pos_x,NA())</f>
        <v>#N/A</v>
      </c>
      <c r="AE914" s="405" t="e">
        <f aca="false">IF(t&lt;T_para, pos_z, NA())</f>
        <v>#N/A</v>
      </c>
      <c r="AG914" s="396" t="n">
        <f aca="false">IF(AND(L913&lt;L_rampe,Poussee&lt;Poids*SIN(M913)),0,(-W913+Poussee)/m-Poids*SIN(M913)/m)</f>
        <v>2.40839633820066</v>
      </c>
      <c r="AH914" s="397" t="n">
        <f aca="false">IF(AND(L913&lt;L_rampe,Poussee&lt;Poids*SIN(M913)), g*SIN(M913), (-W913+Poussee)/m)</f>
        <v>-7.35357083969083</v>
      </c>
    </row>
    <row r="915" customFormat="false" ht="12.75" hidden="false" customHeight="false" outlineLevel="0" collapsed="false">
      <c r="A915" s="396" t="n">
        <f aca="false">IF(B914+0.01&lt;=T_ini+ROUNDUP(Temps_fin_propu,0), 0.01, IF(K914&gt;0, 0.1, 0.0001))</f>
        <v>0.0001</v>
      </c>
      <c r="B915" s="397" t="n">
        <f aca="false">B914+pas</f>
        <v>32.1410000000016</v>
      </c>
      <c r="D915" s="396" t="n">
        <f aca="false">IF(AND(L914&lt;L_rampe,Poussee&lt;Poids*SIN(M914)),0,(-W914+Poussee)/m*COS(M914)-U914/m*SIN(M914))</f>
        <v>-0.726798822157156</v>
      </c>
      <c r="E915" s="398" t="n">
        <f aca="false">IF(AND(L914&lt;L_rampe,Poussee&lt;Poids*SIN(M914)),0,(-W914+Poussee)/m*SIN(M914)+U914/m*COS(M914)-Poids/m)</f>
        <v>-2.49239510369948</v>
      </c>
      <c r="F915" s="397" t="n">
        <f aca="false">SQRT(acc_x^2+acc_z^2)</f>
        <v>2.59620297373571</v>
      </c>
      <c r="G915" s="396" t="n">
        <f aca="false">G914+acc_x*pas</f>
        <v>11.4674898098872</v>
      </c>
      <c r="H915" s="398" t="n">
        <f aca="false">H914+acc_z*pas</f>
        <v>-115.458734951839</v>
      </c>
      <c r="I915" s="397" t="n">
        <f aca="false">SQRT(vit_x^2+vit_z^2)</f>
        <v>116.026819310101</v>
      </c>
      <c r="J915" s="396" t="n">
        <f aca="false">J914+0.5*(vit_x+G914)*pas*(K914&gt;=0)</f>
        <v>690.928492655337</v>
      </c>
      <c r="K915" s="398" t="n">
        <f aca="false">K914+0.5*(vit_z+H914)*pas</f>
        <v>-13.3363135745569</v>
      </c>
      <c r="L915" s="397" t="n">
        <f aca="false">SQRT(pos_x^2+pos_z^2)</f>
        <v>691.057189545652</v>
      </c>
      <c r="M915" s="396" t="n">
        <f aca="false">IF(AND(L914&gt;L_rampe,G915&gt;0),ATAN2(G915,H915),$M$4)</f>
        <v>-1.47179988688625</v>
      </c>
      <c r="N915" s="397" t="n">
        <f aca="false">DEGREES(Beta)</f>
        <v>-84.3279218064142</v>
      </c>
      <c r="P915" s="399" t="n">
        <f aca="false">MATCH(t-pas/2-T_ini,CdP_t)</f>
        <v>23</v>
      </c>
      <c r="Q915" s="397" t="n">
        <f aca="false">(INDEX(CdP,2,i_P+1)-INDEX(CdP,2,i_P+0))/(INDEX(CdP,1,i_P+1)-INDEX(CdP,1,i_P+0))*(t-pas/2-T_ini-INDEX(CdP,1,i_P+0))+INDEX(CdP,2,i_P+0)</f>
        <v>0</v>
      </c>
      <c r="R915" s="396" t="n">
        <f aca="false">Poussee/(g*ISP)</f>
        <v>0</v>
      </c>
      <c r="S915" s="398" t="n">
        <f aca="false">S914-Débit*pas</f>
        <v>8.45</v>
      </c>
      <c r="T915" s="397" t="n">
        <f aca="false">m*g</f>
        <v>82.8945</v>
      </c>
      <c r="U915" s="400" t="n">
        <f aca="false">IF(pos_xz&lt;L_rampe,Poids*COS(Beta),0)</f>
        <v>0</v>
      </c>
      <c r="V915" s="396" t="n">
        <f aca="false">Rho_moyen*(20000-Alt_rampe-pos_z)/(20000+Alt_rampe+pos_z)</f>
        <v>1.2266347885155</v>
      </c>
      <c r="W915" s="397" t="n">
        <f aca="false">1/2*Rho*Sref*Cx*vit_xz^2</f>
        <v>62.1383330050486</v>
      </c>
      <c r="Y915" s="408" t="str">
        <f aca="false">IF(AND(pos_z&lt;=0,K914&gt;0),"Impact balistique","") &amp; IF(AND(H916&lt;0,vit_z&gt;=0),"Apogée","") &amp; IF(AND(Poussee=0,Q914&gt;0),"Fin de propulsion","") &amp; IF(AND(L916&gt;L_rampe,pos_xz&lt;=L_rampe),"Sortie de rampe","")</f>
        <v/>
      </c>
      <c r="Z915" s="402" t="str">
        <f aca="false">IF(ABS(t-T_para)&lt;pas/2,"Para","")</f>
        <v/>
      </c>
      <c r="AA915" s="403" t="str">
        <f aca="false">IF(ABS(t-T_satellite)&lt;pas/2,"Satellite","")</f>
        <v/>
      </c>
      <c r="AC915" s="399" t="e">
        <f aca="false">IF(ABS(t-ROUND(t,0))&lt;0.001,t,NA())</f>
        <v>#N/A</v>
      </c>
      <c r="AD915" s="404" t="e">
        <f aca="false">IF(ABS(t-ROUND(t,0))&lt;0.001,pos_x,NA())</f>
        <v>#N/A</v>
      </c>
      <c r="AE915" s="405" t="e">
        <f aca="false">IF(t&lt;T_para, pos_z, NA())</f>
        <v>#N/A</v>
      </c>
      <c r="AG915" s="396" t="n">
        <f aca="false">IF(AND(L914&lt;L_rampe,Poussee&lt;Poids*SIN(M914)),0,(-W914+Poussee)/m-Poids*SIN(M914)/m)</f>
        <v>2.4083581299556</v>
      </c>
      <c r="AH915" s="397" t="n">
        <f aca="false">IF(AND(L914&lt;L_rampe,Poussee&lt;Poids*SIN(M914)), g*SIN(M914), (-W914+Poussee)/m)</f>
        <v>-7.35360985817513</v>
      </c>
    </row>
    <row r="916" customFormat="false" ht="12.75" hidden="false" customHeight="false" outlineLevel="0" collapsed="false">
      <c r="A916" s="396" t="n">
        <f aca="false">IF(B915+0.01&lt;=T_ini+ROUNDUP(Temps_fin_propu,0), 0.01, IF(K915&gt;0, 0.1, 0.0001))</f>
        <v>0.0001</v>
      </c>
      <c r="B916" s="397" t="n">
        <f aca="false">B915+pas</f>
        <v>32.1411000000016</v>
      </c>
      <c r="D916" s="396" t="n">
        <f aca="false">IF(AND(L915&lt;L_rampe,Poussee&lt;Poids*SIN(M915)),0,(-W915+Poussee)/m*COS(M915)-U915/m*SIN(M915))</f>
        <v>-0.726796563555744</v>
      </c>
      <c r="E916" s="398" t="n">
        <f aca="false">IF(AND(L915&lt;L_rampe,Poussee&lt;Poids*SIN(M915)),0,(-W915+Poussee)/m*SIN(M915)+U915/m*COS(M915)-Poids/m)</f>
        <v>-2.4923556692295</v>
      </c>
      <c r="F916" s="397" t="n">
        <f aca="false">SQRT(acc_x^2+acc_z^2)</f>
        <v>2.59616448376</v>
      </c>
      <c r="G916" s="396" t="n">
        <f aca="false">G915+acc_x*pas</f>
        <v>11.4674171302309</v>
      </c>
      <c r="H916" s="398" t="n">
        <f aca="false">H915+acc_z*pas</f>
        <v>-115.458984187405</v>
      </c>
      <c r="I916" s="397" t="n">
        <f aca="false">SQRT(vit_x^2+vit_z^2)</f>
        <v>116.027060142134</v>
      </c>
      <c r="J916" s="396" t="n">
        <f aca="false">J915+0.5*(vit_x+G915)*pas*(K915&gt;=0)</f>
        <v>690.928492655337</v>
      </c>
      <c r="K916" s="398" t="n">
        <f aca="false">K915+0.5*(vit_z+H915)*pas</f>
        <v>-13.3478594605138</v>
      </c>
      <c r="L916" s="397" t="n">
        <f aca="false">SQRT(pos_x^2+pos_z^2)</f>
        <v>691.057412459452</v>
      </c>
      <c r="M916" s="396" t="n">
        <f aca="false">IF(AND(L915&gt;L_rampe,G916&gt;0),ATAN2(G916,H916),$M$4)</f>
        <v>-1.47180072252717</v>
      </c>
      <c r="N916" s="397" t="n">
        <f aca="false">DEGREES(Beta)</f>
        <v>-84.3279696851117</v>
      </c>
      <c r="P916" s="399" t="n">
        <f aca="false">MATCH(t-pas/2-T_ini,CdP_t)</f>
        <v>23</v>
      </c>
      <c r="Q916" s="397" t="n">
        <f aca="false">(INDEX(CdP,2,i_P+1)-INDEX(CdP,2,i_P+0))/(INDEX(CdP,1,i_P+1)-INDEX(CdP,1,i_P+0))*(t-pas/2-T_ini-INDEX(CdP,1,i_P+0))+INDEX(CdP,2,i_P+0)</f>
        <v>0</v>
      </c>
      <c r="R916" s="396" t="n">
        <f aca="false">Poussee/(g*ISP)</f>
        <v>0</v>
      </c>
      <c r="S916" s="398" t="n">
        <f aca="false">S915-Débit*pas</f>
        <v>8.45</v>
      </c>
      <c r="T916" s="397" t="n">
        <f aca="false">m*g</f>
        <v>82.8945</v>
      </c>
      <c r="U916" s="400" t="n">
        <f aca="false">IF(pos_xz&lt;L_rampe,Poids*COS(Beta),0)</f>
        <v>0</v>
      </c>
      <c r="V916" s="396" t="n">
        <f aca="false">Rho_moyen*(20000-Alt_rampe-pos_z)/(20000+Alt_rampe+pos_z)</f>
        <v>1.22663620477548</v>
      </c>
      <c r="W916" s="397" t="n">
        <f aca="false">1/2*Rho*Sref*Cx*vit_xz^2</f>
        <v>62.1386627057938</v>
      </c>
      <c r="Y916" s="408" t="str">
        <f aca="false">IF(AND(pos_z&lt;=0,K915&gt;0),"Impact balistique","") &amp; IF(AND(H917&lt;0,vit_z&gt;=0),"Apogée","") &amp; IF(AND(Poussee=0,Q915&gt;0),"Fin de propulsion","") &amp; IF(AND(L917&gt;L_rampe,pos_xz&lt;=L_rampe),"Sortie de rampe","")</f>
        <v/>
      </c>
      <c r="Z916" s="402" t="str">
        <f aca="false">IF(ABS(t-T_para)&lt;pas/2,"Para","")</f>
        <v/>
      </c>
      <c r="AA916" s="403" t="str">
        <f aca="false">IF(ABS(t-T_satellite)&lt;pas/2,"Satellite","")</f>
        <v/>
      </c>
      <c r="AC916" s="399" t="e">
        <f aca="false">IF(ABS(t-ROUND(t,0))&lt;0.001,t,NA())</f>
        <v>#N/A</v>
      </c>
      <c r="AD916" s="404" t="e">
        <f aca="false">IF(ABS(t-ROUND(t,0))&lt;0.001,pos_x,NA())</f>
        <v>#N/A</v>
      </c>
      <c r="AE916" s="405" t="e">
        <f aca="false">IF(t&lt;T_para, pos_z, NA())</f>
        <v>#N/A</v>
      </c>
      <c r="AG916" s="396" t="n">
        <f aca="false">IF(AND(L915&lt;L_rampe,Poussee&lt;Poids*SIN(M915)),0,(-W915+Poussee)/m-Poids*SIN(M915)/m)</f>
        <v>2.40831992201753</v>
      </c>
      <c r="AH916" s="397" t="n">
        <f aca="false">IF(AND(L915&lt;L_rampe,Poussee&lt;Poids*SIN(M915)), g*SIN(M915), (-W915+Poussee)/m)</f>
        <v>-7.35364887633712</v>
      </c>
    </row>
    <row r="917" customFormat="false" ht="12.75" hidden="false" customHeight="false" outlineLevel="0" collapsed="false">
      <c r="A917" s="396" t="n">
        <f aca="false">IF(B916+0.01&lt;=T_ini+ROUNDUP(Temps_fin_propu,0), 0.01, IF(K916&gt;0, 0.1, 0.0001))</f>
        <v>0.0001</v>
      </c>
      <c r="B917" s="397" t="n">
        <f aca="false">B916+pas</f>
        <v>32.1412000000016</v>
      </c>
      <c r="D917" s="396" t="n">
        <f aca="false">IF(AND(L916&lt;L_rampe,Poussee&lt;Poids*SIN(M916)),0,(-W916+Poussee)/m*COS(M916)-U916/m*SIN(M916))</f>
        <v>-0.726794304921217</v>
      </c>
      <c r="E917" s="398" t="n">
        <f aca="false">IF(AND(L916&lt;L_rampe,Poussee&lt;Poids*SIN(M916)),0,(-W916+Poussee)/m*SIN(M916)+U916/m*COS(M916)-Poids/m)</f>
        <v>-2.49231623508529</v>
      </c>
      <c r="F917" s="397" t="n">
        <f aca="false">SQRT(acc_x^2+acc_z^2)</f>
        <v>2.59612599411809</v>
      </c>
      <c r="G917" s="396" t="n">
        <f aca="false">G916+acc_x*pas</f>
        <v>11.4673444508004</v>
      </c>
      <c r="H917" s="398" t="n">
        <f aca="false">H916+acc_z*pas</f>
        <v>-115.459233419029</v>
      </c>
      <c r="I917" s="397" t="n">
        <f aca="false">SQRT(vit_x^2+vit_z^2)</f>
        <v>116.027300970345</v>
      </c>
      <c r="J917" s="396" t="n">
        <f aca="false">J916+0.5*(vit_x+G916)*pas*(K916&gt;=0)</f>
        <v>690.928492655337</v>
      </c>
      <c r="K917" s="398" t="n">
        <f aca="false">K916+0.5*(vit_z+H916)*pas</f>
        <v>-13.3594053713942</v>
      </c>
      <c r="L917" s="397" t="n">
        <f aca="false">SQRT(pos_x^2+pos_z^2)</f>
        <v>691.057635566566</v>
      </c>
      <c r="M917" s="396" t="n">
        <f aca="false">IF(AND(L916&gt;L_rampe,G917&gt;0),ATAN2(G917,H917),$M$4)</f>
        <v>-1.47180155815931</v>
      </c>
      <c r="N917" s="397" t="n">
        <f aca="false">DEGREES(Beta)</f>
        <v>-84.3280175633071</v>
      </c>
      <c r="P917" s="399" t="n">
        <f aca="false">MATCH(t-pas/2-T_ini,CdP_t)</f>
        <v>23</v>
      </c>
      <c r="Q917" s="397" t="n">
        <f aca="false">(INDEX(CdP,2,i_P+1)-INDEX(CdP,2,i_P+0))/(INDEX(CdP,1,i_P+1)-INDEX(CdP,1,i_P+0))*(t-pas/2-T_ini-INDEX(CdP,1,i_P+0))+INDEX(CdP,2,i_P+0)</f>
        <v>0</v>
      </c>
      <c r="R917" s="396" t="n">
        <f aca="false">Poussee/(g*ISP)</f>
        <v>0</v>
      </c>
      <c r="S917" s="398" t="n">
        <f aca="false">S916-Débit*pas</f>
        <v>8.45</v>
      </c>
      <c r="T917" s="397" t="n">
        <f aca="false">m*g</f>
        <v>82.8945</v>
      </c>
      <c r="U917" s="400" t="n">
        <f aca="false">IF(pos_xz&lt;L_rampe,Poids*COS(Beta),0)</f>
        <v>0</v>
      </c>
      <c r="V917" s="396" t="n">
        <f aca="false">Rho_moyen*(20000-Alt_rampe-pos_z)/(20000+Alt_rampe+pos_z)</f>
        <v>1.22663762104016</v>
      </c>
      <c r="W917" s="397" t="n">
        <f aca="false">1/2*Rho*Sref*Cx*vit_xz^2</f>
        <v>62.1389924038154</v>
      </c>
      <c r="Y917" s="408" t="str">
        <f aca="false">IF(AND(pos_z&lt;=0,K916&gt;0),"Impact balistique","") &amp; IF(AND(H918&lt;0,vit_z&gt;=0),"Apogée","") &amp; IF(AND(Poussee=0,Q916&gt;0),"Fin de propulsion","") &amp; IF(AND(L918&gt;L_rampe,pos_xz&lt;=L_rampe),"Sortie de rampe","")</f>
        <v/>
      </c>
      <c r="Z917" s="402" t="str">
        <f aca="false">IF(ABS(t-T_para)&lt;pas/2,"Para","")</f>
        <v/>
      </c>
      <c r="AA917" s="403" t="str">
        <f aca="false">IF(ABS(t-T_satellite)&lt;pas/2,"Satellite","")</f>
        <v/>
      </c>
      <c r="AC917" s="399" t="e">
        <f aca="false">IF(ABS(t-ROUND(t,0))&lt;0.001,t,NA())</f>
        <v>#N/A</v>
      </c>
      <c r="AD917" s="404" t="e">
        <f aca="false">IF(ABS(t-ROUND(t,0))&lt;0.001,pos_x,NA())</f>
        <v>#N/A</v>
      </c>
      <c r="AE917" s="405" t="e">
        <f aca="false">IF(t&lt;T_para, pos_z, NA())</f>
        <v>#N/A</v>
      </c>
      <c r="AG917" s="396" t="n">
        <f aca="false">IF(AND(L916&lt;L_rampe,Poussee&lt;Poids*SIN(M916)),0,(-W916+Poussee)/m-Poids*SIN(M916)/m)</f>
        <v>2.40828171438647</v>
      </c>
      <c r="AH917" s="397" t="n">
        <f aca="false">IF(AND(L916&lt;L_rampe,Poussee&lt;Poids*SIN(M916)), g*SIN(M916), (-W916+Poussee)/m)</f>
        <v>-7.35368789417679</v>
      </c>
    </row>
    <row r="918" customFormat="false" ht="12.75" hidden="false" customHeight="false" outlineLevel="0" collapsed="false">
      <c r="A918" s="396" t="n">
        <f aca="false">IF(B917+0.01&lt;=T_ini+ROUNDUP(Temps_fin_propu,0), 0.01, IF(K917&gt;0, 0.1, 0.0001))</f>
        <v>0.0001</v>
      </c>
      <c r="B918" s="397" t="n">
        <f aca="false">B917+pas</f>
        <v>32.1413000000016</v>
      </c>
      <c r="D918" s="396" t="n">
        <f aca="false">IF(AND(L917&lt;L_rampe,Poussee&lt;Poids*SIN(M917)),0,(-W917+Poussee)/m*COS(M917)-U917/m*SIN(M917))</f>
        <v>-0.726792046253576</v>
      </c>
      <c r="E918" s="398" t="n">
        <f aca="false">IF(AND(L917&lt;L_rampe,Poussee&lt;Poids*SIN(M917)),0,(-W917+Poussee)/m*SIN(M917)+U917/m*COS(M917)-Poids/m)</f>
        <v>-2.49227680126687</v>
      </c>
      <c r="F918" s="397" t="n">
        <f aca="false">SQRT(acc_x^2+acc_z^2)</f>
        <v>2.59608750480998</v>
      </c>
      <c r="G918" s="396" t="n">
        <f aca="false">G917+acc_x*pas</f>
        <v>11.4672717715957</v>
      </c>
      <c r="H918" s="398" t="n">
        <f aca="false">H917+acc_z*pas</f>
        <v>-115.459482646709</v>
      </c>
      <c r="I918" s="397" t="n">
        <f aca="false">SQRT(vit_x^2+vit_z^2)</f>
        <v>116.027541794737</v>
      </c>
      <c r="J918" s="396" t="n">
        <f aca="false">J917+0.5*(vit_x+G917)*pas*(K917&gt;=0)</f>
        <v>690.928492655337</v>
      </c>
      <c r="K918" s="398" t="n">
        <f aca="false">K917+0.5*(vit_z+H917)*pas</f>
        <v>-13.3709513071975</v>
      </c>
      <c r="L918" s="397" t="n">
        <f aca="false">SQRT(pos_x^2+pos_z^2)</f>
        <v>691.057858866995</v>
      </c>
      <c r="M918" s="396" t="n">
        <f aca="false">IF(AND(L917&gt;L_rampe,G918&gt;0),ATAN2(G918,H918),$M$4)</f>
        <v>-1.4718023937827</v>
      </c>
      <c r="N918" s="397" t="n">
        <f aca="false">DEGREES(Beta)</f>
        <v>-84.3280654410002</v>
      </c>
      <c r="P918" s="399" t="n">
        <f aca="false">MATCH(t-pas/2-T_ini,CdP_t)</f>
        <v>23</v>
      </c>
      <c r="Q918" s="397" t="n">
        <f aca="false">(INDEX(CdP,2,i_P+1)-INDEX(CdP,2,i_P+0))/(INDEX(CdP,1,i_P+1)-INDEX(CdP,1,i_P+0))*(t-pas/2-T_ini-INDEX(CdP,1,i_P+0))+INDEX(CdP,2,i_P+0)</f>
        <v>0</v>
      </c>
      <c r="R918" s="396" t="n">
        <f aca="false">Poussee/(g*ISP)</f>
        <v>0</v>
      </c>
      <c r="S918" s="398" t="n">
        <f aca="false">S917-Débit*pas</f>
        <v>8.45</v>
      </c>
      <c r="T918" s="397" t="n">
        <f aca="false">m*g</f>
        <v>82.8945</v>
      </c>
      <c r="U918" s="400" t="n">
        <f aca="false">IF(pos_xz&lt;L_rampe,Poids*COS(Beta),0)</f>
        <v>0</v>
      </c>
      <c r="V918" s="396" t="n">
        <f aca="false">Rho_moyen*(20000-Alt_rampe-pos_z)/(20000+Alt_rampe+pos_z)</f>
        <v>1.22663903730953</v>
      </c>
      <c r="W918" s="397" t="n">
        <f aca="false">1/2*Rho*Sref*Cx*vit_xz^2</f>
        <v>62.1393220991134</v>
      </c>
      <c r="Y918" s="408" t="str">
        <f aca="false">IF(AND(pos_z&lt;=0,K917&gt;0),"Impact balistique","") &amp; IF(AND(H919&lt;0,vit_z&gt;=0),"Apogée","") &amp; IF(AND(Poussee=0,Q917&gt;0),"Fin de propulsion","") &amp; IF(AND(L919&gt;L_rampe,pos_xz&lt;=L_rampe),"Sortie de rampe","")</f>
        <v/>
      </c>
      <c r="Z918" s="402" t="str">
        <f aca="false">IF(ABS(t-T_para)&lt;pas/2,"Para","")</f>
        <v/>
      </c>
      <c r="AA918" s="403" t="str">
        <f aca="false">IF(ABS(t-T_satellite)&lt;pas/2,"Satellite","")</f>
        <v/>
      </c>
      <c r="AC918" s="399" t="e">
        <f aca="false">IF(ABS(t-ROUND(t,0))&lt;0.001,t,NA())</f>
        <v>#N/A</v>
      </c>
      <c r="AD918" s="404" t="e">
        <f aca="false">IF(ABS(t-ROUND(t,0))&lt;0.001,pos_x,NA())</f>
        <v>#N/A</v>
      </c>
      <c r="AE918" s="405" t="e">
        <f aca="false">IF(t&lt;T_para, pos_z, NA())</f>
        <v>#N/A</v>
      </c>
      <c r="AG918" s="396" t="n">
        <f aca="false">IF(AND(L917&lt;L_rampe,Poussee&lt;Poids*SIN(M917)),0,(-W917+Poussee)/m-Poids*SIN(M917)/m)</f>
        <v>2.40824350706241</v>
      </c>
      <c r="AH918" s="397" t="n">
        <f aca="false">IF(AND(L917&lt;L_rampe,Poussee&lt;Poids*SIN(M917)), g*SIN(M917), (-W917+Poussee)/m)</f>
        <v>-7.35372691169413</v>
      </c>
    </row>
    <row r="919" customFormat="false" ht="12.75" hidden="false" customHeight="false" outlineLevel="0" collapsed="false">
      <c r="A919" s="396" t="n">
        <f aca="false">IF(B918+0.01&lt;=T_ini+ROUNDUP(Temps_fin_propu,0), 0.01, IF(K918&gt;0, 0.1, 0.0001))</f>
        <v>0.0001</v>
      </c>
      <c r="B919" s="397" t="n">
        <f aca="false">B918+pas</f>
        <v>32.1414000000016</v>
      </c>
      <c r="D919" s="396" t="n">
        <f aca="false">IF(AND(L918&lt;L_rampe,Poussee&lt;Poids*SIN(M918)),0,(-W918+Poussee)/m*COS(M918)-U918/m*SIN(M918))</f>
        <v>-0.726789787552825</v>
      </c>
      <c r="E919" s="398" t="n">
        <f aca="false">IF(AND(L918&lt;L_rampe,Poussee&lt;Poids*SIN(M918)),0,(-W918+Poussee)/m*SIN(M918)+U918/m*COS(M918)-Poids/m)</f>
        <v>-2.49223736777422</v>
      </c>
      <c r="F919" s="397" t="n">
        <f aca="false">SQRT(acc_x^2+acc_z^2)</f>
        <v>2.59604901583566</v>
      </c>
      <c r="G919" s="396" t="n">
        <f aca="false">G918+acc_x*pas</f>
        <v>11.467199092617</v>
      </c>
      <c r="H919" s="398" t="n">
        <f aca="false">H918+acc_z*pas</f>
        <v>-115.459731870446</v>
      </c>
      <c r="I919" s="397" t="n">
        <f aca="false">SQRT(vit_x^2+vit_z^2)</f>
        <v>116.027782615307</v>
      </c>
      <c r="J919" s="396" t="n">
        <f aca="false">J918+0.5*(vit_x+G918)*pas*(K918&gt;=0)</f>
        <v>690.928492655337</v>
      </c>
      <c r="K919" s="398" t="n">
        <f aca="false">K918+0.5*(vit_z+H918)*pas</f>
        <v>-13.3824972679233</v>
      </c>
      <c r="L919" s="397" t="n">
        <f aca="false">SQRT(pos_x^2+pos_z^2)</f>
        <v>691.058082360739</v>
      </c>
      <c r="M919" s="396" t="n">
        <f aca="false">IF(AND(L918&gt;L_rampe,G919&gt;0),ATAN2(G919,H919),$M$4)</f>
        <v>-1.47180322939732</v>
      </c>
      <c r="N919" s="397" t="n">
        <f aca="false">DEGREES(Beta)</f>
        <v>-84.3281133181911</v>
      </c>
      <c r="P919" s="399" t="n">
        <f aca="false">MATCH(t-pas/2-T_ini,CdP_t)</f>
        <v>23</v>
      </c>
      <c r="Q919" s="397" t="n">
        <f aca="false">(INDEX(CdP,2,i_P+1)-INDEX(CdP,2,i_P+0))/(INDEX(CdP,1,i_P+1)-INDEX(CdP,1,i_P+0))*(t-pas/2-T_ini-INDEX(CdP,1,i_P+0))+INDEX(CdP,2,i_P+0)</f>
        <v>0</v>
      </c>
      <c r="R919" s="396" t="n">
        <f aca="false">Poussee/(g*ISP)</f>
        <v>0</v>
      </c>
      <c r="S919" s="398" t="n">
        <f aca="false">S918-Débit*pas</f>
        <v>8.45</v>
      </c>
      <c r="T919" s="397" t="n">
        <f aca="false">m*g</f>
        <v>82.8945</v>
      </c>
      <c r="U919" s="400" t="n">
        <f aca="false">IF(pos_xz&lt;L_rampe,Poids*COS(Beta),0)</f>
        <v>0</v>
      </c>
      <c r="V919" s="396" t="n">
        <f aca="false">Rho_moyen*(20000-Alt_rampe-pos_z)/(20000+Alt_rampe+pos_z)</f>
        <v>1.2266404535836</v>
      </c>
      <c r="W919" s="397" t="n">
        <f aca="false">1/2*Rho*Sref*Cx*vit_xz^2</f>
        <v>62.1396517916878</v>
      </c>
      <c r="Y919" s="408" t="str">
        <f aca="false">IF(AND(pos_z&lt;=0,K918&gt;0),"Impact balistique","") &amp; IF(AND(H920&lt;0,vit_z&gt;=0),"Apogée","") &amp; IF(AND(Poussee=0,Q918&gt;0),"Fin de propulsion","") &amp; IF(AND(L920&gt;L_rampe,pos_xz&lt;=L_rampe),"Sortie de rampe","")</f>
        <v/>
      </c>
      <c r="Z919" s="402" t="str">
        <f aca="false">IF(ABS(t-T_para)&lt;pas/2,"Para","")</f>
        <v/>
      </c>
      <c r="AA919" s="403" t="str">
        <f aca="false">IF(ABS(t-T_satellite)&lt;pas/2,"Satellite","")</f>
        <v/>
      </c>
      <c r="AC919" s="399" t="e">
        <f aca="false">IF(ABS(t-ROUND(t,0))&lt;0.001,t,NA())</f>
        <v>#N/A</v>
      </c>
      <c r="AD919" s="404" t="e">
        <f aca="false">IF(ABS(t-ROUND(t,0))&lt;0.001,pos_x,NA())</f>
        <v>#N/A</v>
      </c>
      <c r="AE919" s="405" t="e">
        <f aca="false">IF(t&lt;T_para, pos_z, NA())</f>
        <v>#N/A</v>
      </c>
      <c r="AG919" s="396" t="n">
        <f aca="false">IF(AND(L918&lt;L_rampe,Poussee&lt;Poids*SIN(M918)),0,(-W918+Poussee)/m-Poids*SIN(M918)/m)</f>
        <v>2.40820530004536</v>
      </c>
      <c r="AH919" s="397" t="n">
        <f aca="false">IF(AND(L918&lt;L_rampe,Poussee&lt;Poids*SIN(M918)), g*SIN(M918), (-W918+Poussee)/m)</f>
        <v>-7.35376592888916</v>
      </c>
    </row>
    <row r="920" customFormat="false" ht="12.75" hidden="false" customHeight="false" outlineLevel="0" collapsed="false">
      <c r="A920" s="396" t="n">
        <f aca="false">IF(B919+0.01&lt;=T_ini+ROUNDUP(Temps_fin_propu,0), 0.01, IF(K919&gt;0, 0.1, 0.0001))</f>
        <v>0.0001</v>
      </c>
      <c r="B920" s="397" t="n">
        <f aca="false">B919+pas</f>
        <v>32.1415000000016</v>
      </c>
      <c r="D920" s="396" t="n">
        <f aca="false">IF(AND(L919&lt;L_rampe,Poussee&lt;Poids*SIN(M919)),0,(-W919+Poussee)/m*COS(M919)-U919/m*SIN(M919))</f>
        <v>-0.726787528818961</v>
      </c>
      <c r="E920" s="398" t="n">
        <f aca="false">IF(AND(L919&lt;L_rampe,Poussee&lt;Poids*SIN(M919)),0,(-W919+Poussee)/m*SIN(M919)+U919/m*COS(M919)-Poids/m)</f>
        <v>-2.49219793460735</v>
      </c>
      <c r="F920" s="397" t="n">
        <f aca="false">SQRT(acc_x^2+acc_z^2)</f>
        <v>2.59601052719513</v>
      </c>
      <c r="G920" s="396" t="n">
        <f aca="false">G919+acc_x*pas</f>
        <v>11.4671264138641</v>
      </c>
      <c r="H920" s="398" t="n">
        <f aca="false">H919+acc_z*pas</f>
        <v>-115.459981090239</v>
      </c>
      <c r="I920" s="397" t="n">
        <f aca="false">SQRT(vit_x^2+vit_z^2)</f>
        <v>116.028023432057</v>
      </c>
      <c r="J920" s="396" t="n">
        <f aca="false">J919+0.5*(vit_x+G919)*pas*(K919&gt;=0)</f>
        <v>690.928492655337</v>
      </c>
      <c r="K920" s="398" t="n">
        <f aca="false">K919+0.5*(vit_z+H919)*pas</f>
        <v>-13.3940432535714</v>
      </c>
      <c r="L920" s="397" t="n">
        <f aca="false">SQRT(pos_x^2+pos_z^2)</f>
        <v>691.0583060478</v>
      </c>
      <c r="M920" s="396" t="n">
        <f aca="false">IF(AND(L919&gt;L_rampe,G920&gt;0),ATAN2(G920,H920),$M$4)</f>
        <v>-1.47180406500317</v>
      </c>
      <c r="N920" s="397" t="n">
        <f aca="false">DEGREES(Beta)</f>
        <v>-84.3281611948798</v>
      </c>
      <c r="P920" s="399" t="n">
        <f aca="false">MATCH(t-pas/2-T_ini,CdP_t)</f>
        <v>23</v>
      </c>
      <c r="Q920" s="397" t="n">
        <f aca="false">(INDEX(CdP,2,i_P+1)-INDEX(CdP,2,i_P+0))/(INDEX(CdP,1,i_P+1)-INDEX(CdP,1,i_P+0))*(t-pas/2-T_ini-INDEX(CdP,1,i_P+0))+INDEX(CdP,2,i_P+0)</f>
        <v>0</v>
      </c>
      <c r="R920" s="396" t="n">
        <f aca="false">Poussee/(g*ISP)</f>
        <v>0</v>
      </c>
      <c r="S920" s="398" t="n">
        <f aca="false">S919-Débit*pas</f>
        <v>8.45</v>
      </c>
      <c r="T920" s="397" t="n">
        <f aca="false">m*g</f>
        <v>82.8945</v>
      </c>
      <c r="U920" s="400" t="n">
        <f aca="false">IF(pos_xz&lt;L_rampe,Poids*COS(Beta),0)</f>
        <v>0</v>
      </c>
      <c r="V920" s="396" t="n">
        <f aca="false">Rho_moyen*(20000-Alt_rampe-pos_z)/(20000+Alt_rampe+pos_z)</f>
        <v>1.22664186986236</v>
      </c>
      <c r="W920" s="397" t="n">
        <f aca="false">1/2*Rho*Sref*Cx*vit_xz^2</f>
        <v>62.1399814815385</v>
      </c>
      <c r="Y920" s="408" t="str">
        <f aca="false">IF(AND(pos_z&lt;=0,K919&gt;0),"Impact balistique","") &amp; IF(AND(H921&lt;0,vit_z&gt;=0),"Apogée","") &amp; IF(AND(Poussee=0,Q919&gt;0),"Fin de propulsion","") &amp; IF(AND(L921&gt;L_rampe,pos_xz&lt;=L_rampe),"Sortie de rampe","")</f>
        <v/>
      </c>
      <c r="Z920" s="402" t="str">
        <f aca="false">IF(ABS(t-T_para)&lt;pas/2,"Para","")</f>
        <v/>
      </c>
      <c r="AA920" s="403" t="str">
        <f aca="false">IF(ABS(t-T_satellite)&lt;pas/2,"Satellite","")</f>
        <v/>
      </c>
      <c r="AC920" s="399" t="e">
        <f aca="false">IF(ABS(t-ROUND(t,0))&lt;0.001,t,NA())</f>
        <v>#N/A</v>
      </c>
      <c r="AD920" s="404" t="e">
        <f aca="false">IF(ABS(t-ROUND(t,0))&lt;0.001,pos_x,NA())</f>
        <v>#N/A</v>
      </c>
      <c r="AE920" s="405" t="e">
        <f aca="false">IF(t&lt;T_para, pos_z, NA())</f>
        <v>#N/A</v>
      </c>
      <c r="AG920" s="396" t="n">
        <f aca="false">IF(AND(L919&lt;L_rampe,Poussee&lt;Poids*SIN(M919)),0,(-W919+Poussee)/m-Poids*SIN(M919)/m)</f>
        <v>2.40816709333531</v>
      </c>
      <c r="AH920" s="397" t="n">
        <f aca="false">IF(AND(L919&lt;L_rampe,Poussee&lt;Poids*SIN(M919)), g*SIN(M919), (-W919+Poussee)/m)</f>
        <v>-7.35380494576187</v>
      </c>
    </row>
    <row r="921" customFormat="false" ht="12.75" hidden="false" customHeight="false" outlineLevel="0" collapsed="false">
      <c r="A921" s="396" t="n">
        <f aca="false">IF(B920+0.01&lt;=T_ini+ROUNDUP(Temps_fin_propu,0), 0.01, IF(K920&gt;0, 0.1, 0.0001))</f>
        <v>0.0001</v>
      </c>
      <c r="B921" s="397" t="n">
        <f aca="false">B920+pas</f>
        <v>32.1416000000016</v>
      </c>
      <c r="D921" s="396" t="n">
        <f aca="false">IF(AND(L920&lt;L_rampe,Poussee&lt;Poids*SIN(M920)),0,(-W920+Poussee)/m*COS(M920)-U920/m*SIN(M920))</f>
        <v>-0.726785270051987</v>
      </c>
      <c r="E921" s="398" t="n">
        <f aca="false">IF(AND(L920&lt;L_rampe,Poussee&lt;Poids*SIN(M920)),0,(-W920+Poussee)/m*SIN(M920)+U920/m*COS(M920)-Poids/m)</f>
        <v>-2.49215850176626</v>
      </c>
      <c r="F921" s="397" t="n">
        <f aca="false">SQRT(acc_x^2+acc_z^2)</f>
        <v>2.5959720388884</v>
      </c>
      <c r="G921" s="396" t="n">
        <f aca="false">G920+acc_x*pas</f>
        <v>11.4670537353371</v>
      </c>
      <c r="H921" s="398" t="n">
        <f aca="false">H920+acc_z*pas</f>
        <v>-115.46023030609</v>
      </c>
      <c r="I921" s="397" t="n">
        <f aca="false">SQRT(vit_x^2+vit_z^2)</f>
        <v>116.028264244986</v>
      </c>
      <c r="J921" s="396" t="n">
        <f aca="false">J920+0.5*(vit_x+G920)*pas*(K920&gt;=0)</f>
        <v>690.928492655337</v>
      </c>
      <c r="K921" s="398" t="n">
        <f aca="false">K920+0.5*(vit_z+H920)*pas</f>
        <v>-13.4055892641412</v>
      </c>
      <c r="L921" s="397" t="n">
        <f aca="false">SQRT(pos_x^2+pos_z^2)</f>
        <v>691.058529928178</v>
      </c>
      <c r="M921" s="396" t="n">
        <f aca="false">IF(AND(L920&gt;L_rampe,G921&gt;0),ATAN2(G921,H921),$M$4)</f>
        <v>-1.47180490060026</v>
      </c>
      <c r="N921" s="397" t="n">
        <f aca="false">DEGREES(Beta)</f>
        <v>-84.3282090710664</v>
      </c>
      <c r="P921" s="399" t="n">
        <f aca="false">MATCH(t-pas/2-T_ini,CdP_t)</f>
        <v>23</v>
      </c>
      <c r="Q921" s="397" t="n">
        <f aca="false">(INDEX(CdP,2,i_P+1)-INDEX(CdP,2,i_P+0))/(INDEX(CdP,1,i_P+1)-INDEX(CdP,1,i_P+0))*(t-pas/2-T_ini-INDEX(CdP,1,i_P+0))+INDEX(CdP,2,i_P+0)</f>
        <v>0</v>
      </c>
      <c r="R921" s="396" t="n">
        <f aca="false">Poussee/(g*ISP)</f>
        <v>0</v>
      </c>
      <c r="S921" s="398" t="n">
        <f aca="false">S920-Débit*pas</f>
        <v>8.45</v>
      </c>
      <c r="T921" s="397" t="n">
        <f aca="false">m*g</f>
        <v>82.8945</v>
      </c>
      <c r="U921" s="400" t="n">
        <f aca="false">IF(pos_xz&lt;L_rampe,Poids*COS(Beta),0)</f>
        <v>0</v>
      </c>
      <c r="V921" s="396" t="n">
        <f aca="false">Rho_moyen*(20000-Alt_rampe-pos_z)/(20000+Alt_rampe+pos_z)</f>
        <v>1.22664328614581</v>
      </c>
      <c r="W921" s="397" t="n">
        <f aca="false">1/2*Rho*Sref*Cx*vit_xz^2</f>
        <v>62.1403111686657</v>
      </c>
      <c r="Y921" s="408" t="str">
        <f aca="false">IF(AND(pos_z&lt;=0,K920&gt;0),"Impact balistique","") &amp; IF(AND(H922&lt;0,vit_z&gt;=0),"Apogée","") &amp; IF(AND(Poussee=0,Q920&gt;0),"Fin de propulsion","") &amp; IF(AND(L922&gt;L_rampe,pos_xz&lt;=L_rampe),"Sortie de rampe","")</f>
        <v/>
      </c>
      <c r="Z921" s="402" t="str">
        <f aca="false">IF(ABS(t-T_para)&lt;pas/2,"Para","")</f>
        <v/>
      </c>
      <c r="AA921" s="403" t="str">
        <f aca="false">IF(ABS(t-T_satellite)&lt;pas/2,"Satellite","")</f>
        <v/>
      </c>
      <c r="AC921" s="399" t="e">
        <f aca="false">IF(ABS(t-ROUND(t,0))&lt;0.001,t,NA())</f>
        <v>#N/A</v>
      </c>
      <c r="AD921" s="404" t="e">
        <f aca="false">IF(ABS(t-ROUND(t,0))&lt;0.001,pos_x,NA())</f>
        <v>#N/A</v>
      </c>
      <c r="AE921" s="405" t="e">
        <f aca="false">IF(t&lt;T_para, pos_z, NA())</f>
        <v>#N/A</v>
      </c>
      <c r="AG921" s="396" t="n">
        <f aca="false">IF(AND(L920&lt;L_rampe,Poussee&lt;Poids*SIN(M920)),0,(-W920+Poussee)/m-Poids*SIN(M920)/m)</f>
        <v>2.40812888693228</v>
      </c>
      <c r="AH921" s="397" t="n">
        <f aca="false">IF(AND(L920&lt;L_rampe,Poussee&lt;Poids*SIN(M920)), g*SIN(M920), (-W920+Poussee)/m)</f>
        <v>-7.35384396231225</v>
      </c>
    </row>
    <row r="922" customFormat="false" ht="12.75" hidden="false" customHeight="false" outlineLevel="0" collapsed="false">
      <c r="A922" s="396" t="n">
        <f aca="false">IF(B921+0.01&lt;=T_ini+ROUNDUP(Temps_fin_propu,0), 0.01, IF(K921&gt;0, 0.1, 0.0001))</f>
        <v>0.0001</v>
      </c>
      <c r="B922" s="397" t="n">
        <f aca="false">B921+pas</f>
        <v>32.1417000000016</v>
      </c>
      <c r="D922" s="396" t="n">
        <f aca="false">IF(AND(L921&lt;L_rampe,Poussee&lt;Poids*SIN(M921)),0,(-W921+Poussee)/m*COS(M921)-U921/m*SIN(M921))</f>
        <v>-0.726783011251903</v>
      </c>
      <c r="E922" s="398" t="n">
        <f aca="false">IF(AND(L921&lt;L_rampe,Poussee&lt;Poids*SIN(M921)),0,(-W921+Poussee)/m*SIN(M921)+U921/m*COS(M921)-Poids/m)</f>
        <v>-2.49211906925095</v>
      </c>
      <c r="F922" s="397" t="n">
        <f aca="false">SQRT(acc_x^2+acc_z^2)</f>
        <v>2.59593355091547</v>
      </c>
      <c r="G922" s="396" t="n">
        <f aca="false">G921+acc_x*pas</f>
        <v>11.466981057036</v>
      </c>
      <c r="H922" s="398" t="n">
        <f aca="false">H921+acc_z*pas</f>
        <v>-115.460479517996</v>
      </c>
      <c r="I922" s="397" t="n">
        <f aca="false">SQRT(vit_x^2+vit_z^2)</f>
        <v>116.028505054095</v>
      </c>
      <c r="J922" s="396" t="n">
        <f aca="false">J921+0.5*(vit_x+G921)*pas*(K921&gt;=0)</f>
        <v>690.928492655337</v>
      </c>
      <c r="K922" s="398" t="n">
        <f aca="false">K921+0.5*(vit_z+H921)*pas</f>
        <v>-13.4171352996324</v>
      </c>
      <c r="L922" s="397" t="n">
        <f aca="false">SQRT(pos_x^2+pos_z^2)</f>
        <v>691.058754001875</v>
      </c>
      <c r="M922" s="396" t="n">
        <f aca="false">IF(AND(L921&gt;L_rampe,G922&gt;0),ATAN2(G922,H922),$M$4)</f>
        <v>-1.47180573618858</v>
      </c>
      <c r="N922" s="397" t="n">
        <f aca="false">DEGREES(Beta)</f>
        <v>-84.3282569467508</v>
      </c>
      <c r="P922" s="399" t="n">
        <f aca="false">MATCH(t-pas/2-T_ini,CdP_t)</f>
        <v>23</v>
      </c>
      <c r="Q922" s="397" t="n">
        <f aca="false">(INDEX(CdP,2,i_P+1)-INDEX(CdP,2,i_P+0))/(INDEX(CdP,1,i_P+1)-INDEX(CdP,1,i_P+0))*(t-pas/2-T_ini-INDEX(CdP,1,i_P+0))+INDEX(CdP,2,i_P+0)</f>
        <v>0</v>
      </c>
      <c r="R922" s="396" t="n">
        <f aca="false">Poussee/(g*ISP)</f>
        <v>0</v>
      </c>
      <c r="S922" s="398" t="n">
        <f aca="false">S921-Débit*pas</f>
        <v>8.45</v>
      </c>
      <c r="T922" s="397" t="n">
        <f aca="false">m*g</f>
        <v>82.8945</v>
      </c>
      <c r="U922" s="400" t="n">
        <f aca="false">IF(pos_xz&lt;L_rampe,Poids*COS(Beta),0)</f>
        <v>0</v>
      </c>
      <c r="V922" s="396" t="n">
        <f aca="false">Rho_moyen*(20000-Alt_rampe-pos_z)/(20000+Alt_rampe+pos_z)</f>
        <v>1.22664470243396</v>
      </c>
      <c r="W922" s="397" t="n">
        <f aca="false">1/2*Rho*Sref*Cx*vit_xz^2</f>
        <v>62.1406408530692</v>
      </c>
      <c r="Y922" s="408" t="str">
        <f aca="false">IF(AND(pos_z&lt;=0,K921&gt;0),"Impact balistique","") &amp; IF(AND(H923&lt;0,vit_z&gt;=0),"Apogée","") &amp; IF(AND(Poussee=0,Q921&gt;0),"Fin de propulsion","") &amp; IF(AND(L923&gt;L_rampe,pos_xz&lt;=L_rampe),"Sortie de rampe","")</f>
        <v/>
      </c>
      <c r="Z922" s="402" t="str">
        <f aca="false">IF(ABS(t-T_para)&lt;pas/2,"Para","")</f>
        <v/>
      </c>
      <c r="AA922" s="403" t="str">
        <f aca="false">IF(ABS(t-T_satellite)&lt;pas/2,"Satellite","")</f>
        <v/>
      </c>
      <c r="AC922" s="399" t="e">
        <f aca="false">IF(ABS(t-ROUND(t,0))&lt;0.001,t,NA())</f>
        <v>#N/A</v>
      </c>
      <c r="AD922" s="404" t="e">
        <f aca="false">IF(ABS(t-ROUND(t,0))&lt;0.001,pos_x,NA())</f>
        <v>#N/A</v>
      </c>
      <c r="AE922" s="405" t="e">
        <f aca="false">IF(t&lt;T_para, pos_z, NA())</f>
        <v>#N/A</v>
      </c>
      <c r="AG922" s="396" t="n">
        <f aca="false">IF(AND(L921&lt;L_rampe,Poussee&lt;Poids*SIN(M921)),0,(-W921+Poussee)/m-Poids*SIN(M921)/m)</f>
        <v>2.40809068083625</v>
      </c>
      <c r="AH922" s="397" t="n">
        <f aca="false">IF(AND(L921&lt;L_rampe,Poussee&lt;Poids*SIN(M921)), g*SIN(M921), (-W921+Poussee)/m)</f>
        <v>-7.35388297854032</v>
      </c>
    </row>
    <row r="923" customFormat="false" ht="12.75" hidden="false" customHeight="false" outlineLevel="0" collapsed="false">
      <c r="A923" s="396" t="n">
        <f aca="false">IF(B922+0.01&lt;=T_ini+ROUNDUP(Temps_fin_propu,0), 0.01, IF(K922&gt;0, 0.1, 0.0001))</f>
        <v>0.0001</v>
      </c>
      <c r="B923" s="397" t="n">
        <f aca="false">B922+pas</f>
        <v>32.1418000000016</v>
      </c>
      <c r="D923" s="396" t="n">
        <f aca="false">IF(AND(L922&lt;L_rampe,Poussee&lt;Poids*SIN(M922)),0,(-W922+Poussee)/m*COS(M922)-U922/m*SIN(M922))</f>
        <v>-0.72678075241871</v>
      </c>
      <c r="E923" s="398" t="n">
        <f aca="false">IF(AND(L922&lt;L_rampe,Poussee&lt;Poids*SIN(M922)),0,(-W922+Poussee)/m*SIN(M922)+U922/m*COS(M922)-Poids/m)</f>
        <v>-2.49207963706142</v>
      </c>
      <c r="F923" s="397" t="n">
        <f aca="false">SQRT(acc_x^2+acc_z^2)</f>
        <v>2.59589506327634</v>
      </c>
      <c r="G923" s="396" t="n">
        <f aca="false">G922+acc_x*pas</f>
        <v>11.4669083789607</v>
      </c>
      <c r="H923" s="398" t="n">
        <f aca="false">H922+acc_z*pas</f>
        <v>-115.46072872596</v>
      </c>
      <c r="I923" s="397" t="n">
        <f aca="false">SQRT(vit_x^2+vit_z^2)</f>
        <v>116.028745859383</v>
      </c>
      <c r="J923" s="396" t="n">
        <f aca="false">J922+0.5*(vit_x+G922)*pas*(K922&gt;=0)</f>
        <v>690.928492655337</v>
      </c>
      <c r="K923" s="398" t="n">
        <f aca="false">K922+0.5*(vit_z+H922)*pas</f>
        <v>-13.4286813600446</v>
      </c>
      <c r="L923" s="397" t="n">
        <f aca="false">SQRT(pos_x^2+pos_z^2)</f>
        <v>691.058978268892</v>
      </c>
      <c r="M923" s="396" t="n">
        <f aca="false">IF(AND(L922&gt;L_rampe,G923&gt;0),ATAN2(G923,H923),$M$4)</f>
        <v>-1.47180657176814</v>
      </c>
      <c r="N923" s="397" t="n">
        <f aca="false">DEGREES(Beta)</f>
        <v>-84.328304821933</v>
      </c>
      <c r="P923" s="399" t="n">
        <f aca="false">MATCH(t-pas/2-T_ini,CdP_t)</f>
        <v>23</v>
      </c>
      <c r="Q923" s="397" t="n">
        <f aca="false">(INDEX(CdP,2,i_P+1)-INDEX(CdP,2,i_P+0))/(INDEX(CdP,1,i_P+1)-INDEX(CdP,1,i_P+0))*(t-pas/2-T_ini-INDEX(CdP,1,i_P+0))+INDEX(CdP,2,i_P+0)</f>
        <v>0</v>
      </c>
      <c r="R923" s="396" t="n">
        <f aca="false">Poussee/(g*ISP)</f>
        <v>0</v>
      </c>
      <c r="S923" s="398" t="n">
        <f aca="false">S922-Débit*pas</f>
        <v>8.45</v>
      </c>
      <c r="T923" s="397" t="n">
        <f aca="false">m*g</f>
        <v>82.8945</v>
      </c>
      <c r="U923" s="400" t="n">
        <f aca="false">IF(pos_xz&lt;L_rampe,Poids*COS(Beta),0)</f>
        <v>0</v>
      </c>
      <c r="V923" s="396" t="n">
        <f aca="false">Rho_moyen*(20000-Alt_rampe-pos_z)/(20000+Alt_rampe+pos_z)</f>
        <v>1.2266461187268</v>
      </c>
      <c r="W923" s="397" t="n">
        <f aca="false">1/2*Rho*Sref*Cx*vit_xz^2</f>
        <v>62.1409705347491</v>
      </c>
      <c r="Y923" s="408" t="str">
        <f aca="false">IF(AND(pos_z&lt;=0,K922&gt;0),"Impact balistique","") &amp; IF(AND(H924&lt;0,vit_z&gt;=0),"Apogée","") &amp; IF(AND(Poussee=0,Q922&gt;0),"Fin de propulsion","") &amp; IF(AND(L924&gt;L_rampe,pos_xz&lt;=L_rampe),"Sortie de rampe","")</f>
        <v/>
      </c>
      <c r="Z923" s="402" t="str">
        <f aca="false">IF(ABS(t-T_para)&lt;pas/2,"Para","")</f>
        <v/>
      </c>
      <c r="AA923" s="403" t="str">
        <f aca="false">IF(ABS(t-T_satellite)&lt;pas/2,"Satellite","")</f>
        <v/>
      </c>
      <c r="AC923" s="399" t="e">
        <f aca="false">IF(ABS(t-ROUND(t,0))&lt;0.001,t,NA())</f>
        <v>#N/A</v>
      </c>
      <c r="AD923" s="404" t="e">
        <f aca="false">IF(ABS(t-ROUND(t,0))&lt;0.001,pos_x,NA())</f>
        <v>#N/A</v>
      </c>
      <c r="AE923" s="405" t="e">
        <f aca="false">IF(t&lt;T_para, pos_z, NA())</f>
        <v>#N/A</v>
      </c>
      <c r="AG923" s="396" t="n">
        <f aca="false">IF(AND(L922&lt;L_rampe,Poussee&lt;Poids*SIN(M922)),0,(-W922+Poussee)/m-Poids*SIN(M922)/m)</f>
        <v>2.40805247504722</v>
      </c>
      <c r="AH923" s="397" t="n">
        <f aca="false">IF(AND(L922&lt;L_rampe,Poussee&lt;Poids*SIN(M922)), g*SIN(M922), (-W922+Poussee)/m)</f>
        <v>-7.35392199444606</v>
      </c>
    </row>
    <row r="924" customFormat="false" ht="12.75" hidden="false" customHeight="false" outlineLevel="0" collapsed="false">
      <c r="A924" s="396" t="n">
        <f aca="false">IF(B923+0.01&lt;=T_ini+ROUNDUP(Temps_fin_propu,0), 0.01, IF(K923&gt;0, 0.1, 0.0001))</f>
        <v>0.0001</v>
      </c>
      <c r="B924" s="397" t="n">
        <f aca="false">B923+pas</f>
        <v>32.1419000000016</v>
      </c>
      <c r="D924" s="396" t="n">
        <f aca="false">IF(AND(L923&lt;L_rampe,Poussee&lt;Poids*SIN(M923)),0,(-W923+Poussee)/m*COS(M923)-U923/m*SIN(M923))</f>
        <v>-0.72677849355241</v>
      </c>
      <c r="E924" s="398" t="n">
        <f aca="false">IF(AND(L923&lt;L_rampe,Poussee&lt;Poids*SIN(M923)),0,(-W923+Poussee)/m*SIN(M923)+U923/m*COS(M923)-Poids/m)</f>
        <v>-2.49204020519766</v>
      </c>
      <c r="F924" s="397" t="n">
        <f aca="false">SQRT(acc_x^2+acc_z^2)</f>
        <v>2.595856575971</v>
      </c>
      <c r="G924" s="396" t="n">
        <f aca="false">G923+acc_x*pas</f>
        <v>11.4668357011114</v>
      </c>
      <c r="H924" s="398" t="n">
        <f aca="false">H923+acc_z*pas</f>
        <v>-115.460977929981</v>
      </c>
      <c r="I924" s="397" t="n">
        <f aca="false">SQRT(vit_x^2+vit_z^2)</f>
        <v>116.02898666085</v>
      </c>
      <c r="J924" s="396" t="n">
        <f aca="false">J923+0.5*(vit_x+G923)*pas*(K923&gt;=0)</f>
        <v>690.928492655337</v>
      </c>
      <c r="K924" s="398" t="n">
        <f aca="false">K923+0.5*(vit_z+H923)*pas</f>
        <v>-13.4402274453774</v>
      </c>
      <c r="L924" s="397" t="n">
        <f aca="false">SQRT(pos_x^2+pos_z^2)</f>
        <v>691.05920272923</v>
      </c>
      <c r="M924" s="396" t="n">
        <f aca="false">IF(AND(L923&gt;L_rampe,G924&gt;0),ATAN2(G924,H924),$M$4)</f>
        <v>-1.47180740733894</v>
      </c>
      <c r="N924" s="397" t="n">
        <f aca="false">DEGREES(Beta)</f>
        <v>-84.3283526966131</v>
      </c>
      <c r="P924" s="399" t="n">
        <f aca="false">MATCH(t-pas/2-T_ini,CdP_t)</f>
        <v>23</v>
      </c>
      <c r="Q924" s="397" t="n">
        <f aca="false">(INDEX(CdP,2,i_P+1)-INDEX(CdP,2,i_P+0))/(INDEX(CdP,1,i_P+1)-INDEX(CdP,1,i_P+0))*(t-pas/2-T_ini-INDEX(CdP,1,i_P+0))+INDEX(CdP,2,i_P+0)</f>
        <v>0</v>
      </c>
      <c r="R924" s="396" t="n">
        <f aca="false">Poussee/(g*ISP)</f>
        <v>0</v>
      </c>
      <c r="S924" s="398" t="n">
        <f aca="false">S923-Débit*pas</f>
        <v>8.45</v>
      </c>
      <c r="T924" s="397" t="n">
        <f aca="false">m*g</f>
        <v>82.8945</v>
      </c>
      <c r="U924" s="400" t="n">
        <f aca="false">IF(pos_xz&lt;L_rampe,Poids*COS(Beta),0)</f>
        <v>0</v>
      </c>
      <c r="V924" s="396" t="n">
        <f aca="false">Rho_moyen*(20000-Alt_rampe-pos_z)/(20000+Alt_rampe+pos_z)</f>
        <v>1.22664753502433</v>
      </c>
      <c r="W924" s="397" t="n">
        <f aca="false">1/2*Rho*Sref*Cx*vit_xz^2</f>
        <v>62.1413002137054</v>
      </c>
      <c r="Y924" s="408" t="str">
        <f aca="false">IF(AND(pos_z&lt;=0,K923&gt;0),"Impact balistique","") &amp; IF(AND(H925&lt;0,vit_z&gt;=0),"Apogée","") &amp; IF(AND(Poussee=0,Q923&gt;0),"Fin de propulsion","") &amp; IF(AND(L925&gt;L_rampe,pos_xz&lt;=L_rampe),"Sortie de rampe","")</f>
        <v/>
      </c>
      <c r="Z924" s="402" t="str">
        <f aca="false">IF(ABS(t-T_para)&lt;pas/2,"Para","")</f>
        <v/>
      </c>
      <c r="AA924" s="403" t="str">
        <f aca="false">IF(ABS(t-T_satellite)&lt;pas/2,"Satellite","")</f>
        <v/>
      </c>
      <c r="AC924" s="399" t="e">
        <f aca="false">IF(ABS(t-ROUND(t,0))&lt;0.001,t,NA())</f>
        <v>#N/A</v>
      </c>
      <c r="AD924" s="404" t="e">
        <f aca="false">IF(ABS(t-ROUND(t,0))&lt;0.001,pos_x,NA())</f>
        <v>#N/A</v>
      </c>
      <c r="AE924" s="405" t="e">
        <f aca="false">IF(t&lt;T_para, pos_z, NA())</f>
        <v>#N/A</v>
      </c>
      <c r="AG924" s="396" t="n">
        <f aca="false">IF(AND(L923&lt;L_rampe,Poussee&lt;Poids*SIN(M923)),0,(-W923+Poussee)/m-Poids*SIN(M923)/m)</f>
        <v>2.4080142695652</v>
      </c>
      <c r="AH924" s="397" t="n">
        <f aca="false">IF(AND(L923&lt;L_rampe,Poussee&lt;Poids*SIN(M923)), g*SIN(M923), (-W923+Poussee)/m)</f>
        <v>-7.35396101002948</v>
      </c>
    </row>
    <row r="925" customFormat="false" ht="12.75" hidden="false" customHeight="false" outlineLevel="0" collapsed="false">
      <c r="A925" s="396" t="n">
        <f aca="false">IF(B924+0.01&lt;=T_ini+ROUNDUP(Temps_fin_propu,0), 0.01, IF(K924&gt;0, 0.1, 0.0001))</f>
        <v>0.0001</v>
      </c>
      <c r="B925" s="397" t="n">
        <f aca="false">B924+pas</f>
        <v>32.1420000000016</v>
      </c>
      <c r="D925" s="396" t="n">
        <f aca="false">IF(AND(L924&lt;L_rampe,Poussee&lt;Poids*SIN(M924)),0,(-W924+Poussee)/m*COS(M924)-U924/m*SIN(M924))</f>
        <v>-0.726776234653001</v>
      </c>
      <c r="E925" s="398" t="n">
        <f aca="false">IF(AND(L924&lt;L_rampe,Poussee&lt;Poids*SIN(M924)),0,(-W924+Poussee)/m*SIN(M924)+U924/m*COS(M924)-Poids/m)</f>
        <v>-2.49200077365968</v>
      </c>
      <c r="F925" s="397" t="n">
        <f aca="false">SQRT(acc_x^2+acc_z^2)</f>
        <v>2.59581808899947</v>
      </c>
      <c r="G925" s="396" t="n">
        <f aca="false">G924+acc_x*pas</f>
        <v>11.4667630234879</v>
      </c>
      <c r="H925" s="398" t="n">
        <f aca="false">H924+acc_z*pas</f>
        <v>-115.461227130058</v>
      </c>
      <c r="I925" s="397" t="n">
        <f aca="false">SQRT(vit_x^2+vit_z^2)</f>
        <v>116.029227458497</v>
      </c>
      <c r="J925" s="396" t="n">
        <f aca="false">J924+0.5*(vit_x+G924)*pas*(K924&gt;=0)</f>
        <v>690.928492655337</v>
      </c>
      <c r="K925" s="398" t="n">
        <f aca="false">K924+0.5*(vit_z+H924)*pas</f>
        <v>-13.4517735556304</v>
      </c>
      <c r="L925" s="397" t="n">
        <f aca="false">SQRT(pos_x^2+pos_z^2)</f>
        <v>691.05942738289</v>
      </c>
      <c r="M925" s="396" t="n">
        <f aca="false">IF(AND(L924&gt;L_rampe,G925&gt;0),ATAN2(G925,H925),$M$4)</f>
        <v>-1.47180824290097</v>
      </c>
      <c r="N925" s="397" t="n">
        <f aca="false">DEGREES(Beta)</f>
        <v>-84.328400570791</v>
      </c>
      <c r="P925" s="399" t="n">
        <f aca="false">MATCH(t-pas/2-T_ini,CdP_t)</f>
        <v>23</v>
      </c>
      <c r="Q925" s="397" t="n">
        <f aca="false">(INDEX(CdP,2,i_P+1)-INDEX(CdP,2,i_P+0))/(INDEX(CdP,1,i_P+1)-INDEX(CdP,1,i_P+0))*(t-pas/2-T_ini-INDEX(CdP,1,i_P+0))+INDEX(CdP,2,i_P+0)</f>
        <v>0</v>
      </c>
      <c r="R925" s="396" t="n">
        <f aca="false">Poussee/(g*ISP)</f>
        <v>0</v>
      </c>
      <c r="S925" s="398" t="n">
        <f aca="false">S924-Débit*pas</f>
        <v>8.45</v>
      </c>
      <c r="T925" s="397" t="n">
        <f aca="false">m*g</f>
        <v>82.8945</v>
      </c>
      <c r="U925" s="400" t="n">
        <f aca="false">IF(pos_xz&lt;L_rampe,Poids*COS(Beta),0)</f>
        <v>0</v>
      </c>
      <c r="V925" s="396" t="n">
        <f aca="false">Rho_moyen*(20000-Alt_rampe-pos_z)/(20000+Alt_rampe+pos_z)</f>
        <v>1.22664895132656</v>
      </c>
      <c r="W925" s="397" t="n">
        <f aca="false">1/2*Rho*Sref*Cx*vit_xz^2</f>
        <v>62.141629889938</v>
      </c>
      <c r="Y925" s="408" t="str">
        <f aca="false">IF(AND(pos_z&lt;=0,K924&gt;0),"Impact balistique","") &amp; IF(AND(H926&lt;0,vit_z&gt;=0),"Apogée","") &amp; IF(AND(Poussee=0,Q924&gt;0),"Fin de propulsion","") &amp; IF(AND(L926&gt;L_rampe,pos_xz&lt;=L_rampe),"Sortie de rampe","")</f>
        <v/>
      </c>
      <c r="Z925" s="402" t="str">
        <f aca="false">IF(ABS(t-T_para)&lt;pas/2,"Para","")</f>
        <v/>
      </c>
      <c r="AA925" s="403" t="str">
        <f aca="false">IF(ABS(t-T_satellite)&lt;pas/2,"Satellite","")</f>
        <v/>
      </c>
      <c r="AC925" s="399" t="e">
        <f aca="false">IF(ABS(t-ROUND(t,0))&lt;0.001,t,NA())</f>
        <v>#N/A</v>
      </c>
      <c r="AD925" s="404" t="e">
        <f aca="false">IF(ABS(t-ROUND(t,0))&lt;0.001,pos_x,NA())</f>
        <v>#N/A</v>
      </c>
      <c r="AE925" s="405" t="e">
        <f aca="false">IF(t&lt;T_para, pos_z, NA())</f>
        <v>#N/A</v>
      </c>
      <c r="AG925" s="396" t="n">
        <f aca="false">IF(AND(L924&lt;L_rampe,Poussee&lt;Poids*SIN(M924)),0,(-W924+Poussee)/m-Poids*SIN(M924)/m)</f>
        <v>2.4079760643902</v>
      </c>
      <c r="AH925" s="397" t="n">
        <f aca="false">IF(AND(L924&lt;L_rampe,Poussee&lt;Poids*SIN(M924)), g*SIN(M924), (-W924+Poussee)/m)</f>
        <v>-7.35400002529058</v>
      </c>
    </row>
    <row r="926" customFormat="false" ht="12.75" hidden="false" customHeight="false" outlineLevel="0" collapsed="false">
      <c r="A926" s="396" t="n">
        <f aca="false">IF(B925+0.01&lt;=T_ini+ROUNDUP(Temps_fin_propu,0), 0.01, IF(K925&gt;0, 0.1, 0.0001))</f>
        <v>0.0001</v>
      </c>
      <c r="B926" s="397" t="n">
        <f aca="false">B925+pas</f>
        <v>32.1421000000016</v>
      </c>
      <c r="D926" s="396" t="n">
        <f aca="false">IF(AND(L925&lt;L_rampe,Poussee&lt;Poids*SIN(M925)),0,(-W925+Poussee)/m*COS(M925)-U925/m*SIN(M925))</f>
        <v>-0.726773975720485</v>
      </c>
      <c r="E926" s="398" t="n">
        <f aca="false">IF(AND(L925&lt;L_rampe,Poussee&lt;Poids*SIN(M925)),0,(-W925+Poussee)/m*SIN(M925)+U925/m*COS(M925)-Poids/m)</f>
        <v>-2.49196134244749</v>
      </c>
      <c r="F926" s="397" t="n">
        <f aca="false">SQRT(acc_x^2+acc_z^2)</f>
        <v>2.59577960236174</v>
      </c>
      <c r="G926" s="396" t="n">
        <f aca="false">G925+acc_x*pas</f>
        <v>11.4666903460903</v>
      </c>
      <c r="H926" s="398" t="n">
        <f aca="false">H925+acc_z*pas</f>
        <v>-115.461476326192</v>
      </c>
      <c r="I926" s="397" t="n">
        <f aca="false">SQRT(vit_x^2+vit_z^2)</f>
        <v>116.029468252324</v>
      </c>
      <c r="J926" s="396" t="n">
        <f aca="false">J925+0.5*(vit_x+G925)*pas*(K925&gt;=0)</f>
        <v>690.928492655337</v>
      </c>
      <c r="K926" s="398" t="n">
        <f aca="false">K925+0.5*(vit_z+H925)*pas</f>
        <v>-13.4633196908032</v>
      </c>
      <c r="L926" s="397" t="n">
        <f aca="false">SQRT(pos_x^2+pos_z^2)</f>
        <v>691.059652229873</v>
      </c>
      <c r="M926" s="396" t="n">
        <f aca="false">IF(AND(L925&gt;L_rampe,G926&gt;0),ATAN2(G926,H926),$M$4)</f>
        <v>-1.47180907845424</v>
      </c>
      <c r="N926" s="397" t="n">
        <f aca="false">DEGREES(Beta)</f>
        <v>-84.3284484444669</v>
      </c>
      <c r="P926" s="399" t="n">
        <f aca="false">MATCH(t-pas/2-T_ini,CdP_t)</f>
        <v>23</v>
      </c>
      <c r="Q926" s="397" t="n">
        <f aca="false">(INDEX(CdP,2,i_P+1)-INDEX(CdP,2,i_P+0))/(INDEX(CdP,1,i_P+1)-INDEX(CdP,1,i_P+0))*(t-pas/2-T_ini-INDEX(CdP,1,i_P+0))+INDEX(CdP,2,i_P+0)</f>
        <v>0</v>
      </c>
      <c r="R926" s="396" t="n">
        <f aca="false">Poussee/(g*ISP)</f>
        <v>0</v>
      </c>
      <c r="S926" s="398" t="n">
        <f aca="false">S925-Débit*pas</f>
        <v>8.45</v>
      </c>
      <c r="T926" s="397" t="n">
        <f aca="false">m*g</f>
        <v>82.8945</v>
      </c>
      <c r="U926" s="400" t="n">
        <f aca="false">IF(pos_xz&lt;L_rampe,Poids*COS(Beta),0)</f>
        <v>0</v>
      </c>
      <c r="V926" s="396" t="n">
        <f aca="false">Rho_moyen*(20000-Alt_rampe-pos_z)/(20000+Alt_rampe+pos_z)</f>
        <v>1.22665036763348</v>
      </c>
      <c r="W926" s="397" t="n">
        <f aca="false">1/2*Rho*Sref*Cx*vit_xz^2</f>
        <v>62.1419595634471</v>
      </c>
      <c r="Y926" s="408" t="str">
        <f aca="false">IF(AND(pos_z&lt;=0,K925&gt;0),"Impact balistique","") &amp; IF(AND(H927&lt;0,vit_z&gt;=0),"Apogée","") &amp; IF(AND(Poussee=0,Q925&gt;0),"Fin de propulsion","") &amp; IF(AND(L927&gt;L_rampe,pos_xz&lt;=L_rampe),"Sortie de rampe","")</f>
        <v/>
      </c>
      <c r="Z926" s="402" t="str">
        <f aca="false">IF(ABS(t-T_para)&lt;pas/2,"Para","")</f>
        <v/>
      </c>
      <c r="AA926" s="403" t="str">
        <f aca="false">IF(ABS(t-T_satellite)&lt;pas/2,"Satellite","")</f>
        <v/>
      </c>
      <c r="AC926" s="399" t="e">
        <f aca="false">IF(ABS(t-ROUND(t,0))&lt;0.001,t,NA())</f>
        <v>#N/A</v>
      </c>
      <c r="AD926" s="404" t="e">
        <f aca="false">IF(ABS(t-ROUND(t,0))&lt;0.001,pos_x,NA())</f>
        <v>#N/A</v>
      </c>
      <c r="AE926" s="405" t="e">
        <f aca="false">IF(t&lt;T_para, pos_z, NA())</f>
        <v>#N/A</v>
      </c>
      <c r="AG926" s="396" t="n">
        <f aca="false">IF(AND(L925&lt;L_rampe,Poussee&lt;Poids*SIN(M925)),0,(-W925+Poussee)/m-Poids*SIN(M925)/m)</f>
        <v>2.40793785952221</v>
      </c>
      <c r="AH926" s="397" t="n">
        <f aca="false">IF(AND(L925&lt;L_rampe,Poussee&lt;Poids*SIN(M925)), g*SIN(M925), (-W925+Poussee)/m)</f>
        <v>-7.35403904022935</v>
      </c>
    </row>
    <row r="927" customFormat="false" ht="12.75" hidden="false" customHeight="false" outlineLevel="0" collapsed="false">
      <c r="A927" s="396" t="n">
        <f aca="false">IF(B926+0.01&lt;=T_ini+ROUNDUP(Temps_fin_propu,0), 0.01, IF(K926&gt;0, 0.1, 0.0001))</f>
        <v>0.0001</v>
      </c>
      <c r="B927" s="397" t="n">
        <f aca="false">B926+pas</f>
        <v>32.1422000000016</v>
      </c>
      <c r="D927" s="396" t="n">
        <f aca="false">IF(AND(L926&lt;L_rampe,Poussee&lt;Poids*SIN(M926)),0,(-W926+Poussee)/m*COS(M926)-U926/m*SIN(M926))</f>
        <v>-0.726771716754864</v>
      </c>
      <c r="E927" s="398" t="n">
        <f aca="false">IF(AND(L926&lt;L_rampe,Poussee&lt;Poids*SIN(M926)),0,(-W926+Poussee)/m*SIN(M926)+U926/m*COS(M926)-Poids/m)</f>
        <v>-2.49192191156108</v>
      </c>
      <c r="F927" s="397" t="n">
        <f aca="false">SQRT(acc_x^2+acc_z^2)</f>
        <v>2.59574111605781</v>
      </c>
      <c r="G927" s="396" t="n">
        <f aca="false">G926+acc_x*pas</f>
        <v>11.4666176689187</v>
      </c>
      <c r="H927" s="398" t="n">
        <f aca="false">H926+acc_z*pas</f>
        <v>-115.461725518383</v>
      </c>
      <c r="I927" s="397" t="n">
        <f aca="false">SQRT(vit_x^2+vit_z^2)</f>
        <v>116.02970904233</v>
      </c>
      <c r="J927" s="396" t="n">
        <f aca="false">J926+0.5*(vit_x+G926)*pas*(K926&gt;=0)</f>
        <v>690.928492655337</v>
      </c>
      <c r="K927" s="398" t="n">
        <f aca="false">K926+0.5*(vit_z+H926)*pas</f>
        <v>-13.4748658508954</v>
      </c>
      <c r="L927" s="397" t="n">
        <f aca="false">SQRT(pos_x^2+pos_z^2)</f>
        <v>691.059877270179</v>
      </c>
      <c r="M927" s="396" t="n">
        <f aca="false">IF(AND(L926&gt;L_rampe,G927&gt;0),ATAN2(G927,H927),$M$4)</f>
        <v>-1.47180991399874</v>
      </c>
      <c r="N927" s="397" t="n">
        <f aca="false">DEGREES(Beta)</f>
        <v>-84.3284963176405</v>
      </c>
      <c r="P927" s="399" t="n">
        <f aca="false">MATCH(t-pas/2-T_ini,CdP_t)</f>
        <v>23</v>
      </c>
      <c r="Q927" s="397" t="n">
        <f aca="false">(INDEX(CdP,2,i_P+1)-INDEX(CdP,2,i_P+0))/(INDEX(CdP,1,i_P+1)-INDEX(CdP,1,i_P+0))*(t-pas/2-T_ini-INDEX(CdP,1,i_P+0))+INDEX(CdP,2,i_P+0)</f>
        <v>0</v>
      </c>
      <c r="R927" s="396" t="n">
        <f aca="false">Poussee/(g*ISP)</f>
        <v>0</v>
      </c>
      <c r="S927" s="398" t="n">
        <f aca="false">S926-Débit*pas</f>
        <v>8.45</v>
      </c>
      <c r="T927" s="397" t="n">
        <f aca="false">m*g</f>
        <v>82.8945</v>
      </c>
      <c r="U927" s="400" t="n">
        <f aca="false">IF(pos_xz&lt;L_rampe,Poids*COS(Beta),0)</f>
        <v>0</v>
      </c>
      <c r="V927" s="396" t="n">
        <f aca="false">Rho_moyen*(20000-Alt_rampe-pos_z)/(20000+Alt_rampe+pos_z)</f>
        <v>1.22665178394509</v>
      </c>
      <c r="W927" s="397" t="n">
        <f aca="false">1/2*Rho*Sref*Cx*vit_xz^2</f>
        <v>62.1422892342325</v>
      </c>
      <c r="Y927" s="408" t="str">
        <f aca="false">IF(AND(pos_z&lt;=0,K926&gt;0),"Impact balistique","") &amp; IF(AND(H928&lt;0,vit_z&gt;=0),"Apogée","") &amp; IF(AND(Poussee=0,Q926&gt;0),"Fin de propulsion","") &amp; IF(AND(L928&gt;L_rampe,pos_xz&lt;=L_rampe),"Sortie de rampe","")</f>
        <v/>
      </c>
      <c r="Z927" s="402" t="str">
        <f aca="false">IF(ABS(t-T_para)&lt;pas/2,"Para","")</f>
        <v/>
      </c>
      <c r="AA927" s="403" t="str">
        <f aca="false">IF(ABS(t-T_satellite)&lt;pas/2,"Satellite","")</f>
        <v/>
      </c>
      <c r="AC927" s="399" t="e">
        <f aca="false">IF(ABS(t-ROUND(t,0))&lt;0.001,t,NA())</f>
        <v>#N/A</v>
      </c>
      <c r="AD927" s="404" t="e">
        <f aca="false">IF(ABS(t-ROUND(t,0))&lt;0.001,pos_x,NA())</f>
        <v>#N/A</v>
      </c>
      <c r="AE927" s="405" t="e">
        <f aca="false">IF(t&lt;T_para, pos_z, NA())</f>
        <v>#N/A</v>
      </c>
      <c r="AG927" s="396" t="n">
        <f aca="false">IF(AND(L926&lt;L_rampe,Poussee&lt;Poids*SIN(M926)),0,(-W926+Poussee)/m-Poids*SIN(M926)/m)</f>
        <v>2.40789965496122</v>
      </c>
      <c r="AH927" s="397" t="n">
        <f aca="false">IF(AND(L926&lt;L_rampe,Poussee&lt;Poids*SIN(M926)), g*SIN(M926), (-W926+Poussee)/m)</f>
        <v>-7.35407805484581</v>
      </c>
    </row>
    <row r="928" customFormat="false" ht="12.75" hidden="false" customHeight="false" outlineLevel="0" collapsed="false">
      <c r="A928" s="396" t="n">
        <f aca="false">IF(B927+0.01&lt;=T_ini+ROUNDUP(Temps_fin_propu,0), 0.01, IF(K927&gt;0, 0.1, 0.0001))</f>
        <v>0.0001</v>
      </c>
      <c r="B928" s="397" t="n">
        <f aca="false">B927+pas</f>
        <v>32.1423000000016</v>
      </c>
      <c r="D928" s="396" t="n">
        <f aca="false">IF(AND(L927&lt;L_rampe,Poussee&lt;Poids*SIN(M927)),0,(-W927+Poussee)/m*COS(M927)-U927/m*SIN(M927))</f>
        <v>-0.726769457756137</v>
      </c>
      <c r="E928" s="398" t="n">
        <f aca="false">IF(AND(L927&lt;L_rampe,Poussee&lt;Poids*SIN(M927)),0,(-W927+Poussee)/m*SIN(M927)+U927/m*COS(M927)-Poids/m)</f>
        <v>-2.49188248100044</v>
      </c>
      <c r="F928" s="397" t="n">
        <f aca="false">SQRT(acc_x^2+acc_z^2)</f>
        <v>2.59570263008768</v>
      </c>
      <c r="G928" s="396" t="n">
        <f aca="false">G927+acc_x*pas</f>
        <v>11.4665449919729</v>
      </c>
      <c r="H928" s="398" t="n">
        <f aca="false">H927+acc_z*pas</f>
        <v>-115.461974706632</v>
      </c>
      <c r="I928" s="397" t="n">
        <f aca="false">SQRT(vit_x^2+vit_z^2)</f>
        <v>116.029949828515</v>
      </c>
      <c r="J928" s="396" t="n">
        <f aca="false">J927+0.5*(vit_x+G927)*pas*(K927&gt;=0)</f>
        <v>690.928492655337</v>
      </c>
      <c r="K928" s="398" t="n">
        <f aca="false">K927+0.5*(vit_z+H927)*pas</f>
        <v>-13.4864120359067</v>
      </c>
      <c r="L928" s="397" t="n">
        <f aca="false">SQRT(pos_x^2+pos_z^2)</f>
        <v>691.060102503811</v>
      </c>
      <c r="M928" s="396" t="n">
        <f aca="false">IF(AND(L927&gt;L_rampe,G928&gt;0),ATAN2(G928,H928),$M$4)</f>
        <v>-1.47181074953448</v>
      </c>
      <c r="N928" s="397" t="n">
        <f aca="false">DEGREES(Beta)</f>
        <v>-84.3285441903121</v>
      </c>
      <c r="P928" s="399" t="n">
        <f aca="false">MATCH(t-pas/2-T_ini,CdP_t)</f>
        <v>23</v>
      </c>
      <c r="Q928" s="397" t="n">
        <f aca="false">(INDEX(CdP,2,i_P+1)-INDEX(CdP,2,i_P+0))/(INDEX(CdP,1,i_P+1)-INDEX(CdP,1,i_P+0))*(t-pas/2-T_ini-INDEX(CdP,1,i_P+0))+INDEX(CdP,2,i_P+0)</f>
        <v>0</v>
      </c>
      <c r="R928" s="396" t="n">
        <f aca="false">Poussee/(g*ISP)</f>
        <v>0</v>
      </c>
      <c r="S928" s="398" t="n">
        <f aca="false">S927-Débit*pas</f>
        <v>8.45</v>
      </c>
      <c r="T928" s="397" t="n">
        <f aca="false">m*g</f>
        <v>82.8945</v>
      </c>
      <c r="U928" s="400" t="n">
        <f aca="false">IF(pos_xz&lt;L_rampe,Poids*COS(Beta),0)</f>
        <v>0</v>
      </c>
      <c r="V928" s="396" t="n">
        <f aca="false">Rho_moyen*(20000-Alt_rampe-pos_z)/(20000+Alt_rampe+pos_z)</f>
        <v>1.22665320026139</v>
      </c>
      <c r="W928" s="397" t="n">
        <f aca="false">1/2*Rho*Sref*Cx*vit_xz^2</f>
        <v>62.1426189022942</v>
      </c>
      <c r="Y928" s="408" t="str">
        <f aca="false">IF(AND(pos_z&lt;=0,K927&gt;0),"Impact balistique","") &amp; IF(AND(H929&lt;0,vit_z&gt;=0),"Apogée","") &amp; IF(AND(Poussee=0,Q927&gt;0),"Fin de propulsion","") &amp; IF(AND(L929&gt;L_rampe,pos_xz&lt;=L_rampe),"Sortie de rampe","")</f>
        <v/>
      </c>
      <c r="Z928" s="402" t="str">
        <f aca="false">IF(ABS(t-T_para)&lt;pas/2,"Para","")</f>
        <v/>
      </c>
      <c r="AA928" s="403" t="str">
        <f aca="false">IF(ABS(t-T_satellite)&lt;pas/2,"Satellite","")</f>
        <v/>
      </c>
      <c r="AC928" s="399" t="e">
        <f aca="false">IF(ABS(t-ROUND(t,0))&lt;0.001,t,NA())</f>
        <v>#N/A</v>
      </c>
      <c r="AD928" s="404" t="e">
        <f aca="false">IF(ABS(t-ROUND(t,0))&lt;0.001,pos_x,NA())</f>
        <v>#N/A</v>
      </c>
      <c r="AE928" s="405" t="e">
        <f aca="false">IF(t&lt;T_para, pos_z, NA())</f>
        <v>#N/A</v>
      </c>
      <c r="AG928" s="396" t="n">
        <f aca="false">IF(AND(L927&lt;L_rampe,Poussee&lt;Poids*SIN(M927)),0,(-W927+Poussee)/m-Poids*SIN(M927)/m)</f>
        <v>2.40786145070726</v>
      </c>
      <c r="AH928" s="397" t="n">
        <f aca="false">IF(AND(L927&lt;L_rampe,Poussee&lt;Poids*SIN(M927)), g*SIN(M927), (-W927+Poussee)/m)</f>
        <v>-7.35411706913994</v>
      </c>
    </row>
    <row r="929" customFormat="false" ht="12.75" hidden="false" customHeight="false" outlineLevel="0" collapsed="false">
      <c r="A929" s="396" t="n">
        <f aca="false">IF(B928+0.01&lt;=T_ini+ROUNDUP(Temps_fin_propu,0), 0.01, IF(K928&gt;0, 0.1, 0.0001))</f>
        <v>0.0001</v>
      </c>
      <c r="B929" s="397" t="n">
        <f aca="false">B928+pas</f>
        <v>32.1424000000016</v>
      </c>
      <c r="D929" s="396" t="n">
        <f aca="false">IF(AND(L928&lt;L_rampe,Poussee&lt;Poids*SIN(M928)),0,(-W928+Poussee)/m*COS(M928)-U928/m*SIN(M928))</f>
        <v>-0.726767198724307</v>
      </c>
      <c r="E929" s="398" t="n">
        <f aca="false">IF(AND(L928&lt;L_rampe,Poussee&lt;Poids*SIN(M928)),0,(-W928+Poussee)/m*SIN(M928)+U928/m*COS(M928)-Poids/m)</f>
        <v>-2.49184305076559</v>
      </c>
      <c r="F929" s="397" t="n">
        <f aca="false">SQRT(acc_x^2+acc_z^2)</f>
        <v>2.59566414445135</v>
      </c>
      <c r="G929" s="396" t="n">
        <f aca="false">G928+acc_x*pas</f>
        <v>11.466472315253</v>
      </c>
      <c r="H929" s="398" t="n">
        <f aca="false">H928+acc_z*pas</f>
        <v>-115.462223890937</v>
      </c>
      <c r="I929" s="397" t="n">
        <f aca="false">SQRT(vit_x^2+vit_z^2)</f>
        <v>116.03019061088</v>
      </c>
      <c r="J929" s="396" t="n">
        <f aca="false">J928+0.5*(vit_x+G928)*pas*(K928&gt;=0)</f>
        <v>690.928492655337</v>
      </c>
      <c r="K929" s="398" t="n">
        <f aca="false">K928+0.5*(vit_z+H928)*pas</f>
        <v>-13.4979582458365</v>
      </c>
      <c r="L929" s="397" t="n">
        <f aca="false">SQRT(pos_x^2+pos_z^2)</f>
        <v>691.060327930769</v>
      </c>
      <c r="M929" s="396" t="n">
        <f aca="false">IF(AND(L928&gt;L_rampe,G929&gt;0),ATAN2(G929,H929),$M$4)</f>
        <v>-1.47181158506146</v>
      </c>
      <c r="N929" s="397" t="n">
        <f aca="false">DEGREES(Beta)</f>
        <v>-84.3285920624816</v>
      </c>
      <c r="P929" s="399" t="n">
        <f aca="false">MATCH(t-pas/2-T_ini,CdP_t)</f>
        <v>23</v>
      </c>
      <c r="Q929" s="397" t="n">
        <f aca="false">(INDEX(CdP,2,i_P+1)-INDEX(CdP,2,i_P+0))/(INDEX(CdP,1,i_P+1)-INDEX(CdP,1,i_P+0))*(t-pas/2-T_ini-INDEX(CdP,1,i_P+0))+INDEX(CdP,2,i_P+0)</f>
        <v>0</v>
      </c>
      <c r="R929" s="396" t="n">
        <f aca="false">Poussee/(g*ISP)</f>
        <v>0</v>
      </c>
      <c r="S929" s="398" t="n">
        <f aca="false">S928-Débit*pas</f>
        <v>8.45</v>
      </c>
      <c r="T929" s="397" t="n">
        <f aca="false">m*g</f>
        <v>82.8945</v>
      </c>
      <c r="U929" s="400" t="n">
        <f aca="false">IF(pos_xz&lt;L_rampe,Poids*COS(Beta),0)</f>
        <v>0</v>
      </c>
      <c r="V929" s="396" t="n">
        <f aca="false">Rho_moyen*(20000-Alt_rampe-pos_z)/(20000+Alt_rampe+pos_z)</f>
        <v>1.22665461658239</v>
      </c>
      <c r="W929" s="397" t="n">
        <f aca="false">1/2*Rho*Sref*Cx*vit_xz^2</f>
        <v>62.1429485676323</v>
      </c>
      <c r="Y929" s="408" t="str">
        <f aca="false">IF(AND(pos_z&lt;=0,K928&gt;0),"Impact balistique","") &amp; IF(AND(H930&lt;0,vit_z&gt;=0),"Apogée","") &amp; IF(AND(Poussee=0,Q928&gt;0),"Fin de propulsion","") &amp; IF(AND(L930&gt;L_rampe,pos_xz&lt;=L_rampe),"Sortie de rampe","")</f>
        <v/>
      </c>
      <c r="Z929" s="402" t="str">
        <f aca="false">IF(ABS(t-T_para)&lt;pas/2,"Para","")</f>
        <v/>
      </c>
      <c r="AA929" s="403" t="str">
        <f aca="false">IF(ABS(t-T_satellite)&lt;pas/2,"Satellite","")</f>
        <v/>
      </c>
      <c r="AC929" s="399" t="e">
        <f aca="false">IF(ABS(t-ROUND(t,0))&lt;0.001,t,NA())</f>
        <v>#N/A</v>
      </c>
      <c r="AD929" s="404" t="e">
        <f aca="false">IF(ABS(t-ROUND(t,0))&lt;0.001,pos_x,NA())</f>
        <v>#N/A</v>
      </c>
      <c r="AE929" s="405" t="e">
        <f aca="false">IF(t&lt;T_para, pos_z, NA())</f>
        <v>#N/A</v>
      </c>
      <c r="AG929" s="396" t="n">
        <f aca="false">IF(AND(L928&lt;L_rampe,Poussee&lt;Poids*SIN(M928)),0,(-W928+Poussee)/m-Poids*SIN(M928)/m)</f>
        <v>2.4078232467603</v>
      </c>
      <c r="AH929" s="397" t="n">
        <f aca="false">IF(AND(L928&lt;L_rampe,Poussee&lt;Poids*SIN(M928)), g*SIN(M928), (-W928+Poussee)/m)</f>
        <v>-7.35415608311174</v>
      </c>
    </row>
    <row r="930" customFormat="false" ht="12.75" hidden="false" customHeight="false" outlineLevel="0" collapsed="false">
      <c r="A930" s="396" t="n">
        <f aca="false">IF(B929+0.01&lt;=T_ini+ROUNDUP(Temps_fin_propu,0), 0.01, IF(K929&gt;0, 0.1, 0.0001))</f>
        <v>0.0001</v>
      </c>
      <c r="B930" s="397" t="n">
        <f aca="false">B929+pas</f>
        <v>32.1425000000016</v>
      </c>
      <c r="D930" s="396" t="n">
        <f aca="false">IF(AND(L929&lt;L_rampe,Poussee&lt;Poids*SIN(M929)),0,(-W929+Poussee)/m*COS(M929)-U929/m*SIN(M929))</f>
        <v>-0.726764939659372</v>
      </c>
      <c r="E930" s="398" t="n">
        <f aca="false">IF(AND(L929&lt;L_rampe,Poussee&lt;Poids*SIN(M929)),0,(-W929+Poussee)/m*SIN(M929)+U929/m*COS(M929)-Poids/m)</f>
        <v>-2.49180362085652</v>
      </c>
      <c r="F930" s="397" t="n">
        <f aca="false">SQRT(acc_x^2+acc_z^2)</f>
        <v>2.59562565914882</v>
      </c>
      <c r="G930" s="396" t="n">
        <f aca="false">G929+acc_x*pas</f>
        <v>11.466399638759</v>
      </c>
      <c r="H930" s="398" t="n">
        <f aca="false">H929+acc_z*pas</f>
        <v>-115.462473071299</v>
      </c>
      <c r="I930" s="397" t="n">
        <f aca="false">SQRT(vit_x^2+vit_z^2)</f>
        <v>116.030431389425</v>
      </c>
      <c r="J930" s="396" t="n">
        <f aca="false">J929+0.5*(vit_x+G929)*pas*(K929&gt;=0)</f>
        <v>690.928492655337</v>
      </c>
      <c r="K930" s="398" t="n">
        <f aca="false">K929+0.5*(vit_z+H929)*pas</f>
        <v>-13.5095044806847</v>
      </c>
      <c r="L930" s="397" t="n">
        <f aca="false">SQRT(pos_x^2+pos_z^2)</f>
        <v>691.060553551054</v>
      </c>
      <c r="M930" s="396" t="n">
        <f aca="false">IF(AND(L929&gt;L_rampe,G930&gt;0),ATAN2(G930,H930),$M$4)</f>
        <v>-1.47181242057967</v>
      </c>
      <c r="N930" s="397" t="n">
        <f aca="false">DEGREES(Beta)</f>
        <v>-84.3286399341489</v>
      </c>
      <c r="P930" s="399" t="n">
        <f aca="false">MATCH(t-pas/2-T_ini,CdP_t)</f>
        <v>23</v>
      </c>
      <c r="Q930" s="397" t="n">
        <f aca="false">(INDEX(CdP,2,i_P+1)-INDEX(CdP,2,i_P+0))/(INDEX(CdP,1,i_P+1)-INDEX(CdP,1,i_P+0))*(t-pas/2-T_ini-INDEX(CdP,1,i_P+0))+INDEX(CdP,2,i_P+0)</f>
        <v>0</v>
      </c>
      <c r="R930" s="396" t="n">
        <f aca="false">Poussee/(g*ISP)</f>
        <v>0</v>
      </c>
      <c r="S930" s="398" t="n">
        <f aca="false">S929-Débit*pas</f>
        <v>8.45</v>
      </c>
      <c r="T930" s="397" t="n">
        <f aca="false">m*g</f>
        <v>82.8945</v>
      </c>
      <c r="U930" s="400" t="n">
        <f aca="false">IF(pos_xz&lt;L_rampe,Poids*COS(Beta),0)</f>
        <v>0</v>
      </c>
      <c r="V930" s="396" t="n">
        <f aca="false">Rho_moyen*(20000-Alt_rampe-pos_z)/(20000+Alt_rampe+pos_z)</f>
        <v>1.22665603290808</v>
      </c>
      <c r="W930" s="397" t="n">
        <f aca="false">1/2*Rho*Sref*Cx*vit_xz^2</f>
        <v>62.1432782302468</v>
      </c>
      <c r="Y930" s="408" t="str">
        <f aca="false">IF(AND(pos_z&lt;=0,K929&gt;0),"Impact balistique","") &amp; IF(AND(H931&lt;0,vit_z&gt;=0),"Apogée","") &amp; IF(AND(Poussee=0,Q929&gt;0),"Fin de propulsion","") &amp; IF(AND(L931&gt;L_rampe,pos_xz&lt;=L_rampe),"Sortie de rampe","")</f>
        <v/>
      </c>
      <c r="Z930" s="402" t="str">
        <f aca="false">IF(ABS(t-T_para)&lt;pas/2,"Para","")</f>
        <v/>
      </c>
      <c r="AA930" s="403" t="str">
        <f aca="false">IF(ABS(t-T_satellite)&lt;pas/2,"Satellite","")</f>
        <v/>
      </c>
      <c r="AC930" s="399" t="e">
        <f aca="false">IF(ABS(t-ROUND(t,0))&lt;0.001,t,NA())</f>
        <v>#N/A</v>
      </c>
      <c r="AD930" s="404" t="e">
        <f aca="false">IF(ABS(t-ROUND(t,0))&lt;0.001,pos_x,NA())</f>
        <v>#N/A</v>
      </c>
      <c r="AE930" s="405" t="e">
        <f aca="false">IF(t&lt;T_para, pos_z, NA())</f>
        <v>#N/A</v>
      </c>
      <c r="AG930" s="396" t="n">
        <f aca="false">IF(AND(L929&lt;L_rampe,Poussee&lt;Poids*SIN(M929)),0,(-W929+Poussee)/m-Poids*SIN(M929)/m)</f>
        <v>2.40778504312035</v>
      </c>
      <c r="AH930" s="397" t="n">
        <f aca="false">IF(AND(L929&lt;L_rampe,Poussee&lt;Poids*SIN(M929)), g*SIN(M929), (-W929+Poussee)/m)</f>
        <v>-7.35419509676122</v>
      </c>
    </row>
    <row r="931" customFormat="false" ht="12.75" hidden="false" customHeight="false" outlineLevel="0" collapsed="false">
      <c r="A931" s="396" t="n">
        <f aca="false">IF(B930+0.01&lt;=T_ini+ROUNDUP(Temps_fin_propu,0), 0.01, IF(K930&gt;0, 0.1, 0.0001))</f>
        <v>0.0001</v>
      </c>
      <c r="B931" s="397" t="n">
        <f aca="false">B930+pas</f>
        <v>32.1426000000016</v>
      </c>
      <c r="D931" s="396" t="n">
        <f aca="false">IF(AND(L930&lt;L_rampe,Poussee&lt;Poids*SIN(M930)),0,(-W930+Poussee)/m*COS(M930)-U930/m*SIN(M930))</f>
        <v>-0.726762680561336</v>
      </c>
      <c r="E931" s="398" t="n">
        <f aca="false">IF(AND(L930&lt;L_rampe,Poussee&lt;Poids*SIN(M930)),0,(-W930+Poussee)/m*SIN(M930)+U930/m*COS(M930)-Poids/m)</f>
        <v>-2.49176419127323</v>
      </c>
      <c r="F931" s="397" t="n">
        <f aca="false">SQRT(acc_x^2+acc_z^2)</f>
        <v>2.5955871741801</v>
      </c>
      <c r="G931" s="396" t="n">
        <f aca="false">G930+acc_x*pas</f>
        <v>11.466326962491</v>
      </c>
      <c r="H931" s="398" t="n">
        <f aca="false">H930+acc_z*pas</f>
        <v>-115.462722247718</v>
      </c>
      <c r="I931" s="397" t="n">
        <f aca="false">SQRT(vit_x^2+vit_z^2)</f>
        <v>116.03067216415</v>
      </c>
      <c r="J931" s="396" t="n">
        <f aca="false">J930+0.5*(vit_x+G930)*pas*(K930&gt;=0)</f>
        <v>690.928492655337</v>
      </c>
      <c r="K931" s="398" t="n">
        <f aca="false">K930+0.5*(vit_z+H930)*pas</f>
        <v>-13.5210507404506</v>
      </c>
      <c r="L931" s="397" t="n">
        <f aca="false">SQRT(pos_x^2+pos_z^2)</f>
        <v>691.060779364667</v>
      </c>
      <c r="M931" s="396" t="n">
        <f aca="false">IF(AND(L930&gt;L_rampe,G931&gt;0),ATAN2(G931,H931),$M$4)</f>
        <v>-1.47181325608912</v>
      </c>
      <c r="N931" s="397" t="n">
        <f aca="false">DEGREES(Beta)</f>
        <v>-84.3286878053142</v>
      </c>
      <c r="P931" s="399" t="n">
        <f aca="false">MATCH(t-pas/2-T_ini,CdP_t)</f>
        <v>23</v>
      </c>
      <c r="Q931" s="397" t="n">
        <f aca="false">(INDEX(CdP,2,i_P+1)-INDEX(CdP,2,i_P+0))/(INDEX(CdP,1,i_P+1)-INDEX(CdP,1,i_P+0))*(t-pas/2-T_ini-INDEX(CdP,1,i_P+0))+INDEX(CdP,2,i_P+0)</f>
        <v>0</v>
      </c>
      <c r="R931" s="396" t="n">
        <f aca="false">Poussee/(g*ISP)</f>
        <v>0</v>
      </c>
      <c r="S931" s="398" t="n">
        <f aca="false">S930-Débit*pas</f>
        <v>8.45</v>
      </c>
      <c r="T931" s="397" t="n">
        <f aca="false">m*g</f>
        <v>82.8945</v>
      </c>
      <c r="U931" s="400" t="n">
        <f aca="false">IF(pos_xz&lt;L_rampe,Poids*COS(Beta),0)</f>
        <v>0</v>
      </c>
      <c r="V931" s="396" t="n">
        <f aca="false">Rho_moyen*(20000-Alt_rampe-pos_z)/(20000+Alt_rampe+pos_z)</f>
        <v>1.22665744923847</v>
      </c>
      <c r="W931" s="397" t="n">
        <f aca="false">1/2*Rho*Sref*Cx*vit_xz^2</f>
        <v>62.1436078901376</v>
      </c>
      <c r="Y931" s="408" t="str">
        <f aca="false">IF(AND(pos_z&lt;=0,K930&gt;0),"Impact balistique","") &amp; IF(AND(H932&lt;0,vit_z&gt;=0),"Apogée","") &amp; IF(AND(Poussee=0,Q930&gt;0),"Fin de propulsion","") &amp; IF(AND(L932&gt;L_rampe,pos_xz&lt;=L_rampe),"Sortie de rampe","")</f>
        <v/>
      </c>
      <c r="Z931" s="402" t="str">
        <f aca="false">IF(ABS(t-T_para)&lt;pas/2,"Para","")</f>
        <v/>
      </c>
      <c r="AA931" s="403" t="str">
        <f aca="false">IF(ABS(t-T_satellite)&lt;pas/2,"Satellite","")</f>
        <v/>
      </c>
      <c r="AC931" s="399" t="e">
        <f aca="false">IF(ABS(t-ROUND(t,0))&lt;0.001,t,NA())</f>
        <v>#N/A</v>
      </c>
      <c r="AD931" s="404" t="e">
        <f aca="false">IF(ABS(t-ROUND(t,0))&lt;0.001,pos_x,NA())</f>
        <v>#N/A</v>
      </c>
      <c r="AE931" s="405" t="e">
        <f aca="false">IF(t&lt;T_para, pos_z, NA())</f>
        <v>#N/A</v>
      </c>
      <c r="AG931" s="396" t="n">
        <f aca="false">IF(AND(L930&lt;L_rampe,Poussee&lt;Poids*SIN(M930)),0,(-W930+Poussee)/m-Poids*SIN(M930)/m)</f>
        <v>2.40774683978743</v>
      </c>
      <c r="AH931" s="397" t="n">
        <f aca="false">IF(AND(L930&lt;L_rampe,Poussee&lt;Poids*SIN(M930)), g*SIN(M930), (-W930+Poussee)/m)</f>
        <v>-7.35423411008838</v>
      </c>
    </row>
    <row r="932" customFormat="false" ht="12.75" hidden="false" customHeight="false" outlineLevel="0" collapsed="false">
      <c r="A932" s="396" t="n">
        <f aca="false">IF(B931+0.01&lt;=T_ini+ROUNDUP(Temps_fin_propu,0), 0.01, IF(K931&gt;0, 0.1, 0.0001))</f>
        <v>0.0001</v>
      </c>
      <c r="B932" s="397" t="n">
        <f aca="false">B931+pas</f>
        <v>32.1427000000016</v>
      </c>
      <c r="D932" s="396" t="n">
        <f aca="false">IF(AND(L931&lt;L_rampe,Poussee&lt;Poids*SIN(M931)),0,(-W931+Poussee)/m*COS(M931)-U931/m*SIN(M931))</f>
        <v>-0.726760421430196</v>
      </c>
      <c r="E932" s="398" t="n">
        <f aca="false">IF(AND(L931&lt;L_rampe,Poussee&lt;Poids*SIN(M931)),0,(-W931+Poussee)/m*SIN(M931)+U931/m*COS(M931)-Poids/m)</f>
        <v>-2.49172476201573</v>
      </c>
      <c r="F932" s="397" t="n">
        <f aca="false">SQRT(acc_x^2+acc_z^2)</f>
        <v>2.59554868954519</v>
      </c>
      <c r="G932" s="396" t="n">
        <f aca="false">G931+acc_x*pas</f>
        <v>11.4662542864488</v>
      </c>
      <c r="H932" s="398" t="n">
        <f aca="false">H931+acc_z*pas</f>
        <v>-115.462971420194</v>
      </c>
      <c r="I932" s="397" t="n">
        <f aca="false">SQRT(vit_x^2+vit_z^2)</f>
        <v>116.030912935054</v>
      </c>
      <c r="J932" s="396" t="n">
        <f aca="false">J931+0.5*(vit_x+G931)*pas*(K931&gt;=0)</f>
        <v>690.928492655337</v>
      </c>
      <c r="K932" s="398" t="n">
        <f aca="false">K931+0.5*(vit_z+H931)*pas</f>
        <v>-13.532597025134</v>
      </c>
      <c r="L932" s="397" t="n">
        <f aca="false">SQRT(pos_x^2+pos_z^2)</f>
        <v>691.06100537161</v>
      </c>
      <c r="M932" s="396" t="n">
        <f aca="false">IF(AND(L931&gt;L_rampe,G932&gt;0),ATAN2(G932,H932),$M$4)</f>
        <v>-1.47181409158981</v>
      </c>
      <c r="N932" s="397" t="n">
        <f aca="false">DEGREES(Beta)</f>
        <v>-84.3287356759773</v>
      </c>
      <c r="P932" s="399" t="n">
        <f aca="false">MATCH(t-pas/2-T_ini,CdP_t)</f>
        <v>23</v>
      </c>
      <c r="Q932" s="397" t="n">
        <f aca="false">(INDEX(CdP,2,i_P+1)-INDEX(CdP,2,i_P+0))/(INDEX(CdP,1,i_P+1)-INDEX(CdP,1,i_P+0))*(t-pas/2-T_ini-INDEX(CdP,1,i_P+0))+INDEX(CdP,2,i_P+0)</f>
        <v>0</v>
      </c>
      <c r="R932" s="396" t="n">
        <f aca="false">Poussee/(g*ISP)</f>
        <v>0</v>
      </c>
      <c r="S932" s="398" t="n">
        <f aca="false">S931-Débit*pas</f>
        <v>8.45</v>
      </c>
      <c r="T932" s="397" t="n">
        <f aca="false">m*g</f>
        <v>82.8945</v>
      </c>
      <c r="U932" s="400" t="n">
        <f aca="false">IF(pos_xz&lt;L_rampe,Poids*COS(Beta),0)</f>
        <v>0</v>
      </c>
      <c r="V932" s="396" t="n">
        <f aca="false">Rho_moyen*(20000-Alt_rampe-pos_z)/(20000+Alt_rampe+pos_z)</f>
        <v>1.22665886557355</v>
      </c>
      <c r="W932" s="397" t="n">
        <f aca="false">1/2*Rho*Sref*Cx*vit_xz^2</f>
        <v>62.1439375473048</v>
      </c>
      <c r="Y932" s="408" t="str">
        <f aca="false">IF(AND(pos_z&lt;=0,K931&gt;0),"Impact balistique","") &amp; IF(AND(H933&lt;0,vit_z&gt;=0),"Apogée","") &amp; IF(AND(Poussee=0,Q931&gt;0),"Fin de propulsion","") &amp; IF(AND(L933&gt;L_rampe,pos_xz&lt;=L_rampe),"Sortie de rampe","")</f>
        <v/>
      </c>
      <c r="Z932" s="402" t="str">
        <f aca="false">IF(ABS(t-T_para)&lt;pas/2,"Para","")</f>
        <v/>
      </c>
      <c r="AA932" s="403" t="str">
        <f aca="false">IF(ABS(t-T_satellite)&lt;pas/2,"Satellite","")</f>
        <v/>
      </c>
      <c r="AC932" s="399" t="e">
        <f aca="false">IF(ABS(t-ROUND(t,0))&lt;0.001,t,NA())</f>
        <v>#N/A</v>
      </c>
      <c r="AD932" s="404" t="e">
        <f aca="false">IF(ABS(t-ROUND(t,0))&lt;0.001,pos_x,NA())</f>
        <v>#N/A</v>
      </c>
      <c r="AE932" s="405" t="e">
        <f aca="false">IF(t&lt;T_para, pos_z, NA())</f>
        <v>#N/A</v>
      </c>
      <c r="AG932" s="396" t="n">
        <f aca="false">IF(AND(L931&lt;L_rampe,Poussee&lt;Poids*SIN(M931)),0,(-W931+Poussee)/m-Poids*SIN(M931)/m)</f>
        <v>2.40770863676151</v>
      </c>
      <c r="AH932" s="397" t="n">
        <f aca="false">IF(AND(L931&lt;L_rampe,Poussee&lt;Poids*SIN(M931)), g*SIN(M931), (-W931+Poussee)/m)</f>
        <v>-7.35427312309321</v>
      </c>
    </row>
    <row r="933" customFormat="false" ht="12.75" hidden="false" customHeight="false" outlineLevel="0" collapsed="false">
      <c r="A933" s="396" t="n">
        <f aca="false">IF(B932+0.01&lt;=T_ini+ROUNDUP(Temps_fin_propu,0), 0.01, IF(K932&gt;0, 0.1, 0.0001))</f>
        <v>0.0001</v>
      </c>
      <c r="B933" s="397" t="n">
        <f aca="false">B932+pas</f>
        <v>32.1428000000016</v>
      </c>
      <c r="D933" s="396" t="n">
        <f aca="false">IF(AND(L932&lt;L_rampe,Poussee&lt;Poids*SIN(M932)),0,(-W932+Poussee)/m*COS(M932)-U932/m*SIN(M932))</f>
        <v>-0.726758162265956</v>
      </c>
      <c r="E933" s="398" t="n">
        <f aca="false">IF(AND(L932&lt;L_rampe,Poussee&lt;Poids*SIN(M932)),0,(-W932+Poussee)/m*SIN(M932)+U932/m*COS(M932)-Poids/m)</f>
        <v>-2.49168533308401</v>
      </c>
      <c r="F933" s="397" t="n">
        <f aca="false">SQRT(acc_x^2+acc_z^2)</f>
        <v>2.59551020524408</v>
      </c>
      <c r="G933" s="396" t="n">
        <f aca="false">G932+acc_x*pas</f>
        <v>11.4661816106326</v>
      </c>
      <c r="H933" s="398" t="n">
        <f aca="false">H932+acc_z*pas</f>
        <v>-115.463220588727</v>
      </c>
      <c r="I933" s="397" t="n">
        <f aca="false">SQRT(vit_x^2+vit_z^2)</f>
        <v>116.031153702138</v>
      </c>
      <c r="J933" s="396" t="n">
        <f aca="false">J932+0.5*(vit_x+G932)*pas*(K932&gt;=0)</f>
        <v>690.928492655337</v>
      </c>
      <c r="K933" s="398" t="n">
        <f aca="false">K932+0.5*(vit_z+H932)*pas</f>
        <v>-13.5441433347344</v>
      </c>
      <c r="L933" s="397" t="n">
        <f aca="false">SQRT(pos_x^2+pos_z^2)</f>
        <v>691.061231571883</v>
      </c>
      <c r="M933" s="396" t="n">
        <f aca="false">IF(AND(L932&gt;L_rampe,G933&gt;0),ATAN2(G933,H933),$M$4)</f>
        <v>-1.47181492708173</v>
      </c>
      <c r="N933" s="397" t="n">
        <f aca="false">DEGREES(Beta)</f>
        <v>-84.3287835461384</v>
      </c>
      <c r="P933" s="399" t="n">
        <f aca="false">MATCH(t-pas/2-T_ini,CdP_t)</f>
        <v>23</v>
      </c>
      <c r="Q933" s="397" t="n">
        <f aca="false">(INDEX(CdP,2,i_P+1)-INDEX(CdP,2,i_P+0))/(INDEX(CdP,1,i_P+1)-INDEX(CdP,1,i_P+0))*(t-pas/2-T_ini-INDEX(CdP,1,i_P+0))+INDEX(CdP,2,i_P+0)</f>
        <v>0</v>
      </c>
      <c r="R933" s="396" t="n">
        <f aca="false">Poussee/(g*ISP)</f>
        <v>0</v>
      </c>
      <c r="S933" s="398" t="n">
        <f aca="false">S932-Débit*pas</f>
        <v>8.45</v>
      </c>
      <c r="T933" s="397" t="n">
        <f aca="false">m*g</f>
        <v>82.8945</v>
      </c>
      <c r="U933" s="400" t="n">
        <f aca="false">IF(pos_xz&lt;L_rampe,Poids*COS(Beta),0)</f>
        <v>0</v>
      </c>
      <c r="V933" s="396" t="n">
        <f aca="false">Rho_moyen*(20000-Alt_rampe-pos_z)/(20000+Alt_rampe+pos_z)</f>
        <v>1.22666028191332</v>
      </c>
      <c r="W933" s="397" t="n">
        <f aca="false">1/2*Rho*Sref*Cx*vit_xz^2</f>
        <v>62.1442672017483</v>
      </c>
      <c r="Y933" s="408" t="str">
        <f aca="false">IF(AND(pos_z&lt;=0,K932&gt;0),"Impact balistique","") &amp; IF(AND(H934&lt;0,vit_z&gt;=0),"Apogée","") &amp; IF(AND(Poussee=0,Q932&gt;0),"Fin de propulsion","") &amp; IF(AND(L934&gt;L_rampe,pos_xz&lt;=L_rampe),"Sortie de rampe","")</f>
        <v/>
      </c>
      <c r="Z933" s="402" t="str">
        <f aca="false">IF(ABS(t-T_para)&lt;pas/2,"Para","")</f>
        <v/>
      </c>
      <c r="AA933" s="403" t="str">
        <f aca="false">IF(ABS(t-T_satellite)&lt;pas/2,"Satellite","")</f>
        <v/>
      </c>
      <c r="AC933" s="399" t="e">
        <f aca="false">IF(ABS(t-ROUND(t,0))&lt;0.001,t,NA())</f>
        <v>#N/A</v>
      </c>
      <c r="AD933" s="404" t="e">
        <f aca="false">IF(ABS(t-ROUND(t,0))&lt;0.001,pos_x,NA())</f>
        <v>#N/A</v>
      </c>
      <c r="AE933" s="405" t="e">
        <f aca="false">IF(t&lt;T_para, pos_z, NA())</f>
        <v>#N/A</v>
      </c>
      <c r="AG933" s="396" t="n">
        <f aca="false">IF(AND(L932&lt;L_rampe,Poussee&lt;Poids*SIN(M932)),0,(-W932+Poussee)/m-Poids*SIN(M932)/m)</f>
        <v>2.40767043404261</v>
      </c>
      <c r="AH933" s="397" t="n">
        <f aca="false">IF(AND(L932&lt;L_rampe,Poussee&lt;Poids*SIN(M932)), g*SIN(M932), (-W932+Poussee)/m)</f>
        <v>-7.35431213577571</v>
      </c>
    </row>
    <row r="934" customFormat="false" ht="12.75" hidden="false" customHeight="false" outlineLevel="0" collapsed="false">
      <c r="A934" s="396" t="n">
        <f aca="false">IF(B933+0.01&lt;=T_ini+ROUNDUP(Temps_fin_propu,0), 0.01, IF(K933&gt;0, 0.1, 0.0001))</f>
        <v>0.0001</v>
      </c>
      <c r="B934" s="397" t="n">
        <f aca="false">B933+pas</f>
        <v>32.1429000000016</v>
      </c>
      <c r="D934" s="396" t="n">
        <f aca="false">IF(AND(L933&lt;L_rampe,Poussee&lt;Poids*SIN(M933)),0,(-W933+Poussee)/m*COS(M933)-U933/m*SIN(M933))</f>
        <v>-0.726755903068616</v>
      </c>
      <c r="E934" s="398" t="n">
        <f aca="false">IF(AND(L933&lt;L_rampe,Poussee&lt;Poids*SIN(M933)),0,(-W933+Poussee)/m*SIN(M933)+U933/m*COS(M933)-Poids/m)</f>
        <v>-2.49164590447807</v>
      </c>
      <c r="F934" s="397" t="n">
        <f aca="false">SQRT(acc_x^2+acc_z^2)</f>
        <v>2.59547172127678</v>
      </c>
      <c r="G934" s="396" t="n">
        <f aca="false">G933+acc_x*pas</f>
        <v>11.4661089350423</v>
      </c>
      <c r="H934" s="398" t="n">
        <f aca="false">H933+acc_z*pas</f>
        <v>-115.463469753318</v>
      </c>
      <c r="I934" s="397" t="n">
        <f aca="false">SQRT(vit_x^2+vit_z^2)</f>
        <v>116.031394465401</v>
      </c>
      <c r="J934" s="396" t="n">
        <f aca="false">J933+0.5*(vit_x+G933)*pas*(K933&gt;=0)</f>
        <v>690.928492655337</v>
      </c>
      <c r="K934" s="398" t="n">
        <f aca="false">K933+0.5*(vit_z+H933)*pas</f>
        <v>-13.5556896692515</v>
      </c>
      <c r="L934" s="397" t="n">
        <f aca="false">SQRT(pos_x^2+pos_z^2)</f>
        <v>691.061457965487</v>
      </c>
      <c r="M934" s="396" t="n">
        <f aca="false">IF(AND(L933&gt;L_rampe,G934&gt;0),ATAN2(G934,H934),$M$4)</f>
        <v>-1.4718157625649</v>
      </c>
      <c r="N934" s="397" t="n">
        <f aca="false">DEGREES(Beta)</f>
        <v>-84.3288314157974</v>
      </c>
      <c r="P934" s="399" t="n">
        <f aca="false">MATCH(t-pas/2-T_ini,CdP_t)</f>
        <v>23</v>
      </c>
      <c r="Q934" s="397" t="n">
        <f aca="false">(INDEX(CdP,2,i_P+1)-INDEX(CdP,2,i_P+0))/(INDEX(CdP,1,i_P+1)-INDEX(CdP,1,i_P+0))*(t-pas/2-T_ini-INDEX(CdP,1,i_P+0))+INDEX(CdP,2,i_P+0)</f>
        <v>0</v>
      </c>
      <c r="R934" s="396" t="n">
        <f aca="false">Poussee/(g*ISP)</f>
        <v>0</v>
      </c>
      <c r="S934" s="398" t="n">
        <f aca="false">S933-Débit*pas</f>
        <v>8.45</v>
      </c>
      <c r="T934" s="397" t="n">
        <f aca="false">m*g</f>
        <v>82.8945</v>
      </c>
      <c r="U934" s="400" t="n">
        <f aca="false">IF(pos_xz&lt;L_rampe,Poids*COS(Beta),0)</f>
        <v>0</v>
      </c>
      <c r="V934" s="396" t="n">
        <f aca="false">Rho_moyen*(20000-Alt_rampe-pos_z)/(20000+Alt_rampe+pos_z)</f>
        <v>1.22666169825778</v>
      </c>
      <c r="W934" s="397" t="n">
        <f aca="false">1/2*Rho*Sref*Cx*vit_xz^2</f>
        <v>62.1445968534681</v>
      </c>
      <c r="Y934" s="408" t="str">
        <f aca="false">IF(AND(pos_z&lt;=0,K933&gt;0),"Impact balistique","") &amp; IF(AND(H935&lt;0,vit_z&gt;=0),"Apogée","") &amp; IF(AND(Poussee=0,Q933&gt;0),"Fin de propulsion","") &amp; IF(AND(L935&gt;L_rampe,pos_xz&lt;=L_rampe),"Sortie de rampe","")</f>
        <v/>
      </c>
      <c r="Z934" s="402" t="str">
        <f aca="false">IF(ABS(t-T_para)&lt;pas/2,"Para","")</f>
        <v/>
      </c>
      <c r="AA934" s="403" t="str">
        <f aca="false">IF(ABS(t-T_satellite)&lt;pas/2,"Satellite","")</f>
        <v/>
      </c>
      <c r="AC934" s="399" t="e">
        <f aca="false">IF(ABS(t-ROUND(t,0))&lt;0.001,t,NA())</f>
        <v>#N/A</v>
      </c>
      <c r="AD934" s="404" t="e">
        <f aca="false">IF(ABS(t-ROUND(t,0))&lt;0.001,pos_x,NA())</f>
        <v>#N/A</v>
      </c>
      <c r="AE934" s="405" t="e">
        <f aca="false">IF(t&lt;T_para, pos_z, NA())</f>
        <v>#N/A</v>
      </c>
      <c r="AG934" s="396" t="n">
        <f aca="false">IF(AND(L933&lt;L_rampe,Poussee&lt;Poids*SIN(M933)),0,(-W933+Poussee)/m-Poids*SIN(M933)/m)</f>
        <v>2.40763223163073</v>
      </c>
      <c r="AH934" s="397" t="n">
        <f aca="false">IF(AND(L933&lt;L_rampe,Poussee&lt;Poids*SIN(M933)), g*SIN(M933), (-W933+Poussee)/m)</f>
        <v>-7.35435114813589</v>
      </c>
    </row>
    <row r="935" customFormat="false" ht="12.75" hidden="false" customHeight="false" outlineLevel="0" collapsed="false">
      <c r="A935" s="396" t="n">
        <f aca="false">IF(B934+0.01&lt;=T_ini+ROUNDUP(Temps_fin_propu,0), 0.01, IF(K934&gt;0, 0.1, 0.0001))</f>
        <v>0.0001</v>
      </c>
      <c r="B935" s="397" t="n">
        <f aca="false">B934+pas</f>
        <v>32.1430000000016</v>
      </c>
      <c r="D935" s="396" t="n">
        <f aca="false">IF(AND(L934&lt;L_rampe,Poussee&lt;Poids*SIN(M934)),0,(-W934+Poussee)/m*COS(M934)-U934/m*SIN(M934))</f>
        <v>-0.726753643838176</v>
      </c>
      <c r="E935" s="398" t="n">
        <f aca="false">IF(AND(L934&lt;L_rampe,Poussee&lt;Poids*SIN(M934)),0,(-W934+Poussee)/m*SIN(M934)+U934/m*COS(M934)-Poids/m)</f>
        <v>-2.49160647619792</v>
      </c>
      <c r="F935" s="397" t="n">
        <f aca="false">SQRT(acc_x^2+acc_z^2)</f>
        <v>2.59543323764328</v>
      </c>
      <c r="G935" s="396" t="n">
        <f aca="false">G934+acc_x*pas</f>
        <v>11.4660362596779</v>
      </c>
      <c r="H935" s="398" t="n">
        <f aca="false">H934+acc_z*pas</f>
        <v>-115.463718913965</v>
      </c>
      <c r="I935" s="397" t="n">
        <f aca="false">SQRT(vit_x^2+vit_z^2)</f>
        <v>116.031635224845</v>
      </c>
      <c r="J935" s="396" t="n">
        <f aca="false">J934+0.5*(vit_x+G934)*pas*(K934&gt;=0)</f>
        <v>690.928492655337</v>
      </c>
      <c r="K935" s="398" t="n">
        <f aca="false">K934+0.5*(vit_z+H934)*pas</f>
        <v>-13.5672360286849</v>
      </c>
      <c r="L935" s="397" t="n">
        <f aca="false">SQRT(pos_x^2+pos_z^2)</f>
        <v>691.061684552424</v>
      </c>
      <c r="M935" s="396" t="n">
        <f aca="false">IF(AND(L934&gt;L_rampe,G935&gt;0),ATAN2(G935,H935),$M$4)</f>
        <v>-1.47181659803929</v>
      </c>
      <c r="N935" s="397" t="n">
        <f aca="false">DEGREES(Beta)</f>
        <v>-84.3288792849544</v>
      </c>
      <c r="P935" s="399" t="n">
        <f aca="false">MATCH(t-pas/2-T_ini,CdP_t)</f>
        <v>23</v>
      </c>
      <c r="Q935" s="397" t="n">
        <f aca="false">(INDEX(CdP,2,i_P+1)-INDEX(CdP,2,i_P+0))/(INDEX(CdP,1,i_P+1)-INDEX(CdP,1,i_P+0))*(t-pas/2-T_ini-INDEX(CdP,1,i_P+0))+INDEX(CdP,2,i_P+0)</f>
        <v>0</v>
      </c>
      <c r="R935" s="396" t="n">
        <f aca="false">Poussee/(g*ISP)</f>
        <v>0</v>
      </c>
      <c r="S935" s="398" t="n">
        <f aca="false">S934-Débit*pas</f>
        <v>8.45</v>
      </c>
      <c r="T935" s="397" t="n">
        <f aca="false">m*g</f>
        <v>82.8945</v>
      </c>
      <c r="U935" s="400" t="n">
        <f aca="false">IF(pos_xz&lt;L_rampe,Poids*COS(Beta),0)</f>
        <v>0</v>
      </c>
      <c r="V935" s="396" t="n">
        <f aca="false">Rho_moyen*(20000-Alt_rampe-pos_z)/(20000+Alt_rampe+pos_z)</f>
        <v>1.22666311460693</v>
      </c>
      <c r="W935" s="397" t="n">
        <f aca="false">1/2*Rho*Sref*Cx*vit_xz^2</f>
        <v>62.1449265024643</v>
      </c>
      <c r="Y935" s="408" t="str">
        <f aca="false">IF(AND(pos_z&lt;=0,K934&gt;0),"Impact balistique","") &amp; IF(AND(H936&lt;0,vit_z&gt;=0),"Apogée","") &amp; IF(AND(Poussee=0,Q934&gt;0),"Fin de propulsion","") &amp; IF(AND(L936&gt;L_rampe,pos_xz&lt;=L_rampe),"Sortie de rampe","")</f>
        <v/>
      </c>
      <c r="Z935" s="402" t="str">
        <f aca="false">IF(ABS(t-T_para)&lt;pas/2,"Para","")</f>
        <v/>
      </c>
      <c r="AA935" s="403" t="str">
        <f aca="false">IF(ABS(t-T_satellite)&lt;pas/2,"Satellite","")</f>
        <v/>
      </c>
      <c r="AC935" s="399" t="e">
        <f aca="false">IF(ABS(t-ROUND(t,0))&lt;0.001,t,NA())</f>
        <v>#N/A</v>
      </c>
      <c r="AD935" s="404" t="e">
        <f aca="false">IF(ABS(t-ROUND(t,0))&lt;0.001,pos_x,NA())</f>
        <v>#N/A</v>
      </c>
      <c r="AE935" s="405" t="e">
        <f aca="false">IF(t&lt;T_para, pos_z, NA())</f>
        <v>#N/A</v>
      </c>
      <c r="AG935" s="396" t="n">
        <f aca="false">IF(AND(L934&lt;L_rampe,Poussee&lt;Poids*SIN(M934)),0,(-W934+Poussee)/m-Poids*SIN(M934)/m)</f>
        <v>2.40759402952587</v>
      </c>
      <c r="AH935" s="397" t="n">
        <f aca="false">IF(AND(L934&lt;L_rampe,Poussee&lt;Poids*SIN(M934)), g*SIN(M934), (-W934+Poussee)/m)</f>
        <v>-7.35439016017374</v>
      </c>
    </row>
    <row r="936" customFormat="false" ht="12.75" hidden="false" customHeight="false" outlineLevel="0" collapsed="false">
      <c r="A936" s="396" t="n">
        <f aca="false">IF(B935+0.01&lt;=T_ini+ROUNDUP(Temps_fin_propu,0), 0.01, IF(K935&gt;0, 0.1, 0.0001))</f>
        <v>0.0001</v>
      </c>
      <c r="B936" s="397" t="n">
        <f aca="false">B935+pas</f>
        <v>32.1431000000016</v>
      </c>
      <c r="D936" s="396" t="n">
        <f aca="false">IF(AND(L935&lt;L_rampe,Poussee&lt;Poids*SIN(M935)),0,(-W935+Poussee)/m*COS(M935)-U935/m*SIN(M935))</f>
        <v>-0.726751384574638</v>
      </c>
      <c r="E936" s="398" t="n">
        <f aca="false">IF(AND(L935&lt;L_rampe,Poussee&lt;Poids*SIN(M935)),0,(-W935+Poussee)/m*SIN(M935)+U935/m*COS(M935)-Poids/m)</f>
        <v>-2.49156704824355</v>
      </c>
      <c r="F936" s="397" t="n">
        <f aca="false">SQRT(acc_x^2+acc_z^2)</f>
        <v>2.59539475434359</v>
      </c>
      <c r="G936" s="396" t="n">
        <f aca="false">G935+acc_x*pas</f>
        <v>11.4659635845395</v>
      </c>
      <c r="H936" s="398" t="n">
        <f aca="false">H935+acc_z*pas</f>
        <v>-115.46396807067</v>
      </c>
      <c r="I936" s="397" t="n">
        <f aca="false">SQRT(vit_x^2+vit_z^2)</f>
        <v>116.031875980468</v>
      </c>
      <c r="J936" s="396" t="n">
        <f aca="false">J935+0.5*(vit_x+G935)*pas*(K935&gt;=0)</f>
        <v>690.928492655337</v>
      </c>
      <c r="K936" s="398" t="n">
        <f aca="false">K935+0.5*(vit_z+H935)*pas</f>
        <v>-13.5787824130341</v>
      </c>
      <c r="L936" s="397" t="n">
        <f aca="false">SQRT(pos_x^2+pos_z^2)</f>
        <v>691.061911332694</v>
      </c>
      <c r="M936" s="396" t="n">
        <f aca="false">IF(AND(L935&gt;L_rampe,G936&gt;0),ATAN2(G936,H936),$M$4)</f>
        <v>-1.47181743350493</v>
      </c>
      <c r="N936" s="397" t="n">
        <f aca="false">DEGREES(Beta)</f>
        <v>-84.3289271536092</v>
      </c>
      <c r="P936" s="399" t="n">
        <f aca="false">MATCH(t-pas/2-T_ini,CdP_t)</f>
        <v>23</v>
      </c>
      <c r="Q936" s="397" t="n">
        <f aca="false">(INDEX(CdP,2,i_P+1)-INDEX(CdP,2,i_P+0))/(INDEX(CdP,1,i_P+1)-INDEX(CdP,1,i_P+0))*(t-pas/2-T_ini-INDEX(CdP,1,i_P+0))+INDEX(CdP,2,i_P+0)</f>
        <v>0</v>
      </c>
      <c r="R936" s="396" t="n">
        <f aca="false">Poussee/(g*ISP)</f>
        <v>0</v>
      </c>
      <c r="S936" s="398" t="n">
        <f aca="false">S935-Débit*pas</f>
        <v>8.45</v>
      </c>
      <c r="T936" s="397" t="n">
        <f aca="false">m*g</f>
        <v>82.8945</v>
      </c>
      <c r="U936" s="400" t="n">
        <f aca="false">IF(pos_xz&lt;L_rampe,Poids*COS(Beta),0)</f>
        <v>0</v>
      </c>
      <c r="V936" s="396" t="n">
        <f aca="false">Rho_moyen*(20000-Alt_rampe-pos_z)/(20000+Alt_rampe+pos_z)</f>
        <v>1.22666453096078</v>
      </c>
      <c r="W936" s="397" t="n">
        <f aca="false">1/2*Rho*Sref*Cx*vit_xz^2</f>
        <v>62.1452561487368</v>
      </c>
      <c r="Y936" s="408" t="str">
        <f aca="false">IF(AND(pos_z&lt;=0,K935&gt;0),"Impact balistique","") &amp; IF(AND(H937&lt;0,vit_z&gt;=0),"Apogée","") &amp; IF(AND(Poussee=0,Q935&gt;0),"Fin de propulsion","") &amp; IF(AND(L937&gt;L_rampe,pos_xz&lt;=L_rampe),"Sortie de rampe","")</f>
        <v/>
      </c>
      <c r="Z936" s="402" t="str">
        <f aca="false">IF(ABS(t-T_para)&lt;pas/2,"Para","")</f>
        <v/>
      </c>
      <c r="AA936" s="403" t="str">
        <f aca="false">IF(ABS(t-T_satellite)&lt;pas/2,"Satellite","")</f>
        <v/>
      </c>
      <c r="AC936" s="399" t="e">
        <f aca="false">IF(ABS(t-ROUND(t,0))&lt;0.001,t,NA())</f>
        <v>#N/A</v>
      </c>
      <c r="AD936" s="404" t="e">
        <f aca="false">IF(ABS(t-ROUND(t,0))&lt;0.001,pos_x,NA())</f>
        <v>#N/A</v>
      </c>
      <c r="AE936" s="405" t="e">
        <f aca="false">IF(t&lt;T_para, pos_z, NA())</f>
        <v>#N/A</v>
      </c>
      <c r="AG936" s="396" t="n">
        <f aca="false">IF(AND(L935&lt;L_rampe,Poussee&lt;Poids*SIN(M935)),0,(-W935+Poussee)/m-Poids*SIN(M935)/m)</f>
        <v>2.40755582772803</v>
      </c>
      <c r="AH936" s="397" t="n">
        <f aca="false">IF(AND(L935&lt;L_rampe,Poussee&lt;Poids*SIN(M935)), g*SIN(M935), (-W935+Poussee)/m)</f>
        <v>-7.35442917188926</v>
      </c>
    </row>
    <row r="937" customFormat="false" ht="12.75" hidden="false" customHeight="false" outlineLevel="0" collapsed="false">
      <c r="A937" s="396" t="n">
        <f aca="false">IF(B936+0.01&lt;=T_ini+ROUNDUP(Temps_fin_propu,0), 0.01, IF(K936&gt;0, 0.1, 0.0001))</f>
        <v>0.0001</v>
      </c>
      <c r="B937" s="397" t="n">
        <f aca="false">B936+pas</f>
        <v>32.1432000000016</v>
      </c>
      <c r="D937" s="396" t="n">
        <f aca="false">IF(AND(L936&lt;L_rampe,Poussee&lt;Poids*SIN(M936)),0,(-W936+Poussee)/m*COS(M936)-U936/m*SIN(M936))</f>
        <v>-0.726749125278001</v>
      </c>
      <c r="E937" s="398" t="n">
        <f aca="false">IF(AND(L936&lt;L_rampe,Poussee&lt;Poids*SIN(M936)),0,(-W936+Poussee)/m*SIN(M936)+U936/m*COS(M936)-Poids/m)</f>
        <v>-2.49152762061496</v>
      </c>
      <c r="F937" s="397" t="n">
        <f aca="false">SQRT(acc_x^2+acc_z^2)</f>
        <v>2.59535627137771</v>
      </c>
      <c r="G937" s="396" t="n">
        <f aca="false">G936+acc_x*pas</f>
        <v>11.4658909096269</v>
      </c>
      <c r="H937" s="398" t="n">
        <f aca="false">H936+acc_z*pas</f>
        <v>-115.464217223432</v>
      </c>
      <c r="I937" s="397" t="n">
        <f aca="false">SQRT(vit_x^2+vit_z^2)</f>
        <v>116.032116732271</v>
      </c>
      <c r="J937" s="396" t="n">
        <f aca="false">J936+0.5*(vit_x+G936)*pas*(K936&gt;=0)</f>
        <v>690.928492655337</v>
      </c>
      <c r="K937" s="398" t="n">
        <f aca="false">K936+0.5*(vit_z+H936)*pas</f>
        <v>-13.5903288222988</v>
      </c>
      <c r="L937" s="397" t="n">
        <f aca="false">SQRT(pos_x^2+pos_z^2)</f>
        <v>691.062138306299</v>
      </c>
      <c r="M937" s="396" t="n">
        <f aca="false">IF(AND(L936&gt;L_rampe,G937&gt;0),ATAN2(G937,H937),$M$4)</f>
        <v>-1.47181826896181</v>
      </c>
      <c r="N937" s="397" t="n">
        <f aca="false">DEGREES(Beta)</f>
        <v>-84.3289750217621</v>
      </c>
      <c r="P937" s="399" t="n">
        <f aca="false">MATCH(t-pas/2-T_ini,CdP_t)</f>
        <v>23</v>
      </c>
      <c r="Q937" s="397" t="n">
        <f aca="false">(INDEX(CdP,2,i_P+1)-INDEX(CdP,2,i_P+0))/(INDEX(CdP,1,i_P+1)-INDEX(CdP,1,i_P+0))*(t-pas/2-T_ini-INDEX(CdP,1,i_P+0))+INDEX(CdP,2,i_P+0)</f>
        <v>0</v>
      </c>
      <c r="R937" s="396" t="n">
        <f aca="false">Poussee/(g*ISP)</f>
        <v>0</v>
      </c>
      <c r="S937" s="398" t="n">
        <f aca="false">S936-Débit*pas</f>
        <v>8.45</v>
      </c>
      <c r="T937" s="397" t="n">
        <f aca="false">m*g</f>
        <v>82.8945</v>
      </c>
      <c r="U937" s="400" t="n">
        <f aca="false">IF(pos_xz&lt;L_rampe,Poids*COS(Beta),0)</f>
        <v>0</v>
      </c>
      <c r="V937" s="396" t="n">
        <f aca="false">Rho_moyen*(20000-Alt_rampe-pos_z)/(20000+Alt_rampe+pos_z)</f>
        <v>1.22666594731933</v>
      </c>
      <c r="W937" s="397" t="n">
        <f aca="false">1/2*Rho*Sref*Cx*vit_xz^2</f>
        <v>62.1455857922856</v>
      </c>
      <c r="Y937" s="408" t="str">
        <f aca="false">IF(AND(pos_z&lt;=0,K936&gt;0),"Impact balistique","") &amp; IF(AND(H938&lt;0,vit_z&gt;=0),"Apogée","") &amp; IF(AND(Poussee=0,Q936&gt;0),"Fin de propulsion","") &amp; IF(AND(L938&gt;L_rampe,pos_xz&lt;=L_rampe),"Sortie de rampe","")</f>
        <v/>
      </c>
      <c r="Z937" s="402" t="str">
        <f aca="false">IF(ABS(t-T_para)&lt;pas/2,"Para","")</f>
        <v/>
      </c>
      <c r="AA937" s="403" t="str">
        <f aca="false">IF(ABS(t-T_satellite)&lt;pas/2,"Satellite","")</f>
        <v/>
      </c>
      <c r="AC937" s="399" t="e">
        <f aca="false">IF(ABS(t-ROUND(t,0))&lt;0.001,t,NA())</f>
        <v>#N/A</v>
      </c>
      <c r="AD937" s="404" t="e">
        <f aca="false">IF(ABS(t-ROUND(t,0))&lt;0.001,pos_x,NA())</f>
        <v>#N/A</v>
      </c>
      <c r="AE937" s="405" t="e">
        <f aca="false">IF(t&lt;T_para, pos_z, NA())</f>
        <v>#N/A</v>
      </c>
      <c r="AG937" s="396" t="n">
        <f aca="false">IF(AND(L936&lt;L_rampe,Poussee&lt;Poids*SIN(M936)),0,(-W936+Poussee)/m-Poids*SIN(M936)/m)</f>
        <v>2.4075176262372</v>
      </c>
      <c r="AH937" s="397" t="n">
        <f aca="false">IF(AND(L936&lt;L_rampe,Poussee&lt;Poids*SIN(M936)), g*SIN(M936), (-W936+Poussee)/m)</f>
        <v>-7.35446818328246</v>
      </c>
    </row>
    <row r="938" customFormat="false" ht="12.75" hidden="false" customHeight="false" outlineLevel="0" collapsed="false">
      <c r="A938" s="396" t="n">
        <f aca="false">IF(B937+0.01&lt;=T_ini+ROUNDUP(Temps_fin_propu,0), 0.01, IF(K937&gt;0, 0.1, 0.0001))</f>
        <v>0.0001</v>
      </c>
      <c r="B938" s="397" t="n">
        <f aca="false">B937+pas</f>
        <v>32.1433000000016</v>
      </c>
      <c r="D938" s="396" t="n">
        <f aca="false">IF(AND(L937&lt;L_rampe,Poussee&lt;Poids*SIN(M937)),0,(-W937+Poussee)/m*COS(M937)-U937/m*SIN(M937))</f>
        <v>-0.726746865948267</v>
      </c>
      <c r="E938" s="398" t="n">
        <f aca="false">IF(AND(L937&lt;L_rampe,Poussee&lt;Poids*SIN(M937)),0,(-W937+Poussee)/m*SIN(M937)+U937/m*COS(M937)-Poids/m)</f>
        <v>-2.49148819331217</v>
      </c>
      <c r="F938" s="397" t="n">
        <f aca="false">SQRT(acc_x^2+acc_z^2)</f>
        <v>2.59531778874564</v>
      </c>
      <c r="G938" s="396" t="n">
        <f aca="false">G937+acc_x*pas</f>
        <v>11.4658182349403</v>
      </c>
      <c r="H938" s="398" t="n">
        <f aca="false">H937+acc_z*pas</f>
        <v>-115.464466372252</v>
      </c>
      <c r="I938" s="397" t="n">
        <f aca="false">SQRT(vit_x^2+vit_z^2)</f>
        <v>116.032357480254</v>
      </c>
      <c r="J938" s="396" t="n">
        <f aca="false">J937+0.5*(vit_x+G937)*pas*(K937&gt;=0)</f>
        <v>690.928492655337</v>
      </c>
      <c r="K938" s="398" t="n">
        <f aca="false">K937+0.5*(vit_z+H937)*pas</f>
        <v>-13.6018752564786</v>
      </c>
      <c r="L938" s="397" t="n">
        <f aca="false">SQRT(pos_x^2+pos_z^2)</f>
        <v>691.062365473239</v>
      </c>
      <c r="M938" s="396" t="n">
        <f aca="false">IF(AND(L937&gt;L_rampe,G938&gt;0),ATAN2(G938,H938),$M$4)</f>
        <v>-1.47181910440992</v>
      </c>
      <c r="N938" s="397" t="n">
        <f aca="false">DEGREES(Beta)</f>
        <v>-84.3290228894129</v>
      </c>
      <c r="P938" s="399" t="n">
        <f aca="false">MATCH(t-pas/2-T_ini,CdP_t)</f>
        <v>23</v>
      </c>
      <c r="Q938" s="397" t="n">
        <f aca="false">(INDEX(CdP,2,i_P+1)-INDEX(CdP,2,i_P+0))/(INDEX(CdP,1,i_P+1)-INDEX(CdP,1,i_P+0))*(t-pas/2-T_ini-INDEX(CdP,1,i_P+0))+INDEX(CdP,2,i_P+0)</f>
        <v>0</v>
      </c>
      <c r="R938" s="396" t="n">
        <f aca="false">Poussee/(g*ISP)</f>
        <v>0</v>
      </c>
      <c r="S938" s="398" t="n">
        <f aca="false">S937-Débit*pas</f>
        <v>8.45</v>
      </c>
      <c r="T938" s="397" t="n">
        <f aca="false">m*g</f>
        <v>82.8945</v>
      </c>
      <c r="U938" s="400" t="n">
        <f aca="false">IF(pos_xz&lt;L_rampe,Poids*COS(Beta),0)</f>
        <v>0</v>
      </c>
      <c r="V938" s="396" t="n">
        <f aca="false">Rho_moyen*(20000-Alt_rampe-pos_z)/(20000+Alt_rampe+pos_z)</f>
        <v>1.22666736368256</v>
      </c>
      <c r="W938" s="397" t="n">
        <f aca="false">1/2*Rho*Sref*Cx*vit_xz^2</f>
        <v>62.1459154331108</v>
      </c>
      <c r="Y938" s="408" t="str">
        <f aca="false">IF(AND(pos_z&lt;=0,K937&gt;0),"Impact balistique","") &amp; IF(AND(H939&lt;0,vit_z&gt;=0),"Apogée","") &amp; IF(AND(Poussee=0,Q937&gt;0),"Fin de propulsion","") &amp; IF(AND(L939&gt;L_rampe,pos_xz&lt;=L_rampe),"Sortie de rampe","")</f>
        <v/>
      </c>
      <c r="Z938" s="402" t="str">
        <f aca="false">IF(ABS(t-T_para)&lt;pas/2,"Para","")</f>
        <v/>
      </c>
      <c r="AA938" s="403" t="str">
        <f aca="false">IF(ABS(t-T_satellite)&lt;pas/2,"Satellite","")</f>
        <v/>
      </c>
      <c r="AC938" s="399" t="e">
        <f aca="false">IF(ABS(t-ROUND(t,0))&lt;0.001,t,NA())</f>
        <v>#N/A</v>
      </c>
      <c r="AD938" s="404" t="e">
        <f aca="false">IF(ABS(t-ROUND(t,0))&lt;0.001,pos_x,NA())</f>
        <v>#N/A</v>
      </c>
      <c r="AE938" s="405" t="e">
        <f aca="false">IF(t&lt;T_para, pos_z, NA())</f>
        <v>#N/A</v>
      </c>
      <c r="AG938" s="396" t="n">
        <f aca="false">IF(AND(L937&lt;L_rampe,Poussee&lt;Poids*SIN(M937)),0,(-W937+Poussee)/m-Poids*SIN(M937)/m)</f>
        <v>2.4074794250534</v>
      </c>
      <c r="AH938" s="397" t="n">
        <f aca="false">IF(AND(L937&lt;L_rampe,Poussee&lt;Poids*SIN(M937)), g*SIN(M937), (-W937+Poussee)/m)</f>
        <v>-7.35450719435332</v>
      </c>
    </row>
    <row r="939" customFormat="false" ht="12.75" hidden="false" customHeight="false" outlineLevel="0" collapsed="false">
      <c r="A939" s="396" t="n">
        <f aca="false">IF(B938+0.01&lt;=T_ini+ROUNDUP(Temps_fin_propu,0), 0.01, IF(K938&gt;0, 0.1, 0.0001))</f>
        <v>0.0001</v>
      </c>
      <c r="B939" s="397" t="n">
        <f aca="false">B938+pas</f>
        <v>32.1434000000016</v>
      </c>
      <c r="D939" s="396" t="n">
        <f aca="false">IF(AND(L938&lt;L_rampe,Poussee&lt;Poids*SIN(M938)),0,(-W938+Poussee)/m*COS(M938)-U938/m*SIN(M938))</f>
        <v>-0.726744606585438</v>
      </c>
      <c r="E939" s="398" t="n">
        <f aca="false">IF(AND(L938&lt;L_rampe,Poussee&lt;Poids*SIN(M938)),0,(-W938+Poussee)/m*SIN(M938)+U938/m*COS(M938)-Poids/m)</f>
        <v>-2.49144876633516</v>
      </c>
      <c r="F939" s="397" t="n">
        <f aca="false">SQRT(acc_x^2+acc_z^2)</f>
        <v>2.59527930644738</v>
      </c>
      <c r="G939" s="396" t="n">
        <f aca="false">G938+acc_x*pas</f>
        <v>11.4657455604797</v>
      </c>
      <c r="H939" s="398" t="n">
        <f aca="false">H938+acc_z*pas</f>
        <v>-115.464715517128</v>
      </c>
      <c r="I939" s="397" t="n">
        <f aca="false">SQRT(vit_x^2+vit_z^2)</f>
        <v>116.032598224417</v>
      </c>
      <c r="J939" s="396" t="n">
        <f aca="false">J938+0.5*(vit_x+G938)*pas*(K938&gt;=0)</f>
        <v>690.928492655337</v>
      </c>
      <c r="K939" s="398" t="n">
        <f aca="false">K938+0.5*(vit_z+H938)*pas</f>
        <v>-13.6134217155731</v>
      </c>
      <c r="L939" s="397" t="n">
        <f aca="false">SQRT(pos_x^2+pos_z^2)</f>
        <v>691.062592833516</v>
      </c>
      <c r="M939" s="396" t="n">
        <f aca="false">IF(AND(L938&gt;L_rampe,G939&gt;0),ATAN2(G939,H939),$M$4)</f>
        <v>-1.47181993984927</v>
      </c>
      <c r="N939" s="397" t="n">
        <f aca="false">DEGREES(Beta)</f>
        <v>-84.3290707565616</v>
      </c>
      <c r="P939" s="399" t="n">
        <f aca="false">MATCH(t-pas/2-T_ini,CdP_t)</f>
        <v>23</v>
      </c>
      <c r="Q939" s="397" t="n">
        <f aca="false">(INDEX(CdP,2,i_P+1)-INDEX(CdP,2,i_P+0))/(INDEX(CdP,1,i_P+1)-INDEX(CdP,1,i_P+0))*(t-pas/2-T_ini-INDEX(CdP,1,i_P+0))+INDEX(CdP,2,i_P+0)</f>
        <v>0</v>
      </c>
      <c r="R939" s="396" t="n">
        <f aca="false">Poussee/(g*ISP)</f>
        <v>0</v>
      </c>
      <c r="S939" s="398" t="n">
        <f aca="false">S938-Débit*pas</f>
        <v>8.45</v>
      </c>
      <c r="T939" s="397" t="n">
        <f aca="false">m*g</f>
        <v>82.8945</v>
      </c>
      <c r="U939" s="400" t="n">
        <f aca="false">IF(pos_xz&lt;L_rampe,Poids*COS(Beta),0)</f>
        <v>0</v>
      </c>
      <c r="V939" s="396" t="n">
        <f aca="false">Rho_moyen*(20000-Alt_rampe-pos_z)/(20000+Alt_rampe+pos_z)</f>
        <v>1.22666878005049</v>
      </c>
      <c r="W939" s="397" t="n">
        <f aca="false">1/2*Rho*Sref*Cx*vit_xz^2</f>
        <v>62.1462450712122</v>
      </c>
      <c r="Y939" s="408" t="str">
        <f aca="false">IF(AND(pos_z&lt;=0,K938&gt;0),"Impact balistique","") &amp; IF(AND(H940&lt;0,vit_z&gt;=0),"Apogée","") &amp; IF(AND(Poussee=0,Q938&gt;0),"Fin de propulsion","") &amp; IF(AND(L940&gt;L_rampe,pos_xz&lt;=L_rampe),"Sortie de rampe","")</f>
        <v/>
      </c>
      <c r="Z939" s="402" t="str">
        <f aca="false">IF(ABS(t-T_para)&lt;pas/2,"Para","")</f>
        <v/>
      </c>
      <c r="AA939" s="403" t="str">
        <f aca="false">IF(ABS(t-T_satellite)&lt;pas/2,"Satellite","")</f>
        <v/>
      </c>
      <c r="AC939" s="399" t="e">
        <f aca="false">IF(ABS(t-ROUND(t,0))&lt;0.001,t,NA())</f>
        <v>#N/A</v>
      </c>
      <c r="AD939" s="404" t="e">
        <f aca="false">IF(ABS(t-ROUND(t,0))&lt;0.001,pos_x,NA())</f>
        <v>#N/A</v>
      </c>
      <c r="AE939" s="405" t="e">
        <f aca="false">IF(t&lt;T_para, pos_z, NA())</f>
        <v>#N/A</v>
      </c>
      <c r="AG939" s="396" t="n">
        <f aca="false">IF(AND(L938&lt;L_rampe,Poussee&lt;Poids*SIN(M938)),0,(-W938+Poussee)/m-Poids*SIN(M938)/m)</f>
        <v>2.40744122417661</v>
      </c>
      <c r="AH939" s="397" t="n">
        <f aca="false">IF(AND(L938&lt;L_rampe,Poussee&lt;Poids*SIN(M938)), g*SIN(M938), (-W938+Poussee)/m)</f>
        <v>-7.35454620510187</v>
      </c>
    </row>
    <row r="940" customFormat="false" ht="12.75" hidden="false" customHeight="false" outlineLevel="0" collapsed="false">
      <c r="A940" s="396" t="n">
        <f aca="false">IF(B939+0.01&lt;=T_ini+ROUNDUP(Temps_fin_propu,0), 0.01, IF(K939&gt;0, 0.1, 0.0001))</f>
        <v>0.0001</v>
      </c>
      <c r="B940" s="397" t="n">
        <f aca="false">B939+pas</f>
        <v>32.1435000000016</v>
      </c>
      <c r="D940" s="396" t="n">
        <f aca="false">IF(AND(L939&lt;L_rampe,Poussee&lt;Poids*SIN(M939)),0,(-W939+Poussee)/m*COS(M939)-U939/m*SIN(M939))</f>
        <v>-0.726742347189513</v>
      </c>
      <c r="E940" s="398" t="n">
        <f aca="false">IF(AND(L939&lt;L_rampe,Poussee&lt;Poids*SIN(M939)),0,(-W939+Poussee)/m*SIN(M939)+U939/m*COS(M939)-Poids/m)</f>
        <v>-2.49140933968393</v>
      </c>
      <c r="F940" s="397" t="n">
        <f aca="false">SQRT(acc_x^2+acc_z^2)</f>
        <v>2.59524082448293</v>
      </c>
      <c r="G940" s="396" t="n">
        <f aca="false">G939+acc_x*pas</f>
        <v>11.465672886245</v>
      </c>
      <c r="H940" s="398" t="n">
        <f aca="false">H939+acc_z*pas</f>
        <v>-115.464964658062</v>
      </c>
      <c r="I940" s="397" t="n">
        <f aca="false">SQRT(vit_x^2+vit_z^2)</f>
        <v>116.03283896476</v>
      </c>
      <c r="J940" s="396" t="n">
        <f aca="false">J939+0.5*(vit_x+G939)*pas*(K939&gt;=0)</f>
        <v>690.928492655337</v>
      </c>
      <c r="K940" s="398" t="n">
        <f aca="false">K939+0.5*(vit_z+H939)*pas</f>
        <v>-13.6249681995819</v>
      </c>
      <c r="L940" s="397" t="n">
        <f aca="false">SQRT(pos_x^2+pos_z^2)</f>
        <v>691.062820387131</v>
      </c>
      <c r="M940" s="396" t="n">
        <f aca="false">IF(AND(L939&gt;L_rampe,G940&gt;0),ATAN2(G940,H940),$M$4)</f>
        <v>-1.47182077527985</v>
      </c>
      <c r="N940" s="397" t="n">
        <f aca="false">DEGREES(Beta)</f>
        <v>-84.3291186232084</v>
      </c>
      <c r="P940" s="399" t="n">
        <f aca="false">MATCH(t-pas/2-T_ini,CdP_t)</f>
        <v>23</v>
      </c>
      <c r="Q940" s="397" t="n">
        <f aca="false">(INDEX(CdP,2,i_P+1)-INDEX(CdP,2,i_P+0))/(INDEX(CdP,1,i_P+1)-INDEX(CdP,1,i_P+0))*(t-pas/2-T_ini-INDEX(CdP,1,i_P+0))+INDEX(CdP,2,i_P+0)</f>
        <v>0</v>
      </c>
      <c r="R940" s="396" t="n">
        <f aca="false">Poussee/(g*ISP)</f>
        <v>0</v>
      </c>
      <c r="S940" s="398" t="n">
        <f aca="false">S939-Débit*pas</f>
        <v>8.45</v>
      </c>
      <c r="T940" s="397" t="n">
        <f aca="false">m*g</f>
        <v>82.8945</v>
      </c>
      <c r="U940" s="400" t="n">
        <f aca="false">IF(pos_xz&lt;L_rampe,Poids*COS(Beta),0)</f>
        <v>0</v>
      </c>
      <c r="V940" s="396" t="n">
        <f aca="false">Rho_moyen*(20000-Alt_rampe-pos_z)/(20000+Alt_rampe+pos_z)</f>
        <v>1.22667019642311</v>
      </c>
      <c r="W940" s="397" t="n">
        <f aca="false">1/2*Rho*Sref*Cx*vit_xz^2</f>
        <v>62.14657470659</v>
      </c>
      <c r="Y940" s="408" t="str">
        <f aca="false">IF(AND(pos_z&lt;=0,K939&gt;0),"Impact balistique","") &amp; IF(AND(H941&lt;0,vit_z&gt;=0),"Apogée","") &amp; IF(AND(Poussee=0,Q939&gt;0),"Fin de propulsion","") &amp; IF(AND(L941&gt;L_rampe,pos_xz&lt;=L_rampe),"Sortie de rampe","")</f>
        <v/>
      </c>
      <c r="Z940" s="402" t="str">
        <f aca="false">IF(ABS(t-T_para)&lt;pas/2,"Para","")</f>
        <v/>
      </c>
      <c r="AA940" s="403" t="str">
        <f aca="false">IF(ABS(t-T_satellite)&lt;pas/2,"Satellite","")</f>
        <v/>
      </c>
      <c r="AC940" s="399" t="e">
        <f aca="false">IF(ABS(t-ROUND(t,0))&lt;0.001,t,NA())</f>
        <v>#N/A</v>
      </c>
      <c r="AD940" s="404" t="e">
        <f aca="false">IF(ABS(t-ROUND(t,0))&lt;0.001,pos_x,NA())</f>
        <v>#N/A</v>
      </c>
      <c r="AE940" s="405" t="e">
        <f aca="false">IF(t&lt;T_para, pos_z, NA())</f>
        <v>#N/A</v>
      </c>
      <c r="AG940" s="396" t="n">
        <f aca="false">IF(AND(L939&lt;L_rampe,Poussee&lt;Poids*SIN(M939)),0,(-W939+Poussee)/m-Poids*SIN(M939)/m)</f>
        <v>2.40740302360685</v>
      </c>
      <c r="AH940" s="397" t="n">
        <f aca="false">IF(AND(L939&lt;L_rampe,Poussee&lt;Poids*SIN(M939)), g*SIN(M939), (-W939+Poussee)/m)</f>
        <v>-7.35458521552808</v>
      </c>
    </row>
    <row r="941" customFormat="false" ht="12.75" hidden="false" customHeight="false" outlineLevel="0" collapsed="false">
      <c r="A941" s="396" t="n">
        <f aca="false">IF(B940+0.01&lt;=T_ini+ROUNDUP(Temps_fin_propu,0), 0.01, IF(K940&gt;0, 0.1, 0.0001))</f>
        <v>0.0001</v>
      </c>
      <c r="B941" s="397" t="n">
        <f aca="false">B940+pas</f>
        <v>32.1436000000016</v>
      </c>
      <c r="D941" s="396" t="n">
        <f aca="false">IF(AND(L940&lt;L_rampe,Poussee&lt;Poids*SIN(M940)),0,(-W940+Poussee)/m*COS(M940)-U940/m*SIN(M940))</f>
        <v>-0.726740087760492</v>
      </c>
      <c r="E941" s="398" t="n">
        <f aca="false">IF(AND(L940&lt;L_rampe,Poussee&lt;Poids*SIN(M940)),0,(-W940+Poussee)/m*SIN(M940)+U940/m*COS(M940)-Poids/m)</f>
        <v>-2.49136991335849</v>
      </c>
      <c r="F941" s="397" t="n">
        <f aca="false">SQRT(acc_x^2+acc_z^2)</f>
        <v>2.59520234285229</v>
      </c>
      <c r="G941" s="396" t="n">
        <f aca="false">G940+acc_x*pas</f>
        <v>11.4656002122362</v>
      </c>
      <c r="H941" s="398" t="n">
        <f aca="false">H940+acc_z*pas</f>
        <v>-115.465213795054</v>
      </c>
      <c r="I941" s="397" t="n">
        <f aca="false">SQRT(vit_x^2+vit_z^2)</f>
        <v>116.033079701283</v>
      </c>
      <c r="J941" s="396" t="n">
        <f aca="false">J940+0.5*(vit_x+G940)*pas*(K940&gt;=0)</f>
        <v>690.928492655337</v>
      </c>
      <c r="K941" s="398" t="n">
        <f aca="false">K940+0.5*(vit_z+H940)*pas</f>
        <v>-13.6365147085045</v>
      </c>
      <c r="L941" s="397" t="n">
        <f aca="false">SQRT(pos_x^2+pos_z^2)</f>
        <v>691.063048134084</v>
      </c>
      <c r="M941" s="396" t="n">
        <f aca="false">IF(AND(L940&gt;L_rampe,G941&gt;0),ATAN2(G941,H941),$M$4)</f>
        <v>-1.47182161070168</v>
      </c>
      <c r="N941" s="397" t="n">
        <f aca="false">DEGREES(Beta)</f>
        <v>-84.3291664893531</v>
      </c>
      <c r="P941" s="399" t="n">
        <f aca="false">MATCH(t-pas/2-T_ini,CdP_t)</f>
        <v>23</v>
      </c>
      <c r="Q941" s="397" t="n">
        <f aca="false">(INDEX(CdP,2,i_P+1)-INDEX(CdP,2,i_P+0))/(INDEX(CdP,1,i_P+1)-INDEX(CdP,1,i_P+0))*(t-pas/2-T_ini-INDEX(CdP,1,i_P+0))+INDEX(CdP,2,i_P+0)</f>
        <v>0</v>
      </c>
      <c r="R941" s="396" t="n">
        <f aca="false">Poussee/(g*ISP)</f>
        <v>0</v>
      </c>
      <c r="S941" s="398" t="n">
        <f aca="false">S940-Débit*pas</f>
        <v>8.45</v>
      </c>
      <c r="T941" s="397" t="n">
        <f aca="false">m*g</f>
        <v>82.8945</v>
      </c>
      <c r="U941" s="400" t="n">
        <f aca="false">IF(pos_xz&lt;L_rampe,Poids*COS(Beta),0)</f>
        <v>0</v>
      </c>
      <c r="V941" s="396" t="n">
        <f aca="false">Rho_moyen*(20000-Alt_rampe-pos_z)/(20000+Alt_rampe+pos_z)</f>
        <v>1.22667161280042</v>
      </c>
      <c r="W941" s="397" t="n">
        <f aca="false">1/2*Rho*Sref*Cx*vit_xz^2</f>
        <v>62.1469043392441</v>
      </c>
      <c r="Y941" s="408" t="str">
        <f aca="false">IF(AND(pos_z&lt;=0,K940&gt;0),"Impact balistique","") &amp; IF(AND(H942&lt;0,vit_z&gt;=0),"Apogée","") &amp; IF(AND(Poussee=0,Q940&gt;0),"Fin de propulsion","") &amp; IF(AND(L942&gt;L_rampe,pos_xz&lt;=L_rampe),"Sortie de rampe","")</f>
        <v/>
      </c>
      <c r="Z941" s="402" t="str">
        <f aca="false">IF(ABS(t-T_para)&lt;pas/2,"Para","")</f>
        <v/>
      </c>
      <c r="AA941" s="403" t="str">
        <f aca="false">IF(ABS(t-T_satellite)&lt;pas/2,"Satellite","")</f>
        <v/>
      </c>
      <c r="AC941" s="399" t="e">
        <f aca="false">IF(ABS(t-ROUND(t,0))&lt;0.001,t,NA())</f>
        <v>#N/A</v>
      </c>
      <c r="AD941" s="404" t="e">
        <f aca="false">IF(ABS(t-ROUND(t,0))&lt;0.001,pos_x,NA())</f>
        <v>#N/A</v>
      </c>
      <c r="AE941" s="405" t="e">
        <f aca="false">IF(t&lt;T_para, pos_z, NA())</f>
        <v>#N/A</v>
      </c>
      <c r="AG941" s="396" t="n">
        <f aca="false">IF(AND(L940&lt;L_rampe,Poussee&lt;Poids*SIN(M940)),0,(-W940+Poussee)/m-Poids*SIN(M940)/m)</f>
        <v>2.40736482334411</v>
      </c>
      <c r="AH941" s="397" t="n">
        <f aca="false">IF(AND(L940&lt;L_rampe,Poussee&lt;Poids*SIN(M940)), g*SIN(M940), (-W940+Poussee)/m)</f>
        <v>-7.35462422563196</v>
      </c>
    </row>
    <row r="942" customFormat="false" ht="12.75" hidden="false" customHeight="false" outlineLevel="0" collapsed="false">
      <c r="A942" s="396" t="n">
        <f aca="false">IF(B941+0.01&lt;=T_ini+ROUNDUP(Temps_fin_propu,0), 0.01, IF(K941&gt;0, 0.1, 0.0001))</f>
        <v>0.0001</v>
      </c>
      <c r="B942" s="397" t="n">
        <f aca="false">B941+pas</f>
        <v>32.1437000000016</v>
      </c>
      <c r="D942" s="396" t="n">
        <f aca="false">IF(AND(L941&lt;L_rampe,Poussee&lt;Poids*SIN(M941)),0,(-W941+Poussee)/m*COS(M941)-U941/m*SIN(M941))</f>
        <v>-0.726737828298377</v>
      </c>
      <c r="E942" s="398" t="n">
        <f aca="false">IF(AND(L941&lt;L_rampe,Poussee&lt;Poids*SIN(M941)),0,(-W941+Poussee)/m*SIN(M941)+U941/m*COS(M941)-Poids/m)</f>
        <v>-2.49133048735884</v>
      </c>
      <c r="F942" s="397" t="n">
        <f aca="false">SQRT(acc_x^2+acc_z^2)</f>
        <v>2.59516386155546</v>
      </c>
      <c r="G942" s="396" t="n">
        <f aca="false">G941+acc_x*pas</f>
        <v>11.4655275384534</v>
      </c>
      <c r="H942" s="398" t="n">
        <f aca="false">H941+acc_z*pas</f>
        <v>-115.465462928102</v>
      </c>
      <c r="I942" s="397" t="n">
        <f aca="false">SQRT(vit_x^2+vit_z^2)</f>
        <v>116.033320433986</v>
      </c>
      <c r="J942" s="396" t="n">
        <f aca="false">J941+0.5*(vit_x+G941)*pas*(K941&gt;=0)</f>
        <v>690.928492655337</v>
      </c>
      <c r="K942" s="398" t="n">
        <f aca="false">K941+0.5*(vit_z+H941)*pas</f>
        <v>-13.6480612423407</v>
      </c>
      <c r="L942" s="397" t="n">
        <f aca="false">SQRT(pos_x^2+pos_z^2)</f>
        <v>691.063276074377</v>
      </c>
      <c r="M942" s="396" t="n">
        <f aca="false">IF(AND(L941&gt;L_rampe,G942&gt;0),ATAN2(G942,H942),$M$4)</f>
        <v>-1.47182244611474</v>
      </c>
      <c r="N942" s="397" t="n">
        <f aca="false">DEGREES(Beta)</f>
        <v>-84.3292143549958</v>
      </c>
      <c r="P942" s="399" t="n">
        <f aca="false">MATCH(t-pas/2-T_ini,CdP_t)</f>
        <v>23</v>
      </c>
      <c r="Q942" s="397" t="n">
        <f aca="false">(INDEX(CdP,2,i_P+1)-INDEX(CdP,2,i_P+0))/(INDEX(CdP,1,i_P+1)-INDEX(CdP,1,i_P+0))*(t-pas/2-T_ini-INDEX(CdP,1,i_P+0))+INDEX(CdP,2,i_P+0)</f>
        <v>0</v>
      </c>
      <c r="R942" s="396" t="n">
        <f aca="false">Poussee/(g*ISP)</f>
        <v>0</v>
      </c>
      <c r="S942" s="398" t="n">
        <f aca="false">S941-Débit*pas</f>
        <v>8.45</v>
      </c>
      <c r="T942" s="397" t="n">
        <f aca="false">m*g</f>
        <v>82.8945</v>
      </c>
      <c r="U942" s="400" t="n">
        <f aca="false">IF(pos_xz&lt;L_rampe,Poids*COS(Beta),0)</f>
        <v>0</v>
      </c>
      <c r="V942" s="396" t="n">
        <f aca="false">Rho_moyen*(20000-Alt_rampe-pos_z)/(20000+Alt_rampe+pos_z)</f>
        <v>1.22667302918242</v>
      </c>
      <c r="W942" s="397" t="n">
        <f aca="false">1/2*Rho*Sref*Cx*vit_xz^2</f>
        <v>62.1472339691745</v>
      </c>
      <c r="Y942" s="408" t="str">
        <f aca="false">IF(AND(pos_z&lt;=0,K941&gt;0),"Impact balistique","") &amp; IF(AND(H943&lt;0,vit_z&gt;=0),"Apogée","") &amp; IF(AND(Poussee=0,Q941&gt;0),"Fin de propulsion","") &amp; IF(AND(L943&gt;L_rampe,pos_xz&lt;=L_rampe),"Sortie de rampe","")</f>
        <v/>
      </c>
      <c r="Z942" s="402" t="str">
        <f aca="false">IF(ABS(t-T_para)&lt;pas/2,"Para","")</f>
        <v/>
      </c>
      <c r="AA942" s="403" t="str">
        <f aca="false">IF(ABS(t-T_satellite)&lt;pas/2,"Satellite","")</f>
        <v/>
      </c>
      <c r="AC942" s="399" t="e">
        <f aca="false">IF(ABS(t-ROUND(t,0))&lt;0.001,t,NA())</f>
        <v>#N/A</v>
      </c>
      <c r="AD942" s="404" t="e">
        <f aca="false">IF(ABS(t-ROUND(t,0))&lt;0.001,pos_x,NA())</f>
        <v>#N/A</v>
      </c>
      <c r="AE942" s="405" t="e">
        <f aca="false">IF(t&lt;T_para, pos_z, NA())</f>
        <v>#N/A</v>
      </c>
      <c r="AG942" s="396" t="n">
        <f aca="false">IF(AND(L941&lt;L_rampe,Poussee&lt;Poids*SIN(M941)),0,(-W941+Poussee)/m-Poids*SIN(M941)/m)</f>
        <v>2.40732662338839</v>
      </c>
      <c r="AH942" s="397" t="n">
        <f aca="false">IF(AND(L941&lt;L_rampe,Poussee&lt;Poids*SIN(M941)), g*SIN(M941), (-W941+Poussee)/m)</f>
        <v>-7.35466323541351</v>
      </c>
    </row>
    <row r="943" customFormat="false" ht="12.75" hidden="false" customHeight="false" outlineLevel="0" collapsed="false">
      <c r="A943" s="396" t="n">
        <f aca="false">IF(B942+0.01&lt;=T_ini+ROUNDUP(Temps_fin_propu,0), 0.01, IF(K942&gt;0, 0.1, 0.0001))</f>
        <v>0.0001</v>
      </c>
      <c r="B943" s="397" t="n">
        <f aca="false">B942+pas</f>
        <v>32.1438000000016</v>
      </c>
      <c r="D943" s="396" t="n">
        <f aca="false">IF(AND(L942&lt;L_rampe,Poussee&lt;Poids*SIN(M942)),0,(-W942+Poussee)/m*COS(M942)-U942/m*SIN(M942))</f>
        <v>-0.726735568803169</v>
      </c>
      <c r="E943" s="398" t="n">
        <f aca="false">IF(AND(L942&lt;L_rampe,Poussee&lt;Poids*SIN(M942)),0,(-W942+Poussee)/m*SIN(M942)+U942/m*COS(M942)-Poids/m)</f>
        <v>-2.49129106168498</v>
      </c>
      <c r="F943" s="397" t="n">
        <f aca="false">SQRT(acc_x^2+acc_z^2)</f>
        <v>2.59512538059245</v>
      </c>
      <c r="G943" s="396" t="n">
        <f aca="false">G942+acc_x*pas</f>
        <v>11.4654548648965</v>
      </c>
      <c r="H943" s="398" t="n">
        <f aca="false">H942+acc_z*pas</f>
        <v>-115.465712057209</v>
      </c>
      <c r="I943" s="397" t="n">
        <f aca="false">SQRT(vit_x^2+vit_z^2)</f>
        <v>116.033561162869</v>
      </c>
      <c r="J943" s="396" t="n">
        <f aca="false">J942+0.5*(vit_x+G942)*pas*(K942&gt;=0)</f>
        <v>690.928492655337</v>
      </c>
      <c r="K943" s="398" t="n">
        <f aca="false">K942+0.5*(vit_z+H942)*pas</f>
        <v>-13.6596078010899</v>
      </c>
      <c r="L943" s="397" t="n">
        <f aca="false">SQRT(pos_x^2+pos_z^2)</f>
        <v>691.063504208011</v>
      </c>
      <c r="M943" s="396" t="n">
        <f aca="false">IF(AND(L942&gt;L_rampe,G943&gt;0),ATAN2(G943,H943),$M$4)</f>
        <v>-1.47182328151905</v>
      </c>
      <c r="N943" s="397" t="n">
        <f aca="false">DEGREES(Beta)</f>
        <v>-84.3292622201366</v>
      </c>
      <c r="P943" s="399" t="n">
        <f aca="false">MATCH(t-pas/2-T_ini,CdP_t)</f>
        <v>23</v>
      </c>
      <c r="Q943" s="397" t="n">
        <f aca="false">(INDEX(CdP,2,i_P+1)-INDEX(CdP,2,i_P+0))/(INDEX(CdP,1,i_P+1)-INDEX(CdP,1,i_P+0))*(t-pas/2-T_ini-INDEX(CdP,1,i_P+0))+INDEX(CdP,2,i_P+0)</f>
        <v>0</v>
      </c>
      <c r="R943" s="396" t="n">
        <f aca="false">Poussee/(g*ISP)</f>
        <v>0</v>
      </c>
      <c r="S943" s="398" t="n">
        <f aca="false">S942-Débit*pas</f>
        <v>8.45</v>
      </c>
      <c r="T943" s="397" t="n">
        <f aca="false">m*g</f>
        <v>82.8945</v>
      </c>
      <c r="U943" s="400" t="n">
        <f aca="false">IF(pos_xz&lt;L_rampe,Poids*COS(Beta),0)</f>
        <v>0</v>
      </c>
      <c r="V943" s="396" t="n">
        <f aca="false">Rho_moyen*(20000-Alt_rampe-pos_z)/(20000+Alt_rampe+pos_z)</f>
        <v>1.22667444556912</v>
      </c>
      <c r="W943" s="397" t="n">
        <f aca="false">1/2*Rho*Sref*Cx*vit_xz^2</f>
        <v>62.1475635963813</v>
      </c>
      <c r="Y943" s="408" t="str">
        <f aca="false">IF(AND(pos_z&lt;=0,K942&gt;0),"Impact balistique","") &amp; IF(AND(H944&lt;0,vit_z&gt;=0),"Apogée","") &amp; IF(AND(Poussee=0,Q942&gt;0),"Fin de propulsion","") &amp; IF(AND(L944&gt;L_rampe,pos_xz&lt;=L_rampe),"Sortie de rampe","")</f>
        <v/>
      </c>
      <c r="Z943" s="402" t="str">
        <f aca="false">IF(ABS(t-T_para)&lt;pas/2,"Para","")</f>
        <v/>
      </c>
      <c r="AA943" s="403" t="str">
        <f aca="false">IF(ABS(t-T_satellite)&lt;pas/2,"Satellite","")</f>
        <v/>
      </c>
      <c r="AC943" s="399" t="e">
        <f aca="false">IF(ABS(t-ROUND(t,0))&lt;0.001,t,NA())</f>
        <v>#N/A</v>
      </c>
      <c r="AD943" s="404" t="e">
        <f aca="false">IF(ABS(t-ROUND(t,0))&lt;0.001,pos_x,NA())</f>
        <v>#N/A</v>
      </c>
      <c r="AE943" s="405" t="e">
        <f aca="false">IF(t&lt;T_para, pos_z, NA())</f>
        <v>#N/A</v>
      </c>
      <c r="AG943" s="396" t="n">
        <f aca="false">IF(AND(L942&lt;L_rampe,Poussee&lt;Poids*SIN(M942)),0,(-W942+Poussee)/m-Poids*SIN(M942)/m)</f>
        <v>2.4072884237397</v>
      </c>
      <c r="AH943" s="397" t="n">
        <f aca="false">IF(AND(L942&lt;L_rampe,Poussee&lt;Poids*SIN(M942)), g*SIN(M942), (-W942+Poussee)/m)</f>
        <v>-7.35470224487273</v>
      </c>
    </row>
    <row r="944" customFormat="false" ht="12.75" hidden="false" customHeight="false" outlineLevel="0" collapsed="false">
      <c r="A944" s="396" t="n">
        <f aca="false">IF(B943+0.01&lt;=T_ini+ROUNDUP(Temps_fin_propu,0), 0.01, IF(K943&gt;0, 0.1, 0.0001))</f>
        <v>0.0001</v>
      </c>
      <c r="B944" s="397" t="n">
        <f aca="false">B943+pas</f>
        <v>32.1439000000016</v>
      </c>
      <c r="D944" s="396" t="n">
        <f aca="false">IF(AND(L943&lt;L_rampe,Poussee&lt;Poids*SIN(M943)),0,(-W943+Poussee)/m*COS(M943)-U943/m*SIN(M943))</f>
        <v>-0.726733309274868</v>
      </c>
      <c r="E944" s="398" t="n">
        <f aca="false">IF(AND(L943&lt;L_rampe,Poussee&lt;Poids*SIN(M943)),0,(-W943+Poussee)/m*SIN(M943)+U943/m*COS(M943)-Poids/m)</f>
        <v>-2.4912516363369</v>
      </c>
      <c r="F944" s="397" t="n">
        <f aca="false">SQRT(acc_x^2+acc_z^2)</f>
        <v>2.59508689996325</v>
      </c>
      <c r="G944" s="396" t="n">
        <f aca="false">G943+acc_x*pas</f>
        <v>11.4653821915656</v>
      </c>
      <c r="H944" s="398" t="n">
        <f aca="false">H943+acc_z*pas</f>
        <v>-115.465961182372</v>
      </c>
      <c r="I944" s="397" t="n">
        <f aca="false">SQRT(vit_x^2+vit_z^2)</f>
        <v>116.033801887932</v>
      </c>
      <c r="J944" s="396" t="n">
        <f aca="false">J943+0.5*(vit_x+G943)*pas*(K943&gt;=0)</f>
        <v>690.928492655337</v>
      </c>
      <c r="K944" s="398" t="n">
        <f aca="false">K943+0.5*(vit_z+H943)*pas</f>
        <v>-13.6711543847519</v>
      </c>
      <c r="L944" s="397" t="n">
        <f aca="false">SQRT(pos_x^2+pos_z^2)</f>
        <v>691.063732534987</v>
      </c>
      <c r="M944" s="396" t="n">
        <f aca="false">IF(AND(L943&gt;L_rampe,G944&gt;0),ATAN2(G944,H944),$M$4)</f>
        <v>-1.47182411691459</v>
      </c>
      <c r="N944" s="397" t="n">
        <f aca="false">DEGREES(Beta)</f>
        <v>-84.3293100847753</v>
      </c>
      <c r="P944" s="399" t="n">
        <f aca="false">MATCH(t-pas/2-T_ini,CdP_t)</f>
        <v>23</v>
      </c>
      <c r="Q944" s="397" t="n">
        <f aca="false">(INDEX(CdP,2,i_P+1)-INDEX(CdP,2,i_P+0))/(INDEX(CdP,1,i_P+1)-INDEX(CdP,1,i_P+0))*(t-pas/2-T_ini-INDEX(CdP,1,i_P+0))+INDEX(CdP,2,i_P+0)</f>
        <v>0</v>
      </c>
      <c r="R944" s="396" t="n">
        <f aca="false">Poussee/(g*ISP)</f>
        <v>0</v>
      </c>
      <c r="S944" s="398" t="n">
        <f aca="false">S943-Débit*pas</f>
        <v>8.45</v>
      </c>
      <c r="T944" s="397" t="n">
        <f aca="false">m*g</f>
        <v>82.8945</v>
      </c>
      <c r="U944" s="400" t="n">
        <f aca="false">IF(pos_xz&lt;L_rampe,Poids*COS(Beta),0)</f>
        <v>0</v>
      </c>
      <c r="V944" s="396" t="n">
        <f aca="false">Rho_moyen*(20000-Alt_rampe-pos_z)/(20000+Alt_rampe+pos_z)</f>
        <v>1.22667586196051</v>
      </c>
      <c r="W944" s="397" t="n">
        <f aca="false">1/2*Rho*Sref*Cx*vit_xz^2</f>
        <v>62.1478932208642</v>
      </c>
      <c r="Y944" s="408" t="str">
        <f aca="false">IF(AND(pos_z&lt;=0,K943&gt;0),"Impact balistique","") &amp; IF(AND(H945&lt;0,vit_z&gt;=0),"Apogée","") &amp; IF(AND(Poussee=0,Q943&gt;0),"Fin de propulsion","") &amp; IF(AND(L945&gt;L_rampe,pos_xz&lt;=L_rampe),"Sortie de rampe","")</f>
        <v/>
      </c>
      <c r="Z944" s="402" t="str">
        <f aca="false">IF(ABS(t-T_para)&lt;pas/2,"Para","")</f>
        <v/>
      </c>
      <c r="AA944" s="403" t="str">
        <f aca="false">IF(ABS(t-T_satellite)&lt;pas/2,"Satellite","")</f>
        <v/>
      </c>
      <c r="AC944" s="399" t="e">
        <f aca="false">IF(ABS(t-ROUND(t,0))&lt;0.001,t,NA())</f>
        <v>#N/A</v>
      </c>
      <c r="AD944" s="404" t="e">
        <f aca="false">IF(ABS(t-ROUND(t,0))&lt;0.001,pos_x,NA())</f>
        <v>#N/A</v>
      </c>
      <c r="AE944" s="405" t="e">
        <f aca="false">IF(t&lt;T_para, pos_z, NA())</f>
        <v>#N/A</v>
      </c>
      <c r="AG944" s="396" t="n">
        <f aca="false">IF(AND(L943&lt;L_rampe,Poussee&lt;Poids*SIN(M943)),0,(-W943+Poussee)/m-Poids*SIN(M943)/m)</f>
        <v>2.40725022439803</v>
      </c>
      <c r="AH944" s="397" t="n">
        <f aca="false">IF(AND(L943&lt;L_rampe,Poussee&lt;Poids*SIN(M943)), g*SIN(M943), (-W943+Poussee)/m)</f>
        <v>-7.35474125400962</v>
      </c>
    </row>
    <row r="945" customFormat="false" ht="12.75" hidden="false" customHeight="false" outlineLevel="0" collapsed="false">
      <c r="A945" s="396" t="n">
        <f aca="false">IF(B944+0.01&lt;=T_ini+ROUNDUP(Temps_fin_propu,0), 0.01, IF(K944&gt;0, 0.1, 0.0001))</f>
        <v>0.0001</v>
      </c>
      <c r="B945" s="397" t="n">
        <f aca="false">B944+pas</f>
        <v>32.1440000000017</v>
      </c>
      <c r="D945" s="396" t="n">
        <f aca="false">IF(AND(L944&lt;L_rampe,Poussee&lt;Poids*SIN(M944)),0,(-W944+Poussee)/m*COS(M944)-U944/m*SIN(M944))</f>
        <v>-0.726731049713478</v>
      </c>
      <c r="E945" s="398" t="n">
        <f aca="false">IF(AND(L944&lt;L_rampe,Poussee&lt;Poids*SIN(M944)),0,(-W944+Poussee)/m*SIN(M944)+U944/m*COS(M944)-Poids/m)</f>
        <v>-2.49121221131461</v>
      </c>
      <c r="F945" s="397" t="n">
        <f aca="false">SQRT(acc_x^2+acc_z^2)</f>
        <v>2.59504841966787</v>
      </c>
      <c r="G945" s="396" t="n">
        <f aca="false">G944+acc_x*pas</f>
        <v>11.4653095184606</v>
      </c>
      <c r="H945" s="398" t="n">
        <f aca="false">H944+acc_z*pas</f>
        <v>-115.466210303593</v>
      </c>
      <c r="I945" s="397" t="n">
        <f aca="false">SQRT(vit_x^2+vit_z^2)</f>
        <v>116.034042609175</v>
      </c>
      <c r="J945" s="396" t="n">
        <f aca="false">J944+0.5*(vit_x+G944)*pas*(K944&gt;=0)</f>
        <v>690.928492655337</v>
      </c>
      <c r="K945" s="398" t="n">
        <f aca="false">K944+0.5*(vit_z+H944)*pas</f>
        <v>-13.6827009933262</v>
      </c>
      <c r="L945" s="397" t="n">
        <f aca="false">SQRT(pos_x^2+pos_z^2)</f>
        <v>691.063961055305</v>
      </c>
      <c r="M945" s="396" t="n">
        <f aca="false">IF(AND(L944&gt;L_rampe,G945&gt;0),ATAN2(G945,H945),$M$4)</f>
        <v>-1.47182495230137</v>
      </c>
      <c r="N945" s="397" t="n">
        <f aca="false">DEGREES(Beta)</f>
        <v>-84.329357948912</v>
      </c>
      <c r="P945" s="399" t="n">
        <f aca="false">MATCH(t-pas/2-T_ini,CdP_t)</f>
        <v>23</v>
      </c>
      <c r="Q945" s="397" t="n">
        <f aca="false">(INDEX(CdP,2,i_P+1)-INDEX(CdP,2,i_P+0))/(INDEX(CdP,1,i_P+1)-INDEX(CdP,1,i_P+0))*(t-pas/2-T_ini-INDEX(CdP,1,i_P+0))+INDEX(CdP,2,i_P+0)</f>
        <v>0</v>
      </c>
      <c r="R945" s="396" t="n">
        <f aca="false">Poussee/(g*ISP)</f>
        <v>0</v>
      </c>
      <c r="S945" s="398" t="n">
        <f aca="false">S944-Débit*pas</f>
        <v>8.45</v>
      </c>
      <c r="T945" s="397" t="n">
        <f aca="false">m*g</f>
        <v>82.8945</v>
      </c>
      <c r="U945" s="400" t="n">
        <f aca="false">IF(pos_xz&lt;L_rampe,Poids*COS(Beta),0)</f>
        <v>0</v>
      </c>
      <c r="V945" s="396" t="n">
        <f aca="false">Rho_moyen*(20000-Alt_rampe-pos_z)/(20000+Alt_rampe+pos_z)</f>
        <v>1.22667727835659</v>
      </c>
      <c r="W945" s="397" t="n">
        <f aca="false">1/2*Rho*Sref*Cx*vit_xz^2</f>
        <v>62.1482228426236</v>
      </c>
      <c r="Y945" s="408" t="str">
        <f aca="false">IF(AND(pos_z&lt;=0,K944&gt;0),"Impact balistique","") &amp; IF(AND(H946&lt;0,vit_z&gt;=0),"Apogée","") &amp; IF(AND(Poussee=0,Q944&gt;0),"Fin de propulsion","") &amp; IF(AND(L946&gt;L_rampe,pos_xz&lt;=L_rampe),"Sortie de rampe","")</f>
        <v/>
      </c>
      <c r="Z945" s="402" t="str">
        <f aca="false">IF(ABS(t-T_para)&lt;pas/2,"Para","")</f>
        <v/>
      </c>
      <c r="AA945" s="403" t="str">
        <f aca="false">IF(ABS(t-T_satellite)&lt;pas/2,"Satellite","")</f>
        <v/>
      </c>
      <c r="AC945" s="399" t="e">
        <f aca="false">IF(ABS(t-ROUND(t,0))&lt;0.001,t,NA())</f>
        <v>#N/A</v>
      </c>
      <c r="AD945" s="404" t="e">
        <f aca="false">IF(ABS(t-ROUND(t,0))&lt;0.001,pos_x,NA())</f>
        <v>#N/A</v>
      </c>
      <c r="AE945" s="405" t="e">
        <f aca="false">IF(t&lt;T_para, pos_z, NA())</f>
        <v>#N/A</v>
      </c>
      <c r="AG945" s="396" t="n">
        <f aca="false">IF(AND(L944&lt;L_rampe,Poussee&lt;Poids*SIN(M944)),0,(-W944+Poussee)/m-Poids*SIN(M944)/m)</f>
        <v>2.40721202536339</v>
      </c>
      <c r="AH945" s="397" t="n">
        <f aca="false">IF(AND(L944&lt;L_rampe,Poussee&lt;Poids*SIN(M944)), g*SIN(M944), (-W944+Poussee)/m)</f>
        <v>-7.35478026282417</v>
      </c>
    </row>
    <row r="946" customFormat="false" ht="12.75" hidden="false" customHeight="false" outlineLevel="0" collapsed="false">
      <c r="A946" s="396" t="n">
        <f aca="false">IF(B945+0.01&lt;=T_ini+ROUNDUP(Temps_fin_propu,0), 0.01, IF(K945&gt;0, 0.1, 0.0001))</f>
        <v>0.0001</v>
      </c>
      <c r="B946" s="397" t="n">
        <f aca="false">B945+pas</f>
        <v>32.1441000000017</v>
      </c>
      <c r="D946" s="396" t="n">
        <f aca="false">IF(AND(L945&lt;L_rampe,Poussee&lt;Poids*SIN(M945)),0,(-W945+Poussee)/m*COS(M945)-U945/m*SIN(M945))</f>
        <v>-0.726728790118994</v>
      </c>
      <c r="E946" s="398" t="n">
        <f aca="false">IF(AND(L945&lt;L_rampe,Poussee&lt;Poids*SIN(M945)),0,(-W945+Poussee)/m*SIN(M945)+U945/m*COS(M945)-Poids/m)</f>
        <v>-2.49117278661812</v>
      </c>
      <c r="F946" s="397" t="n">
        <f aca="false">SQRT(acc_x^2+acc_z^2)</f>
        <v>2.5950099397063</v>
      </c>
      <c r="G946" s="396" t="n">
        <f aca="false">G945+acc_x*pas</f>
        <v>11.4652368455816</v>
      </c>
      <c r="H946" s="398" t="n">
        <f aca="false">H945+acc_z*pas</f>
        <v>-115.466459420872</v>
      </c>
      <c r="I946" s="397" t="n">
        <f aca="false">SQRT(vit_x^2+vit_z^2)</f>
        <v>116.034283326598</v>
      </c>
      <c r="J946" s="396" t="n">
        <f aca="false">J945+0.5*(vit_x+G945)*pas*(K945&gt;=0)</f>
        <v>690.928492655337</v>
      </c>
      <c r="K946" s="398" t="n">
        <f aca="false">K945+0.5*(vit_z+H945)*pas</f>
        <v>-13.6942476268124</v>
      </c>
      <c r="L946" s="397" t="n">
        <f aca="false">SQRT(pos_x^2+pos_z^2)</f>
        <v>691.064189768968</v>
      </c>
      <c r="M946" s="396" t="n">
        <f aca="false">IF(AND(L945&gt;L_rampe,G946&gt;0),ATAN2(G946,H946),$M$4)</f>
        <v>-1.47182578767939</v>
      </c>
      <c r="N946" s="397" t="n">
        <f aca="false">DEGREES(Beta)</f>
        <v>-84.3294058125468</v>
      </c>
      <c r="P946" s="399" t="n">
        <f aca="false">MATCH(t-pas/2-T_ini,CdP_t)</f>
        <v>23</v>
      </c>
      <c r="Q946" s="397" t="n">
        <f aca="false">(INDEX(CdP,2,i_P+1)-INDEX(CdP,2,i_P+0))/(INDEX(CdP,1,i_P+1)-INDEX(CdP,1,i_P+0))*(t-pas/2-T_ini-INDEX(CdP,1,i_P+0))+INDEX(CdP,2,i_P+0)</f>
        <v>0</v>
      </c>
      <c r="R946" s="396" t="n">
        <f aca="false">Poussee/(g*ISP)</f>
        <v>0</v>
      </c>
      <c r="S946" s="398" t="n">
        <f aca="false">S945-Débit*pas</f>
        <v>8.45</v>
      </c>
      <c r="T946" s="397" t="n">
        <f aca="false">m*g</f>
        <v>82.8945</v>
      </c>
      <c r="U946" s="400" t="n">
        <f aca="false">IF(pos_xz&lt;L_rampe,Poids*COS(Beta),0)</f>
        <v>0</v>
      </c>
      <c r="V946" s="396" t="n">
        <f aca="false">Rho_moyen*(20000-Alt_rampe-pos_z)/(20000+Alt_rampe+pos_z)</f>
        <v>1.22667869475737</v>
      </c>
      <c r="W946" s="397" t="n">
        <f aca="false">1/2*Rho*Sref*Cx*vit_xz^2</f>
        <v>62.1485524616591</v>
      </c>
      <c r="Y946" s="408" t="str">
        <f aca="false">IF(AND(pos_z&lt;=0,K945&gt;0),"Impact balistique","") &amp; IF(AND(H947&lt;0,vit_z&gt;=0),"Apogée","") &amp; IF(AND(Poussee=0,Q945&gt;0),"Fin de propulsion","") &amp; IF(AND(L947&gt;L_rampe,pos_xz&lt;=L_rampe),"Sortie de rampe","")</f>
        <v/>
      </c>
      <c r="Z946" s="402" t="str">
        <f aca="false">IF(ABS(t-T_para)&lt;pas/2,"Para","")</f>
        <v/>
      </c>
      <c r="AA946" s="403" t="str">
        <f aca="false">IF(ABS(t-T_satellite)&lt;pas/2,"Satellite","")</f>
        <v/>
      </c>
      <c r="AC946" s="399" t="e">
        <f aca="false">IF(ABS(t-ROUND(t,0))&lt;0.001,t,NA())</f>
        <v>#N/A</v>
      </c>
      <c r="AD946" s="404" t="e">
        <f aca="false">IF(ABS(t-ROUND(t,0))&lt;0.001,pos_x,NA())</f>
        <v>#N/A</v>
      </c>
      <c r="AE946" s="405" t="e">
        <f aca="false">IF(t&lt;T_para, pos_z, NA())</f>
        <v>#N/A</v>
      </c>
      <c r="AG946" s="396" t="n">
        <f aca="false">IF(AND(L945&lt;L_rampe,Poussee&lt;Poids*SIN(M945)),0,(-W945+Poussee)/m-Poids*SIN(M945)/m)</f>
        <v>2.40717382663577</v>
      </c>
      <c r="AH946" s="397" t="n">
        <f aca="false">IF(AND(L945&lt;L_rampe,Poussee&lt;Poids*SIN(M945)), g*SIN(M945), (-W945+Poussee)/m)</f>
        <v>-7.3548192713164</v>
      </c>
    </row>
    <row r="947" customFormat="false" ht="12.75" hidden="false" customHeight="false" outlineLevel="0" collapsed="false">
      <c r="A947" s="396" t="n">
        <f aca="false">IF(B946+0.01&lt;=T_ini+ROUNDUP(Temps_fin_propu,0), 0.01, IF(K946&gt;0, 0.1, 0.0001))</f>
        <v>0.0001</v>
      </c>
      <c r="B947" s="397" t="n">
        <f aca="false">B946+pas</f>
        <v>32.1442000000017</v>
      </c>
      <c r="D947" s="396" t="n">
        <f aca="false">IF(AND(L946&lt;L_rampe,Poussee&lt;Poids*SIN(M946)),0,(-W946+Poussee)/m*COS(M946)-U946/m*SIN(M946))</f>
        <v>-0.72672653049142</v>
      </c>
      <c r="E947" s="398" t="n">
        <f aca="false">IF(AND(L946&lt;L_rampe,Poussee&lt;Poids*SIN(M946)),0,(-W946+Poussee)/m*SIN(M946)+U946/m*COS(M946)-Poids/m)</f>
        <v>-2.49113336224741</v>
      </c>
      <c r="F947" s="397" t="n">
        <f aca="false">SQRT(acc_x^2+acc_z^2)</f>
        <v>2.59497146007854</v>
      </c>
      <c r="G947" s="396" t="n">
        <f aca="false">G946+acc_x*pas</f>
        <v>11.4651641729285</v>
      </c>
      <c r="H947" s="398" t="n">
        <f aca="false">H946+acc_z*pas</f>
        <v>-115.466708534208</v>
      </c>
      <c r="I947" s="397" t="n">
        <f aca="false">SQRT(vit_x^2+vit_z^2)</f>
        <v>116.034524040201</v>
      </c>
      <c r="J947" s="396" t="n">
        <f aca="false">J946+0.5*(vit_x+G946)*pas*(K946&gt;=0)</f>
        <v>690.928492655337</v>
      </c>
      <c r="K947" s="398" t="n">
        <f aca="false">K946+0.5*(vit_z+H946)*pas</f>
        <v>-13.7057942852102</v>
      </c>
      <c r="L947" s="397" t="n">
        <f aca="false">SQRT(pos_x^2+pos_z^2)</f>
        <v>691.064418675976</v>
      </c>
      <c r="M947" s="396" t="n">
        <f aca="false">IF(AND(L946&gt;L_rampe,G947&gt;0),ATAN2(G947,H947),$M$4)</f>
        <v>-1.47182662304864</v>
      </c>
      <c r="N947" s="397" t="n">
        <f aca="false">DEGREES(Beta)</f>
        <v>-84.3294536756796</v>
      </c>
      <c r="P947" s="399" t="n">
        <f aca="false">MATCH(t-pas/2-T_ini,CdP_t)</f>
        <v>23</v>
      </c>
      <c r="Q947" s="397" t="n">
        <f aca="false">(INDEX(CdP,2,i_P+1)-INDEX(CdP,2,i_P+0))/(INDEX(CdP,1,i_P+1)-INDEX(CdP,1,i_P+0))*(t-pas/2-T_ini-INDEX(CdP,1,i_P+0))+INDEX(CdP,2,i_P+0)</f>
        <v>0</v>
      </c>
      <c r="R947" s="396" t="n">
        <f aca="false">Poussee/(g*ISP)</f>
        <v>0</v>
      </c>
      <c r="S947" s="398" t="n">
        <f aca="false">S946-Débit*pas</f>
        <v>8.45</v>
      </c>
      <c r="T947" s="397" t="n">
        <f aca="false">m*g</f>
        <v>82.8945</v>
      </c>
      <c r="U947" s="400" t="n">
        <f aca="false">IF(pos_xz&lt;L_rampe,Poids*COS(Beta),0)</f>
        <v>0</v>
      </c>
      <c r="V947" s="396" t="n">
        <f aca="false">Rho_moyen*(20000-Alt_rampe-pos_z)/(20000+Alt_rampe+pos_z)</f>
        <v>1.22668011116284</v>
      </c>
      <c r="W947" s="397" t="n">
        <f aca="false">1/2*Rho*Sref*Cx*vit_xz^2</f>
        <v>62.148882077971</v>
      </c>
      <c r="Y947" s="408" t="str">
        <f aca="false">IF(AND(pos_z&lt;=0,K946&gt;0),"Impact balistique","") &amp; IF(AND(H948&lt;0,vit_z&gt;=0),"Apogée","") &amp; IF(AND(Poussee=0,Q946&gt;0),"Fin de propulsion","") &amp; IF(AND(L948&gt;L_rampe,pos_xz&lt;=L_rampe),"Sortie de rampe","")</f>
        <v/>
      </c>
      <c r="Z947" s="402" t="str">
        <f aca="false">IF(ABS(t-T_para)&lt;pas/2,"Para","")</f>
        <v/>
      </c>
      <c r="AA947" s="403" t="str">
        <f aca="false">IF(ABS(t-T_satellite)&lt;pas/2,"Satellite","")</f>
        <v/>
      </c>
      <c r="AC947" s="399" t="e">
        <f aca="false">IF(ABS(t-ROUND(t,0))&lt;0.001,t,NA())</f>
        <v>#N/A</v>
      </c>
      <c r="AD947" s="404" t="e">
        <f aca="false">IF(ABS(t-ROUND(t,0))&lt;0.001,pos_x,NA())</f>
        <v>#N/A</v>
      </c>
      <c r="AE947" s="405" t="e">
        <f aca="false">IF(t&lt;T_para, pos_z, NA())</f>
        <v>#N/A</v>
      </c>
      <c r="AG947" s="396" t="n">
        <f aca="false">IF(AND(L946&lt;L_rampe,Poussee&lt;Poids*SIN(M946)),0,(-W946+Poussee)/m-Poids*SIN(M946)/m)</f>
        <v>2.40713562821519</v>
      </c>
      <c r="AH947" s="397" t="n">
        <f aca="false">IF(AND(L946&lt;L_rampe,Poussee&lt;Poids*SIN(M946)), g*SIN(M946), (-W946+Poussee)/m)</f>
        <v>-7.35485827948629</v>
      </c>
    </row>
    <row r="948" customFormat="false" ht="12.75" hidden="false" customHeight="false" outlineLevel="0" collapsed="false">
      <c r="A948" s="396" t="n">
        <f aca="false">IF(B947+0.01&lt;=T_ini+ROUNDUP(Temps_fin_propu,0), 0.01, IF(K947&gt;0, 0.1, 0.0001))</f>
        <v>0.0001</v>
      </c>
      <c r="B948" s="397" t="n">
        <f aca="false">B947+pas</f>
        <v>32.1443000000017</v>
      </c>
      <c r="D948" s="396" t="n">
        <f aca="false">IF(AND(L947&lt;L_rampe,Poussee&lt;Poids*SIN(M947)),0,(-W947+Poussee)/m*COS(M947)-U947/m*SIN(M947))</f>
        <v>-0.726724270830759</v>
      </c>
      <c r="E948" s="398" t="n">
        <f aca="false">IF(AND(L947&lt;L_rampe,Poussee&lt;Poids*SIN(M947)),0,(-W947+Poussee)/m*SIN(M947)+U947/m*COS(M947)-Poids/m)</f>
        <v>-2.49109393820249</v>
      </c>
      <c r="F948" s="397" t="n">
        <f aca="false">SQRT(acc_x^2+acc_z^2)</f>
        <v>2.59493298078461</v>
      </c>
      <c r="G948" s="396" t="n">
        <f aca="false">G947+acc_x*pas</f>
        <v>11.4650915005014</v>
      </c>
      <c r="H948" s="398" t="n">
        <f aca="false">H947+acc_z*pas</f>
        <v>-115.466957643602</v>
      </c>
      <c r="I948" s="397" t="n">
        <f aca="false">SQRT(vit_x^2+vit_z^2)</f>
        <v>116.034764749984</v>
      </c>
      <c r="J948" s="396" t="n">
        <f aca="false">J947+0.5*(vit_x+G947)*pas*(K947&gt;=0)</f>
        <v>690.928492655337</v>
      </c>
      <c r="K948" s="398" t="n">
        <f aca="false">K947+0.5*(vit_z+H947)*pas</f>
        <v>-13.7173409685191</v>
      </c>
      <c r="L948" s="397" t="n">
        <f aca="false">SQRT(pos_x^2+pos_z^2)</f>
        <v>691.06464777633</v>
      </c>
      <c r="M948" s="396" t="n">
        <f aca="false">IF(AND(L947&gt;L_rampe,G948&gt;0),ATAN2(G948,H948),$M$4)</f>
        <v>-1.47182745840914</v>
      </c>
      <c r="N948" s="397" t="n">
        <f aca="false">DEGREES(Beta)</f>
        <v>-84.3295015383104</v>
      </c>
      <c r="P948" s="399" t="n">
        <f aca="false">MATCH(t-pas/2-T_ini,CdP_t)</f>
        <v>23</v>
      </c>
      <c r="Q948" s="397" t="n">
        <f aca="false">(INDEX(CdP,2,i_P+1)-INDEX(CdP,2,i_P+0))/(INDEX(CdP,1,i_P+1)-INDEX(CdP,1,i_P+0))*(t-pas/2-T_ini-INDEX(CdP,1,i_P+0))+INDEX(CdP,2,i_P+0)</f>
        <v>0</v>
      </c>
      <c r="R948" s="396" t="n">
        <f aca="false">Poussee/(g*ISP)</f>
        <v>0</v>
      </c>
      <c r="S948" s="398" t="n">
        <f aca="false">S947-Débit*pas</f>
        <v>8.45</v>
      </c>
      <c r="T948" s="397" t="n">
        <f aca="false">m*g</f>
        <v>82.8945</v>
      </c>
      <c r="U948" s="400" t="n">
        <f aca="false">IF(pos_xz&lt;L_rampe,Poids*COS(Beta),0)</f>
        <v>0</v>
      </c>
      <c r="V948" s="396" t="n">
        <f aca="false">Rho_moyen*(20000-Alt_rampe-pos_z)/(20000+Alt_rampe+pos_z)</f>
        <v>1.226681527573</v>
      </c>
      <c r="W948" s="397" t="n">
        <f aca="false">1/2*Rho*Sref*Cx*vit_xz^2</f>
        <v>62.1492116915592</v>
      </c>
      <c r="Y948" s="408" t="str">
        <f aca="false">IF(AND(pos_z&lt;=0,K947&gt;0),"Impact balistique","") &amp; IF(AND(H949&lt;0,vit_z&gt;=0),"Apogée","") &amp; IF(AND(Poussee=0,Q947&gt;0),"Fin de propulsion","") &amp; IF(AND(L949&gt;L_rampe,pos_xz&lt;=L_rampe),"Sortie de rampe","")</f>
        <v/>
      </c>
      <c r="Z948" s="402" t="str">
        <f aca="false">IF(ABS(t-T_para)&lt;pas/2,"Para","")</f>
        <v/>
      </c>
      <c r="AA948" s="403" t="str">
        <f aca="false">IF(ABS(t-T_satellite)&lt;pas/2,"Satellite","")</f>
        <v/>
      </c>
      <c r="AC948" s="399" t="e">
        <f aca="false">IF(ABS(t-ROUND(t,0))&lt;0.001,t,NA())</f>
        <v>#N/A</v>
      </c>
      <c r="AD948" s="404" t="e">
        <f aca="false">IF(ABS(t-ROUND(t,0))&lt;0.001,pos_x,NA())</f>
        <v>#N/A</v>
      </c>
      <c r="AE948" s="405" t="e">
        <f aca="false">IF(t&lt;T_para, pos_z, NA())</f>
        <v>#N/A</v>
      </c>
      <c r="AG948" s="396" t="n">
        <f aca="false">IF(AND(L947&lt;L_rampe,Poussee&lt;Poids*SIN(M947)),0,(-W947+Poussee)/m-Poids*SIN(M947)/m)</f>
        <v>2.40709743010162</v>
      </c>
      <c r="AH948" s="397" t="n">
        <f aca="false">IF(AND(L947&lt;L_rampe,Poussee&lt;Poids*SIN(M947)), g*SIN(M947), (-W947+Poussee)/m)</f>
        <v>-7.35489728733385</v>
      </c>
    </row>
    <row r="949" customFormat="false" ht="12.75" hidden="false" customHeight="false" outlineLevel="0" collapsed="false">
      <c r="A949" s="396" t="n">
        <f aca="false">IF(B948+0.01&lt;=T_ini+ROUNDUP(Temps_fin_propu,0), 0.01, IF(K948&gt;0, 0.1, 0.0001))</f>
        <v>0.0001</v>
      </c>
      <c r="B949" s="397" t="n">
        <f aca="false">B948+pas</f>
        <v>32.1444000000017</v>
      </c>
      <c r="D949" s="396" t="n">
        <f aca="false">IF(AND(L948&lt;L_rampe,Poussee&lt;Poids*SIN(M948)),0,(-W948+Poussee)/m*COS(M948)-U948/m*SIN(M948))</f>
        <v>-0.726722011137008</v>
      </c>
      <c r="E949" s="398" t="n">
        <f aca="false">IF(AND(L948&lt;L_rampe,Poussee&lt;Poids*SIN(M948)),0,(-W948+Poussee)/m*SIN(M948)+U948/m*COS(M948)-Poids/m)</f>
        <v>-2.49105451448336</v>
      </c>
      <c r="F949" s="397" t="n">
        <f aca="false">SQRT(acc_x^2+acc_z^2)</f>
        <v>2.59489450182449</v>
      </c>
      <c r="G949" s="396" t="n">
        <f aca="false">G948+acc_x*pas</f>
        <v>11.4650188283003</v>
      </c>
      <c r="H949" s="398" t="n">
        <f aca="false">H948+acc_z*pas</f>
        <v>-115.467206749053</v>
      </c>
      <c r="I949" s="397" t="n">
        <f aca="false">SQRT(vit_x^2+vit_z^2)</f>
        <v>116.035005455948</v>
      </c>
      <c r="J949" s="396" t="n">
        <f aca="false">J948+0.5*(vit_x+G948)*pas*(K948&gt;=0)</f>
        <v>690.928492655337</v>
      </c>
      <c r="K949" s="398" t="n">
        <f aca="false">K948+0.5*(vit_z+H948)*pas</f>
        <v>-13.7288876767387</v>
      </c>
      <c r="L949" s="397" t="n">
        <f aca="false">SQRT(pos_x^2+pos_z^2)</f>
        <v>691.06487707003</v>
      </c>
      <c r="M949" s="396" t="n">
        <f aca="false">IF(AND(L948&gt;L_rampe,G949&gt;0),ATAN2(G949,H949),$M$4)</f>
        <v>-1.47182829376087</v>
      </c>
      <c r="N949" s="397" t="n">
        <f aca="false">DEGREES(Beta)</f>
        <v>-84.3295494004392</v>
      </c>
      <c r="P949" s="399" t="n">
        <f aca="false">MATCH(t-pas/2-T_ini,CdP_t)</f>
        <v>23</v>
      </c>
      <c r="Q949" s="397" t="n">
        <f aca="false">(INDEX(CdP,2,i_P+1)-INDEX(CdP,2,i_P+0))/(INDEX(CdP,1,i_P+1)-INDEX(CdP,1,i_P+0))*(t-pas/2-T_ini-INDEX(CdP,1,i_P+0))+INDEX(CdP,2,i_P+0)</f>
        <v>0</v>
      </c>
      <c r="R949" s="396" t="n">
        <f aca="false">Poussee/(g*ISP)</f>
        <v>0</v>
      </c>
      <c r="S949" s="398" t="n">
        <f aca="false">S948-Débit*pas</f>
        <v>8.45</v>
      </c>
      <c r="T949" s="397" t="n">
        <f aca="false">m*g</f>
        <v>82.8945</v>
      </c>
      <c r="U949" s="400" t="n">
        <f aca="false">IF(pos_xz&lt;L_rampe,Poids*COS(Beta),0)</f>
        <v>0</v>
      </c>
      <c r="V949" s="396" t="n">
        <f aca="false">Rho_moyen*(20000-Alt_rampe-pos_z)/(20000+Alt_rampe+pos_z)</f>
        <v>1.22668294398785</v>
      </c>
      <c r="W949" s="397" t="n">
        <f aca="false">1/2*Rho*Sref*Cx*vit_xz^2</f>
        <v>62.1495413024237</v>
      </c>
      <c r="Y949" s="408" t="str">
        <f aca="false">IF(AND(pos_z&lt;=0,K948&gt;0),"Impact balistique","") &amp; IF(AND(H950&lt;0,vit_z&gt;=0),"Apogée","") &amp; IF(AND(Poussee=0,Q948&gt;0),"Fin de propulsion","") &amp; IF(AND(L950&gt;L_rampe,pos_xz&lt;=L_rampe),"Sortie de rampe","")</f>
        <v/>
      </c>
      <c r="Z949" s="402" t="str">
        <f aca="false">IF(ABS(t-T_para)&lt;pas/2,"Para","")</f>
        <v/>
      </c>
      <c r="AA949" s="403" t="str">
        <f aca="false">IF(ABS(t-T_satellite)&lt;pas/2,"Satellite","")</f>
        <v/>
      </c>
      <c r="AC949" s="399" t="e">
        <f aca="false">IF(ABS(t-ROUND(t,0))&lt;0.001,t,NA())</f>
        <v>#N/A</v>
      </c>
      <c r="AD949" s="404" t="e">
        <f aca="false">IF(ABS(t-ROUND(t,0))&lt;0.001,pos_x,NA())</f>
        <v>#N/A</v>
      </c>
      <c r="AE949" s="405" t="e">
        <f aca="false">IF(t&lt;T_para, pos_z, NA())</f>
        <v>#N/A</v>
      </c>
      <c r="AG949" s="396" t="n">
        <f aca="false">IF(AND(L948&lt;L_rampe,Poussee&lt;Poids*SIN(M948)),0,(-W948+Poussee)/m-Poids*SIN(M948)/m)</f>
        <v>2.40705923229509</v>
      </c>
      <c r="AH949" s="397" t="n">
        <f aca="false">IF(AND(L948&lt;L_rampe,Poussee&lt;Poids*SIN(M948)), g*SIN(M948), (-W948+Poussee)/m)</f>
        <v>-7.35493629485908</v>
      </c>
    </row>
    <row r="950" customFormat="false" ht="12.75" hidden="false" customHeight="false" outlineLevel="0" collapsed="false">
      <c r="A950" s="396" t="n">
        <f aca="false">IF(B949+0.01&lt;=T_ini+ROUNDUP(Temps_fin_propu,0), 0.01, IF(K949&gt;0, 0.1, 0.0001))</f>
        <v>0.0001</v>
      </c>
      <c r="B950" s="397" t="n">
        <f aca="false">B949+pas</f>
        <v>32.1445000000017</v>
      </c>
      <c r="D950" s="396" t="n">
        <f aca="false">IF(AND(L949&lt;L_rampe,Poussee&lt;Poids*SIN(M949)),0,(-W949+Poussee)/m*COS(M949)-U949/m*SIN(M949))</f>
        <v>-0.72671975141017</v>
      </c>
      <c r="E950" s="398" t="n">
        <f aca="false">IF(AND(L949&lt;L_rampe,Poussee&lt;Poids*SIN(M949)),0,(-W949+Poussee)/m*SIN(M949)+U949/m*COS(M949)-Poids/m)</f>
        <v>-2.49101509109003</v>
      </c>
      <c r="F950" s="397" t="n">
        <f aca="false">SQRT(acc_x^2+acc_z^2)</f>
        <v>2.59485602319819</v>
      </c>
      <c r="G950" s="396" t="n">
        <f aca="false">G949+acc_x*pas</f>
        <v>11.4649461563252</v>
      </c>
      <c r="H950" s="398" t="n">
        <f aca="false">H949+acc_z*pas</f>
        <v>-115.467455850563</v>
      </c>
      <c r="I950" s="397" t="n">
        <f aca="false">SQRT(vit_x^2+vit_z^2)</f>
        <v>116.035246158092</v>
      </c>
      <c r="J950" s="396" t="n">
        <f aca="false">J949+0.5*(vit_x+G949)*pas*(K949&gt;=0)</f>
        <v>690.928492655337</v>
      </c>
      <c r="K950" s="398" t="n">
        <f aca="false">K949+0.5*(vit_z+H949)*pas</f>
        <v>-13.7404344098687</v>
      </c>
      <c r="L950" s="397" t="n">
        <f aca="false">SQRT(pos_x^2+pos_z^2)</f>
        <v>691.06510655708</v>
      </c>
      <c r="M950" s="396" t="n">
        <f aca="false">IF(AND(L949&gt;L_rampe,G950&gt;0),ATAN2(G950,H950),$M$4)</f>
        <v>-1.47182912910385</v>
      </c>
      <c r="N950" s="397" t="n">
        <f aca="false">DEGREES(Beta)</f>
        <v>-84.3295972620661</v>
      </c>
      <c r="P950" s="399" t="n">
        <f aca="false">MATCH(t-pas/2-T_ini,CdP_t)</f>
        <v>23</v>
      </c>
      <c r="Q950" s="397" t="n">
        <f aca="false">(INDEX(CdP,2,i_P+1)-INDEX(CdP,2,i_P+0))/(INDEX(CdP,1,i_P+1)-INDEX(CdP,1,i_P+0))*(t-pas/2-T_ini-INDEX(CdP,1,i_P+0))+INDEX(CdP,2,i_P+0)</f>
        <v>0</v>
      </c>
      <c r="R950" s="396" t="n">
        <f aca="false">Poussee/(g*ISP)</f>
        <v>0</v>
      </c>
      <c r="S950" s="398" t="n">
        <f aca="false">S949-Débit*pas</f>
        <v>8.45</v>
      </c>
      <c r="T950" s="397" t="n">
        <f aca="false">m*g</f>
        <v>82.8945</v>
      </c>
      <c r="U950" s="400" t="n">
        <f aca="false">IF(pos_xz&lt;L_rampe,Poids*COS(Beta),0)</f>
        <v>0</v>
      </c>
      <c r="V950" s="396" t="n">
        <f aca="false">Rho_moyen*(20000-Alt_rampe-pos_z)/(20000+Alt_rampe+pos_z)</f>
        <v>1.22668436040739</v>
      </c>
      <c r="W950" s="397" t="n">
        <f aca="false">1/2*Rho*Sref*Cx*vit_xz^2</f>
        <v>62.1498709105644</v>
      </c>
      <c r="Y950" s="408" t="str">
        <f aca="false">IF(AND(pos_z&lt;=0,K949&gt;0),"Impact balistique","") &amp; IF(AND(H951&lt;0,vit_z&gt;=0),"Apogée","") &amp; IF(AND(Poussee=0,Q949&gt;0),"Fin de propulsion","") &amp; IF(AND(L951&gt;L_rampe,pos_xz&lt;=L_rampe),"Sortie de rampe","")</f>
        <v/>
      </c>
      <c r="Z950" s="402" t="str">
        <f aca="false">IF(ABS(t-T_para)&lt;pas/2,"Para","")</f>
        <v/>
      </c>
      <c r="AA950" s="403" t="str">
        <f aca="false">IF(ABS(t-T_satellite)&lt;pas/2,"Satellite","")</f>
        <v/>
      </c>
      <c r="AC950" s="399" t="e">
        <f aca="false">IF(ABS(t-ROUND(t,0))&lt;0.001,t,NA())</f>
        <v>#N/A</v>
      </c>
      <c r="AD950" s="404" t="e">
        <f aca="false">IF(ABS(t-ROUND(t,0))&lt;0.001,pos_x,NA())</f>
        <v>#N/A</v>
      </c>
      <c r="AE950" s="405" t="e">
        <f aca="false">IF(t&lt;T_para, pos_z, NA())</f>
        <v>#N/A</v>
      </c>
      <c r="AG950" s="396" t="n">
        <f aca="false">IF(AND(L949&lt;L_rampe,Poussee&lt;Poids*SIN(M949)),0,(-W949+Poussee)/m-Poids*SIN(M949)/m)</f>
        <v>2.40702103479559</v>
      </c>
      <c r="AH950" s="397" t="n">
        <f aca="false">IF(AND(L949&lt;L_rampe,Poussee&lt;Poids*SIN(M949)), g*SIN(M949), (-W949+Poussee)/m)</f>
        <v>-7.35497530206197</v>
      </c>
    </row>
    <row r="951" customFormat="false" ht="12.75" hidden="false" customHeight="false" outlineLevel="0" collapsed="false">
      <c r="A951" s="396" t="n">
        <f aca="false">IF(B950+0.01&lt;=T_ini+ROUNDUP(Temps_fin_propu,0), 0.01, IF(K950&gt;0, 0.1, 0.0001))</f>
        <v>0.0001</v>
      </c>
      <c r="B951" s="397" t="n">
        <f aca="false">B950+pas</f>
        <v>32.1446000000017</v>
      </c>
      <c r="D951" s="396" t="n">
        <f aca="false">IF(AND(L950&lt;L_rampe,Poussee&lt;Poids*SIN(M950)),0,(-W950+Poussee)/m*COS(M950)-U950/m*SIN(M950))</f>
        <v>-0.726717491650245</v>
      </c>
      <c r="E951" s="398" t="n">
        <f aca="false">IF(AND(L950&lt;L_rampe,Poussee&lt;Poids*SIN(M950)),0,(-W950+Poussee)/m*SIN(M950)+U950/m*COS(M950)-Poids/m)</f>
        <v>-2.49097566802248</v>
      </c>
      <c r="F951" s="397" t="n">
        <f aca="false">SQRT(acc_x^2+acc_z^2)</f>
        <v>2.5948175449057</v>
      </c>
      <c r="G951" s="396" t="n">
        <f aca="false">G950+acc_x*pas</f>
        <v>11.464873484576</v>
      </c>
      <c r="H951" s="398" t="n">
        <f aca="false">H950+acc_z*pas</f>
        <v>-115.467704948129</v>
      </c>
      <c r="I951" s="397" t="n">
        <f aca="false">SQRT(vit_x^2+vit_z^2)</f>
        <v>116.035486856416</v>
      </c>
      <c r="J951" s="396" t="n">
        <f aca="false">J950+0.5*(vit_x+G950)*pas*(K950&gt;=0)</f>
        <v>690.928492655337</v>
      </c>
      <c r="K951" s="398" t="n">
        <f aca="false">K950+0.5*(vit_z+H950)*pas</f>
        <v>-13.7519811679086</v>
      </c>
      <c r="L951" s="397" t="n">
        <f aca="false">SQRT(pos_x^2+pos_z^2)</f>
        <v>691.065336237478</v>
      </c>
      <c r="M951" s="396" t="n">
        <f aca="false">IF(AND(L950&gt;L_rampe,G951&gt;0),ATAN2(G951,H951),$M$4)</f>
        <v>-1.47182996443806</v>
      </c>
      <c r="N951" s="397" t="n">
        <f aca="false">DEGREES(Beta)</f>
        <v>-84.3296451231911</v>
      </c>
      <c r="P951" s="399" t="n">
        <f aca="false">MATCH(t-pas/2-T_ini,CdP_t)</f>
        <v>23</v>
      </c>
      <c r="Q951" s="397" t="n">
        <f aca="false">(INDEX(CdP,2,i_P+1)-INDEX(CdP,2,i_P+0))/(INDEX(CdP,1,i_P+1)-INDEX(CdP,1,i_P+0))*(t-pas/2-T_ini-INDEX(CdP,1,i_P+0))+INDEX(CdP,2,i_P+0)</f>
        <v>0</v>
      </c>
      <c r="R951" s="396" t="n">
        <f aca="false">Poussee/(g*ISP)</f>
        <v>0</v>
      </c>
      <c r="S951" s="398" t="n">
        <f aca="false">S950-Débit*pas</f>
        <v>8.45</v>
      </c>
      <c r="T951" s="397" t="n">
        <f aca="false">m*g</f>
        <v>82.8945</v>
      </c>
      <c r="U951" s="400" t="n">
        <f aca="false">IF(pos_xz&lt;L_rampe,Poids*COS(Beta),0)</f>
        <v>0</v>
      </c>
      <c r="V951" s="396" t="n">
        <f aca="false">Rho_moyen*(20000-Alt_rampe-pos_z)/(20000+Alt_rampe+pos_z)</f>
        <v>1.22668577683163</v>
      </c>
      <c r="W951" s="397" t="n">
        <f aca="false">1/2*Rho*Sref*Cx*vit_xz^2</f>
        <v>62.1502005159814</v>
      </c>
      <c r="Y951" s="408" t="str">
        <f aca="false">IF(AND(pos_z&lt;=0,K950&gt;0),"Impact balistique","") &amp; IF(AND(H952&lt;0,vit_z&gt;=0),"Apogée","") &amp; IF(AND(Poussee=0,Q950&gt;0),"Fin de propulsion","") &amp; IF(AND(L952&gt;L_rampe,pos_xz&lt;=L_rampe),"Sortie de rampe","")</f>
        <v/>
      </c>
      <c r="Z951" s="402" t="str">
        <f aca="false">IF(ABS(t-T_para)&lt;pas/2,"Para","")</f>
        <v/>
      </c>
      <c r="AA951" s="403" t="str">
        <f aca="false">IF(ABS(t-T_satellite)&lt;pas/2,"Satellite","")</f>
        <v/>
      </c>
      <c r="AC951" s="399" t="e">
        <f aca="false">IF(ABS(t-ROUND(t,0))&lt;0.001,t,NA())</f>
        <v>#N/A</v>
      </c>
      <c r="AD951" s="404" t="e">
        <f aca="false">IF(ABS(t-ROUND(t,0))&lt;0.001,pos_x,NA())</f>
        <v>#N/A</v>
      </c>
      <c r="AE951" s="405" t="e">
        <f aca="false">IF(t&lt;T_para, pos_z, NA())</f>
        <v>#N/A</v>
      </c>
      <c r="AG951" s="396" t="n">
        <f aca="false">IF(AND(L950&lt;L_rampe,Poussee&lt;Poids*SIN(M950)),0,(-W950+Poussee)/m-Poids*SIN(M950)/m)</f>
        <v>2.40698283760312</v>
      </c>
      <c r="AH951" s="397" t="n">
        <f aca="false">IF(AND(L950&lt;L_rampe,Poussee&lt;Poids*SIN(M950)), g*SIN(M950), (-W950+Poussee)/m)</f>
        <v>-7.35501430894254</v>
      </c>
    </row>
    <row r="952" customFormat="false" ht="12.75" hidden="false" customHeight="false" outlineLevel="0" collapsed="false">
      <c r="A952" s="396" t="n">
        <f aca="false">IF(B951+0.01&lt;=T_ini+ROUNDUP(Temps_fin_propu,0), 0.01, IF(K951&gt;0, 0.1, 0.0001))</f>
        <v>0.0001</v>
      </c>
      <c r="B952" s="397" t="n">
        <f aca="false">B951+pas</f>
        <v>32.1447000000017</v>
      </c>
      <c r="D952" s="396" t="n">
        <f aca="false">IF(AND(L951&lt;L_rampe,Poussee&lt;Poids*SIN(M951)),0,(-W951+Poussee)/m*COS(M951)-U951/m*SIN(M951))</f>
        <v>-0.726715231857234</v>
      </c>
      <c r="E952" s="398" t="n">
        <f aca="false">IF(AND(L951&lt;L_rampe,Poussee&lt;Poids*SIN(M951)),0,(-W951+Poussee)/m*SIN(M951)+U951/m*COS(M951)-Poids/m)</f>
        <v>-2.49093624528072</v>
      </c>
      <c r="F952" s="397" t="n">
        <f aca="false">SQRT(acc_x^2+acc_z^2)</f>
        <v>2.59477906694704</v>
      </c>
      <c r="G952" s="396" t="n">
        <f aca="false">G951+acc_x*pas</f>
        <v>11.4648008130528</v>
      </c>
      <c r="H952" s="398" t="n">
        <f aca="false">H951+acc_z*pas</f>
        <v>-115.467954041754</v>
      </c>
      <c r="I952" s="397" t="n">
        <f aca="false">SQRT(vit_x^2+vit_z^2)</f>
        <v>116.035727550921</v>
      </c>
      <c r="J952" s="396" t="n">
        <f aca="false">J951+0.5*(vit_x+G951)*pas*(K951&gt;=0)</f>
        <v>690.928492655337</v>
      </c>
      <c r="K952" s="398" t="n">
        <f aca="false">K951+0.5*(vit_z+H951)*pas</f>
        <v>-13.7635279508581</v>
      </c>
      <c r="L952" s="397" t="n">
        <f aca="false">SQRT(pos_x^2+pos_z^2)</f>
        <v>691.065566111226</v>
      </c>
      <c r="M952" s="396" t="n">
        <f aca="false">IF(AND(L951&gt;L_rampe,G952&gt;0),ATAN2(G952,H952),$M$4)</f>
        <v>-1.47183079976352</v>
      </c>
      <c r="N952" s="397" t="n">
        <f aca="false">DEGREES(Beta)</f>
        <v>-84.3296929838142</v>
      </c>
      <c r="P952" s="399" t="n">
        <f aca="false">MATCH(t-pas/2-T_ini,CdP_t)</f>
        <v>23</v>
      </c>
      <c r="Q952" s="397" t="n">
        <f aca="false">(INDEX(CdP,2,i_P+1)-INDEX(CdP,2,i_P+0))/(INDEX(CdP,1,i_P+1)-INDEX(CdP,1,i_P+0))*(t-pas/2-T_ini-INDEX(CdP,1,i_P+0))+INDEX(CdP,2,i_P+0)</f>
        <v>0</v>
      </c>
      <c r="R952" s="396" t="n">
        <f aca="false">Poussee/(g*ISP)</f>
        <v>0</v>
      </c>
      <c r="S952" s="398" t="n">
        <f aca="false">S951-Débit*pas</f>
        <v>8.45</v>
      </c>
      <c r="T952" s="397" t="n">
        <f aca="false">m*g</f>
        <v>82.8945</v>
      </c>
      <c r="U952" s="400" t="n">
        <f aca="false">IF(pos_xz&lt;L_rampe,Poids*COS(Beta),0)</f>
        <v>0</v>
      </c>
      <c r="V952" s="396" t="n">
        <f aca="false">Rho_moyen*(20000-Alt_rampe-pos_z)/(20000+Alt_rampe+pos_z)</f>
        <v>1.22668719326056</v>
      </c>
      <c r="W952" s="397" t="n">
        <f aca="false">1/2*Rho*Sref*Cx*vit_xz^2</f>
        <v>62.1505301186747</v>
      </c>
      <c r="Y952" s="408" t="str">
        <f aca="false">IF(AND(pos_z&lt;=0,K951&gt;0),"Impact balistique","") &amp; IF(AND(H953&lt;0,vit_z&gt;=0),"Apogée","") &amp; IF(AND(Poussee=0,Q951&gt;0),"Fin de propulsion","") &amp; IF(AND(L953&gt;L_rampe,pos_xz&lt;=L_rampe),"Sortie de rampe","")</f>
        <v/>
      </c>
      <c r="Z952" s="402" t="str">
        <f aca="false">IF(ABS(t-T_para)&lt;pas/2,"Para","")</f>
        <v/>
      </c>
      <c r="AA952" s="403" t="str">
        <f aca="false">IF(ABS(t-T_satellite)&lt;pas/2,"Satellite","")</f>
        <v/>
      </c>
      <c r="AC952" s="399" t="e">
        <f aca="false">IF(ABS(t-ROUND(t,0))&lt;0.001,t,NA())</f>
        <v>#N/A</v>
      </c>
      <c r="AD952" s="404" t="e">
        <f aca="false">IF(ABS(t-ROUND(t,0))&lt;0.001,pos_x,NA())</f>
        <v>#N/A</v>
      </c>
      <c r="AE952" s="405" t="e">
        <f aca="false">IF(t&lt;T_para, pos_z, NA())</f>
        <v>#N/A</v>
      </c>
      <c r="AG952" s="396" t="n">
        <f aca="false">IF(AND(L951&lt;L_rampe,Poussee&lt;Poids*SIN(M951)),0,(-W951+Poussee)/m-Poids*SIN(M951)/m)</f>
        <v>2.40694464071768</v>
      </c>
      <c r="AH952" s="397" t="n">
        <f aca="false">IF(AND(L951&lt;L_rampe,Poussee&lt;Poids*SIN(M951)), g*SIN(M951), (-W951+Poussee)/m)</f>
        <v>-7.35505331550076</v>
      </c>
    </row>
    <row r="953" customFormat="false" ht="12.75" hidden="false" customHeight="false" outlineLevel="0" collapsed="false">
      <c r="A953" s="396" t="n">
        <f aca="false">IF(B952+0.01&lt;=T_ini+ROUNDUP(Temps_fin_propu,0), 0.01, IF(K952&gt;0, 0.1, 0.0001))</f>
        <v>0.0001</v>
      </c>
      <c r="B953" s="397" t="n">
        <f aca="false">B952+pas</f>
        <v>32.1448000000017</v>
      </c>
      <c r="D953" s="396" t="n">
        <f aca="false">IF(AND(L952&lt;L_rampe,Poussee&lt;Poids*SIN(M952)),0,(-W952+Poussee)/m*COS(M952)-U952/m*SIN(M952))</f>
        <v>-0.726712972031137</v>
      </c>
      <c r="E953" s="398" t="n">
        <f aca="false">IF(AND(L952&lt;L_rampe,Poussee&lt;Poids*SIN(M952)),0,(-W952+Poussee)/m*SIN(M952)+U952/m*COS(M952)-Poids/m)</f>
        <v>-2.49089682286476</v>
      </c>
      <c r="F953" s="397" t="n">
        <f aca="false">SQRT(acc_x^2+acc_z^2)</f>
        <v>2.59474058932219</v>
      </c>
      <c r="G953" s="396" t="n">
        <f aca="false">G952+acc_x*pas</f>
        <v>11.4647281417556</v>
      </c>
      <c r="H953" s="398" t="n">
        <f aca="false">H952+acc_z*pas</f>
        <v>-115.468203131436</v>
      </c>
      <c r="I953" s="397" t="n">
        <f aca="false">SQRT(vit_x^2+vit_z^2)</f>
        <v>116.035968241606</v>
      </c>
      <c r="J953" s="396" t="n">
        <f aca="false">J952+0.5*(vit_x+G952)*pas*(K952&gt;=0)</f>
        <v>690.928492655337</v>
      </c>
      <c r="K953" s="398" t="n">
        <f aca="false">K952+0.5*(vit_z+H952)*pas</f>
        <v>-13.7750747587168</v>
      </c>
      <c r="L953" s="397" t="n">
        <f aca="false">SQRT(pos_x^2+pos_z^2)</f>
        <v>691.065796178326</v>
      </c>
      <c r="M953" s="396" t="n">
        <f aca="false">IF(AND(L952&gt;L_rampe,G953&gt;0),ATAN2(G953,H953),$M$4)</f>
        <v>-1.47183163508021</v>
      </c>
      <c r="N953" s="397" t="n">
        <f aca="false">DEGREES(Beta)</f>
        <v>-84.3297408439353</v>
      </c>
      <c r="P953" s="399" t="n">
        <f aca="false">MATCH(t-pas/2-T_ini,CdP_t)</f>
        <v>23</v>
      </c>
      <c r="Q953" s="397" t="n">
        <f aca="false">(INDEX(CdP,2,i_P+1)-INDEX(CdP,2,i_P+0))/(INDEX(CdP,1,i_P+1)-INDEX(CdP,1,i_P+0))*(t-pas/2-T_ini-INDEX(CdP,1,i_P+0))+INDEX(CdP,2,i_P+0)</f>
        <v>0</v>
      </c>
      <c r="R953" s="396" t="n">
        <f aca="false">Poussee/(g*ISP)</f>
        <v>0</v>
      </c>
      <c r="S953" s="398" t="n">
        <f aca="false">S952-Débit*pas</f>
        <v>8.45</v>
      </c>
      <c r="T953" s="397" t="n">
        <f aca="false">m*g</f>
        <v>82.8945</v>
      </c>
      <c r="U953" s="400" t="n">
        <f aca="false">IF(pos_xz&lt;L_rampe,Poids*COS(Beta),0)</f>
        <v>0</v>
      </c>
      <c r="V953" s="396" t="n">
        <f aca="false">Rho_moyen*(20000-Alt_rampe-pos_z)/(20000+Alt_rampe+pos_z)</f>
        <v>1.22668860969418</v>
      </c>
      <c r="W953" s="397" t="n">
        <f aca="false">1/2*Rho*Sref*Cx*vit_xz^2</f>
        <v>62.1508597186443</v>
      </c>
      <c r="Y953" s="408" t="str">
        <f aca="false">IF(AND(pos_z&lt;=0,K952&gt;0),"Impact balistique","") &amp; IF(AND(H954&lt;0,vit_z&gt;=0),"Apogée","") &amp; IF(AND(Poussee=0,Q952&gt;0),"Fin de propulsion","") &amp; IF(AND(L954&gt;L_rampe,pos_xz&lt;=L_rampe),"Sortie de rampe","")</f>
        <v/>
      </c>
      <c r="Z953" s="402" t="str">
        <f aca="false">IF(ABS(t-T_para)&lt;pas/2,"Para","")</f>
        <v/>
      </c>
      <c r="AA953" s="403" t="str">
        <f aca="false">IF(ABS(t-T_satellite)&lt;pas/2,"Satellite","")</f>
        <v/>
      </c>
      <c r="AC953" s="399" t="e">
        <f aca="false">IF(ABS(t-ROUND(t,0))&lt;0.001,t,NA())</f>
        <v>#N/A</v>
      </c>
      <c r="AD953" s="404" t="e">
        <f aca="false">IF(ABS(t-ROUND(t,0))&lt;0.001,pos_x,NA())</f>
        <v>#N/A</v>
      </c>
      <c r="AE953" s="405" t="e">
        <f aca="false">IF(t&lt;T_para, pos_z, NA())</f>
        <v>#N/A</v>
      </c>
      <c r="AG953" s="396" t="n">
        <f aca="false">IF(AND(L952&lt;L_rampe,Poussee&lt;Poids*SIN(M952)),0,(-W952+Poussee)/m-Poids*SIN(M952)/m)</f>
        <v>2.40690644413927</v>
      </c>
      <c r="AH953" s="397" t="n">
        <f aca="false">IF(AND(L952&lt;L_rampe,Poussee&lt;Poids*SIN(M952)), g*SIN(M952), (-W952+Poussee)/m)</f>
        <v>-7.35509232173666</v>
      </c>
    </row>
    <row r="954" customFormat="false" ht="12.75" hidden="false" customHeight="false" outlineLevel="0" collapsed="false">
      <c r="A954" s="396" t="n">
        <f aca="false">IF(B953+0.01&lt;=T_ini+ROUNDUP(Temps_fin_propu,0), 0.01, IF(K953&gt;0, 0.1, 0.0001))</f>
        <v>0.0001</v>
      </c>
      <c r="B954" s="397" t="n">
        <f aca="false">B953+pas</f>
        <v>32.1449000000017</v>
      </c>
      <c r="D954" s="396" t="n">
        <f aca="false">IF(AND(L953&lt;L_rampe,Poussee&lt;Poids*SIN(M953)),0,(-W953+Poussee)/m*COS(M953)-U953/m*SIN(M953))</f>
        <v>-0.726710712171956</v>
      </c>
      <c r="E954" s="398" t="n">
        <f aca="false">IF(AND(L953&lt;L_rampe,Poussee&lt;Poids*SIN(M953)),0,(-W953+Poussee)/m*SIN(M953)+U953/m*COS(M953)-Poids/m)</f>
        <v>-2.49085740077459</v>
      </c>
      <c r="F954" s="397" t="n">
        <f aca="false">SQRT(acc_x^2+acc_z^2)</f>
        <v>2.59470211203117</v>
      </c>
      <c r="G954" s="396" t="n">
        <f aca="false">G953+acc_x*pas</f>
        <v>11.4646554706844</v>
      </c>
      <c r="H954" s="398" t="n">
        <f aca="false">H953+acc_z*pas</f>
        <v>-115.468452217176</v>
      </c>
      <c r="I954" s="397" t="n">
        <f aca="false">SQRT(vit_x^2+vit_z^2)</f>
        <v>116.036208928471</v>
      </c>
      <c r="J954" s="396" t="n">
        <f aca="false">J953+0.5*(vit_x+G953)*pas*(K953&gt;=0)</f>
        <v>690.928492655337</v>
      </c>
      <c r="K954" s="398" t="n">
        <f aca="false">K953+0.5*(vit_z+H953)*pas</f>
        <v>-13.7866215914842</v>
      </c>
      <c r="L954" s="397" t="n">
        <f aca="false">SQRT(pos_x^2+pos_z^2)</f>
        <v>691.066026438779</v>
      </c>
      <c r="M954" s="396" t="n">
        <f aca="false">IF(AND(L953&gt;L_rampe,G954&gt;0),ATAN2(G954,H954),$M$4)</f>
        <v>-1.47183247038815</v>
      </c>
      <c r="N954" s="397" t="n">
        <f aca="false">DEGREES(Beta)</f>
        <v>-84.3297887035545</v>
      </c>
      <c r="P954" s="399" t="n">
        <f aca="false">MATCH(t-pas/2-T_ini,CdP_t)</f>
        <v>23</v>
      </c>
      <c r="Q954" s="397" t="n">
        <f aca="false">(INDEX(CdP,2,i_P+1)-INDEX(CdP,2,i_P+0))/(INDEX(CdP,1,i_P+1)-INDEX(CdP,1,i_P+0))*(t-pas/2-T_ini-INDEX(CdP,1,i_P+0))+INDEX(CdP,2,i_P+0)</f>
        <v>0</v>
      </c>
      <c r="R954" s="396" t="n">
        <f aca="false">Poussee/(g*ISP)</f>
        <v>0</v>
      </c>
      <c r="S954" s="398" t="n">
        <f aca="false">S953-Débit*pas</f>
        <v>8.45</v>
      </c>
      <c r="T954" s="397" t="n">
        <f aca="false">m*g</f>
        <v>82.8945</v>
      </c>
      <c r="U954" s="400" t="n">
        <f aca="false">IF(pos_xz&lt;L_rampe,Poids*COS(Beta),0)</f>
        <v>0</v>
      </c>
      <c r="V954" s="396" t="n">
        <f aca="false">Rho_moyen*(20000-Alt_rampe-pos_z)/(20000+Alt_rampe+pos_z)</f>
        <v>1.2266900261325</v>
      </c>
      <c r="W954" s="397" t="n">
        <f aca="false">1/2*Rho*Sref*Cx*vit_xz^2</f>
        <v>62.1511893158901</v>
      </c>
      <c r="Y954" s="408" t="str">
        <f aca="false">IF(AND(pos_z&lt;=0,K953&gt;0),"Impact balistique","") &amp; IF(AND(H955&lt;0,vit_z&gt;=0),"Apogée","") &amp; IF(AND(Poussee=0,Q953&gt;0),"Fin de propulsion","") &amp; IF(AND(L955&gt;L_rampe,pos_xz&lt;=L_rampe),"Sortie de rampe","")</f>
        <v/>
      </c>
      <c r="Z954" s="402" t="str">
        <f aca="false">IF(ABS(t-T_para)&lt;pas/2,"Para","")</f>
        <v/>
      </c>
      <c r="AA954" s="403" t="str">
        <f aca="false">IF(ABS(t-T_satellite)&lt;pas/2,"Satellite","")</f>
        <v/>
      </c>
      <c r="AC954" s="399" t="e">
        <f aca="false">IF(ABS(t-ROUND(t,0))&lt;0.001,t,NA())</f>
        <v>#N/A</v>
      </c>
      <c r="AD954" s="404" t="e">
        <f aca="false">IF(ABS(t-ROUND(t,0))&lt;0.001,pos_x,NA())</f>
        <v>#N/A</v>
      </c>
      <c r="AE954" s="405" t="e">
        <f aca="false">IF(t&lt;T_para, pos_z, NA())</f>
        <v>#N/A</v>
      </c>
      <c r="AG954" s="396" t="n">
        <f aca="false">IF(AND(L953&lt;L_rampe,Poussee&lt;Poids*SIN(M953)),0,(-W953+Poussee)/m-Poids*SIN(M953)/m)</f>
        <v>2.40686824786789</v>
      </c>
      <c r="AH954" s="397" t="n">
        <f aca="false">IF(AND(L953&lt;L_rampe,Poussee&lt;Poids*SIN(M953)), g*SIN(M953), (-W953+Poussee)/m)</f>
        <v>-7.35513132765021</v>
      </c>
    </row>
    <row r="955" customFormat="false" ht="12.75" hidden="false" customHeight="false" outlineLevel="0" collapsed="false">
      <c r="A955" s="396" t="n">
        <f aca="false">IF(B954+0.01&lt;=T_ini+ROUNDUP(Temps_fin_propu,0), 0.01, IF(K954&gt;0, 0.1, 0.0001))</f>
        <v>0.0001</v>
      </c>
      <c r="B955" s="397" t="n">
        <f aca="false">B954+pas</f>
        <v>32.1450000000017</v>
      </c>
      <c r="D955" s="396" t="n">
        <f aca="false">IF(AND(L954&lt;L_rampe,Poussee&lt;Poids*SIN(M954)),0,(-W954+Poussee)/m*COS(M954)-U954/m*SIN(M954))</f>
        <v>-0.72670845227969</v>
      </c>
      <c r="E955" s="398" t="n">
        <f aca="false">IF(AND(L954&lt;L_rampe,Poussee&lt;Poids*SIN(M954)),0,(-W954+Poussee)/m*SIN(M954)+U954/m*COS(M954)-Poids/m)</f>
        <v>-2.49081797901021</v>
      </c>
      <c r="F955" s="397" t="n">
        <f aca="false">SQRT(acc_x^2+acc_z^2)</f>
        <v>2.59466363507397</v>
      </c>
      <c r="G955" s="396" t="n">
        <f aca="false">G954+acc_x*pas</f>
        <v>11.4645827998392</v>
      </c>
      <c r="H955" s="398" t="n">
        <f aca="false">H954+acc_z*pas</f>
        <v>-115.468701298974</v>
      </c>
      <c r="I955" s="397" t="n">
        <f aca="false">SQRT(vit_x^2+vit_z^2)</f>
        <v>116.036449611517</v>
      </c>
      <c r="J955" s="396" t="n">
        <f aca="false">J954+0.5*(vit_x+G954)*pas*(K954&gt;=0)</f>
        <v>690.928492655337</v>
      </c>
      <c r="K955" s="398" t="n">
        <f aca="false">K954+0.5*(vit_z+H954)*pas</f>
        <v>-13.79816844916</v>
      </c>
      <c r="L955" s="397" t="n">
        <f aca="false">SQRT(pos_x^2+pos_z^2)</f>
        <v>691.066256892584</v>
      </c>
      <c r="M955" s="396" t="n">
        <f aca="false">IF(AND(L954&gt;L_rampe,G955&gt;0),ATAN2(G955,H955),$M$4)</f>
        <v>-1.47183330568732</v>
      </c>
      <c r="N955" s="397" t="n">
        <f aca="false">DEGREES(Beta)</f>
        <v>-84.3298365626718</v>
      </c>
      <c r="P955" s="399" t="n">
        <f aca="false">MATCH(t-pas/2-T_ini,CdP_t)</f>
        <v>23</v>
      </c>
      <c r="Q955" s="397" t="n">
        <f aca="false">(INDEX(CdP,2,i_P+1)-INDEX(CdP,2,i_P+0))/(INDEX(CdP,1,i_P+1)-INDEX(CdP,1,i_P+0))*(t-pas/2-T_ini-INDEX(CdP,1,i_P+0))+INDEX(CdP,2,i_P+0)</f>
        <v>0</v>
      </c>
      <c r="R955" s="396" t="n">
        <f aca="false">Poussee/(g*ISP)</f>
        <v>0</v>
      </c>
      <c r="S955" s="398" t="n">
        <f aca="false">S954-Débit*pas</f>
        <v>8.45</v>
      </c>
      <c r="T955" s="397" t="n">
        <f aca="false">m*g</f>
        <v>82.8945</v>
      </c>
      <c r="U955" s="400" t="n">
        <f aca="false">IF(pos_xz&lt;L_rampe,Poids*COS(Beta),0)</f>
        <v>0</v>
      </c>
      <c r="V955" s="396" t="n">
        <f aca="false">Rho_moyen*(20000-Alt_rampe-pos_z)/(20000+Alt_rampe+pos_z)</f>
        <v>1.2266914425755</v>
      </c>
      <c r="W955" s="397" t="n">
        <f aca="false">1/2*Rho*Sref*Cx*vit_xz^2</f>
        <v>62.1515189104122</v>
      </c>
      <c r="Y955" s="408" t="str">
        <f aca="false">IF(AND(pos_z&lt;=0,K954&gt;0),"Impact balistique","") &amp; IF(AND(H956&lt;0,vit_z&gt;=0),"Apogée","") &amp; IF(AND(Poussee=0,Q954&gt;0),"Fin de propulsion","") &amp; IF(AND(L956&gt;L_rampe,pos_xz&lt;=L_rampe),"Sortie de rampe","")</f>
        <v/>
      </c>
      <c r="Z955" s="402" t="str">
        <f aca="false">IF(ABS(t-T_para)&lt;pas/2,"Para","")</f>
        <v/>
      </c>
      <c r="AA955" s="403" t="str">
        <f aca="false">IF(ABS(t-T_satellite)&lt;pas/2,"Satellite","")</f>
        <v/>
      </c>
      <c r="AC955" s="399" t="e">
        <f aca="false">IF(ABS(t-ROUND(t,0))&lt;0.001,t,NA())</f>
        <v>#N/A</v>
      </c>
      <c r="AD955" s="404" t="e">
        <f aca="false">IF(ABS(t-ROUND(t,0))&lt;0.001,pos_x,NA())</f>
        <v>#N/A</v>
      </c>
      <c r="AE955" s="405" t="e">
        <f aca="false">IF(t&lt;T_para, pos_z, NA())</f>
        <v>#N/A</v>
      </c>
      <c r="AG955" s="396" t="n">
        <f aca="false">IF(AND(L954&lt;L_rampe,Poussee&lt;Poids*SIN(M954)),0,(-W954+Poussee)/m-Poids*SIN(M954)/m)</f>
        <v>2.40683005190355</v>
      </c>
      <c r="AH955" s="397" t="n">
        <f aca="false">IF(AND(L954&lt;L_rampe,Poussee&lt;Poids*SIN(M954)), g*SIN(M954), (-W954+Poussee)/m)</f>
        <v>-7.35517033324143</v>
      </c>
    </row>
    <row r="956" customFormat="false" ht="12.75" hidden="false" customHeight="false" outlineLevel="0" collapsed="false">
      <c r="A956" s="396" t="n">
        <f aca="false">IF(B955+0.01&lt;=T_ini+ROUNDUP(Temps_fin_propu,0), 0.01, IF(K955&gt;0, 0.1, 0.0001))</f>
        <v>0.0001</v>
      </c>
      <c r="B956" s="397" t="n">
        <f aca="false">B955+pas</f>
        <v>32.1451000000017</v>
      </c>
      <c r="D956" s="396" t="n">
        <f aca="false">IF(AND(L955&lt;L_rampe,Poussee&lt;Poids*SIN(M955)),0,(-W955+Poussee)/m*COS(M955)-U955/m*SIN(M955))</f>
        <v>-0.726706192354343</v>
      </c>
      <c r="E956" s="398" t="n">
        <f aca="false">IF(AND(L955&lt;L_rampe,Poussee&lt;Poids*SIN(M955)),0,(-W955+Poussee)/m*SIN(M955)+U955/m*COS(M955)-Poids/m)</f>
        <v>-2.49077855757163</v>
      </c>
      <c r="F956" s="397" t="n">
        <f aca="false">SQRT(acc_x^2+acc_z^2)</f>
        <v>2.59462515845059</v>
      </c>
      <c r="G956" s="396" t="n">
        <f aca="false">G955+acc_x*pas</f>
        <v>11.46451012922</v>
      </c>
      <c r="H956" s="398" t="n">
        <f aca="false">H955+acc_z*pas</f>
        <v>-115.46895037683</v>
      </c>
      <c r="I956" s="397" t="n">
        <f aca="false">SQRT(vit_x^2+vit_z^2)</f>
        <v>116.036690290743</v>
      </c>
      <c r="J956" s="396" t="n">
        <f aca="false">J955+0.5*(vit_x+G955)*pas*(K955&gt;=0)</f>
        <v>690.928492655337</v>
      </c>
      <c r="K956" s="398" t="n">
        <f aca="false">K955+0.5*(vit_z+H955)*pas</f>
        <v>-13.8097153317438</v>
      </c>
      <c r="L956" s="397" t="n">
        <f aca="false">SQRT(pos_x^2+pos_z^2)</f>
        <v>691.066487539744</v>
      </c>
      <c r="M956" s="396" t="n">
        <f aca="false">IF(AND(L955&gt;L_rampe,G956&gt;0),ATAN2(G956,H956),$M$4)</f>
        <v>-1.47183414097774</v>
      </c>
      <c r="N956" s="397" t="n">
        <f aca="false">DEGREES(Beta)</f>
        <v>-84.3298844212873</v>
      </c>
      <c r="P956" s="399" t="n">
        <f aca="false">MATCH(t-pas/2-T_ini,CdP_t)</f>
        <v>23</v>
      </c>
      <c r="Q956" s="397" t="n">
        <f aca="false">(INDEX(CdP,2,i_P+1)-INDEX(CdP,2,i_P+0))/(INDEX(CdP,1,i_P+1)-INDEX(CdP,1,i_P+0))*(t-pas/2-T_ini-INDEX(CdP,1,i_P+0))+INDEX(CdP,2,i_P+0)</f>
        <v>0</v>
      </c>
      <c r="R956" s="396" t="n">
        <f aca="false">Poussee/(g*ISP)</f>
        <v>0</v>
      </c>
      <c r="S956" s="398" t="n">
        <f aca="false">S955-Débit*pas</f>
        <v>8.45</v>
      </c>
      <c r="T956" s="397" t="n">
        <f aca="false">m*g</f>
        <v>82.8945</v>
      </c>
      <c r="U956" s="400" t="n">
        <f aca="false">IF(pos_xz&lt;L_rampe,Poids*COS(Beta),0)</f>
        <v>0</v>
      </c>
      <c r="V956" s="396" t="n">
        <f aca="false">Rho_moyen*(20000-Alt_rampe-pos_z)/(20000+Alt_rampe+pos_z)</f>
        <v>1.2266928590232</v>
      </c>
      <c r="W956" s="397" t="n">
        <f aca="false">1/2*Rho*Sref*Cx*vit_xz^2</f>
        <v>62.1518485022105</v>
      </c>
      <c r="Y956" s="408" t="str">
        <f aca="false">IF(AND(pos_z&lt;=0,K955&gt;0),"Impact balistique","") &amp; IF(AND(H957&lt;0,vit_z&gt;=0),"Apogée","") &amp; IF(AND(Poussee=0,Q955&gt;0),"Fin de propulsion","") &amp; IF(AND(L957&gt;L_rampe,pos_xz&lt;=L_rampe),"Sortie de rampe","")</f>
        <v/>
      </c>
      <c r="Z956" s="402" t="str">
        <f aca="false">IF(ABS(t-T_para)&lt;pas/2,"Para","")</f>
        <v/>
      </c>
      <c r="AA956" s="403" t="str">
        <f aca="false">IF(ABS(t-T_satellite)&lt;pas/2,"Satellite","")</f>
        <v/>
      </c>
      <c r="AC956" s="399" t="e">
        <f aca="false">IF(ABS(t-ROUND(t,0))&lt;0.001,t,NA())</f>
        <v>#N/A</v>
      </c>
      <c r="AD956" s="404" t="e">
        <f aca="false">IF(ABS(t-ROUND(t,0))&lt;0.001,pos_x,NA())</f>
        <v>#N/A</v>
      </c>
      <c r="AE956" s="405" t="e">
        <f aca="false">IF(t&lt;T_para, pos_z, NA())</f>
        <v>#N/A</v>
      </c>
      <c r="AG956" s="396" t="n">
        <f aca="false">IF(AND(L955&lt;L_rampe,Poussee&lt;Poids*SIN(M955)),0,(-W955+Poussee)/m-Poids*SIN(M955)/m)</f>
        <v>2.40679185624624</v>
      </c>
      <c r="AH956" s="397" t="n">
        <f aca="false">IF(AND(L955&lt;L_rampe,Poussee&lt;Poids*SIN(M955)), g*SIN(M955), (-W955+Poussee)/m)</f>
        <v>-7.35520933851032</v>
      </c>
    </row>
    <row r="957" customFormat="false" ht="12.75" hidden="false" customHeight="false" outlineLevel="0" collapsed="false">
      <c r="A957" s="396" t="n">
        <f aca="false">IF(B956+0.01&lt;=T_ini+ROUNDUP(Temps_fin_propu,0), 0.01, IF(K956&gt;0, 0.1, 0.0001))</f>
        <v>0.0001</v>
      </c>
      <c r="B957" s="397" t="n">
        <f aca="false">B956+pas</f>
        <v>32.1452000000017</v>
      </c>
      <c r="D957" s="396" t="n">
        <f aca="false">IF(AND(L956&lt;L_rampe,Poussee&lt;Poids*SIN(M956)),0,(-W956+Poussee)/m*COS(M956)-U956/m*SIN(M956))</f>
        <v>-0.726703932395912</v>
      </c>
      <c r="E957" s="398" t="n">
        <f aca="false">IF(AND(L956&lt;L_rampe,Poussee&lt;Poids*SIN(M956)),0,(-W956+Poussee)/m*SIN(M956)+U956/m*COS(M956)-Poids/m)</f>
        <v>-2.49073913645884</v>
      </c>
      <c r="F957" s="397" t="n">
        <f aca="false">SQRT(acc_x^2+acc_z^2)</f>
        <v>2.59458668216104</v>
      </c>
      <c r="G957" s="396" t="n">
        <f aca="false">G956+acc_x*pas</f>
        <v>11.4644374588267</v>
      </c>
      <c r="H957" s="398" t="n">
        <f aca="false">H956+acc_z*pas</f>
        <v>-115.469199450744</v>
      </c>
      <c r="I957" s="397" t="n">
        <f aca="false">SQRT(vit_x^2+vit_z^2)</f>
        <v>116.03693096615</v>
      </c>
      <c r="J957" s="396" t="n">
        <f aca="false">J956+0.5*(vit_x+G956)*pas*(K956&gt;=0)</f>
        <v>690.928492655337</v>
      </c>
      <c r="K957" s="398" t="n">
        <f aca="false">K956+0.5*(vit_z+H956)*pas</f>
        <v>-13.8212622392352</v>
      </c>
      <c r="L957" s="397" t="n">
        <f aca="false">SQRT(pos_x^2+pos_z^2)</f>
        <v>691.06671838026</v>
      </c>
      <c r="M957" s="396" t="n">
        <f aca="false">IF(AND(L956&gt;L_rampe,G957&gt;0),ATAN2(G957,H957),$M$4)</f>
        <v>-1.47183497625939</v>
      </c>
      <c r="N957" s="397" t="n">
        <f aca="false">DEGREES(Beta)</f>
        <v>-84.3299322794008</v>
      </c>
      <c r="P957" s="399" t="n">
        <f aca="false">MATCH(t-pas/2-T_ini,CdP_t)</f>
        <v>23</v>
      </c>
      <c r="Q957" s="397" t="n">
        <f aca="false">(INDEX(CdP,2,i_P+1)-INDEX(CdP,2,i_P+0))/(INDEX(CdP,1,i_P+1)-INDEX(CdP,1,i_P+0))*(t-pas/2-T_ini-INDEX(CdP,1,i_P+0))+INDEX(CdP,2,i_P+0)</f>
        <v>0</v>
      </c>
      <c r="R957" s="396" t="n">
        <f aca="false">Poussee/(g*ISP)</f>
        <v>0</v>
      </c>
      <c r="S957" s="398" t="n">
        <f aca="false">S956-Débit*pas</f>
        <v>8.45</v>
      </c>
      <c r="T957" s="397" t="n">
        <f aca="false">m*g</f>
        <v>82.8945</v>
      </c>
      <c r="U957" s="400" t="n">
        <f aca="false">IF(pos_xz&lt;L_rampe,Poids*COS(Beta),0)</f>
        <v>0</v>
      </c>
      <c r="V957" s="396" t="n">
        <f aca="false">Rho_moyen*(20000-Alt_rampe-pos_z)/(20000+Alt_rampe+pos_z)</f>
        <v>1.22669427547559</v>
      </c>
      <c r="W957" s="397" t="n">
        <f aca="false">1/2*Rho*Sref*Cx*vit_xz^2</f>
        <v>62.1521780912851</v>
      </c>
      <c r="Y957" s="408" t="str">
        <f aca="false">IF(AND(pos_z&lt;=0,K956&gt;0),"Impact balistique","") &amp; IF(AND(H958&lt;0,vit_z&gt;=0),"Apogée","") &amp; IF(AND(Poussee=0,Q956&gt;0),"Fin de propulsion","") &amp; IF(AND(L958&gt;L_rampe,pos_xz&lt;=L_rampe),"Sortie de rampe","")</f>
        <v/>
      </c>
      <c r="Z957" s="402" t="str">
        <f aca="false">IF(ABS(t-T_para)&lt;pas/2,"Para","")</f>
        <v/>
      </c>
      <c r="AA957" s="403" t="str">
        <f aca="false">IF(ABS(t-T_satellite)&lt;pas/2,"Satellite","")</f>
        <v/>
      </c>
      <c r="AC957" s="399" t="e">
        <f aca="false">IF(ABS(t-ROUND(t,0))&lt;0.001,t,NA())</f>
        <v>#N/A</v>
      </c>
      <c r="AD957" s="404" t="e">
        <f aca="false">IF(ABS(t-ROUND(t,0))&lt;0.001,pos_x,NA())</f>
        <v>#N/A</v>
      </c>
      <c r="AE957" s="405" t="e">
        <f aca="false">IF(t&lt;T_para, pos_z, NA())</f>
        <v>#N/A</v>
      </c>
      <c r="AG957" s="396" t="n">
        <f aca="false">IF(AND(L956&lt;L_rampe,Poussee&lt;Poids*SIN(M956)),0,(-W956+Poussee)/m-Poids*SIN(M956)/m)</f>
        <v>2.40675366089597</v>
      </c>
      <c r="AH957" s="397" t="n">
        <f aca="false">IF(AND(L956&lt;L_rampe,Poussee&lt;Poids*SIN(M956)), g*SIN(M956), (-W956+Poussee)/m)</f>
        <v>-7.35524834345686</v>
      </c>
    </row>
    <row r="958" customFormat="false" ht="12.75" hidden="false" customHeight="false" outlineLevel="0" collapsed="false">
      <c r="A958" s="396" t="n">
        <f aca="false">IF(B957+0.01&lt;=T_ini+ROUNDUP(Temps_fin_propu,0), 0.01, IF(K957&gt;0, 0.1, 0.0001))</f>
        <v>0.0001</v>
      </c>
      <c r="B958" s="397" t="n">
        <f aca="false">B957+pas</f>
        <v>32.1453000000017</v>
      </c>
      <c r="D958" s="396" t="n">
        <f aca="false">IF(AND(L957&lt;L_rampe,Poussee&lt;Poids*SIN(M957)),0,(-W957+Poussee)/m*COS(M957)-U957/m*SIN(M957))</f>
        <v>-0.726701672404401</v>
      </c>
      <c r="E958" s="398" t="n">
        <f aca="false">IF(AND(L957&lt;L_rampe,Poussee&lt;Poids*SIN(M957)),0,(-W957+Poussee)/m*SIN(M957)+U957/m*COS(M957)-Poids/m)</f>
        <v>-2.49069971567185</v>
      </c>
      <c r="F958" s="397" t="n">
        <f aca="false">SQRT(acc_x^2+acc_z^2)</f>
        <v>2.59454820620531</v>
      </c>
      <c r="G958" s="396" t="n">
        <f aca="false">G957+acc_x*pas</f>
        <v>11.4643647886595</v>
      </c>
      <c r="H958" s="398" t="n">
        <f aca="false">H957+acc_z*pas</f>
        <v>-115.469448520715</v>
      </c>
      <c r="I958" s="397" t="n">
        <f aca="false">SQRT(vit_x^2+vit_z^2)</f>
        <v>116.037171637737</v>
      </c>
      <c r="J958" s="396" t="n">
        <f aca="false">J957+0.5*(vit_x+G957)*pas*(K957&gt;=0)</f>
        <v>690.928492655337</v>
      </c>
      <c r="K958" s="398" t="n">
        <f aca="false">K957+0.5*(vit_z+H957)*pas</f>
        <v>-13.8328091716338</v>
      </c>
      <c r="L958" s="397" t="n">
        <f aca="false">SQRT(pos_x^2+pos_z^2)</f>
        <v>691.066949414132</v>
      </c>
      <c r="M958" s="396" t="n">
        <f aca="false">IF(AND(L957&gt;L_rampe,G958&gt;0),ATAN2(G958,H958),$M$4)</f>
        <v>-1.47183581153229</v>
      </c>
      <c r="N958" s="397" t="n">
        <f aca="false">DEGREES(Beta)</f>
        <v>-84.3299801370124</v>
      </c>
      <c r="P958" s="399" t="n">
        <f aca="false">MATCH(t-pas/2-T_ini,CdP_t)</f>
        <v>23</v>
      </c>
      <c r="Q958" s="397" t="n">
        <f aca="false">(INDEX(CdP,2,i_P+1)-INDEX(CdP,2,i_P+0))/(INDEX(CdP,1,i_P+1)-INDEX(CdP,1,i_P+0))*(t-pas/2-T_ini-INDEX(CdP,1,i_P+0))+INDEX(CdP,2,i_P+0)</f>
        <v>0</v>
      </c>
      <c r="R958" s="396" t="n">
        <f aca="false">Poussee/(g*ISP)</f>
        <v>0</v>
      </c>
      <c r="S958" s="398" t="n">
        <f aca="false">S957-Débit*pas</f>
        <v>8.45</v>
      </c>
      <c r="T958" s="397" t="n">
        <f aca="false">m*g</f>
        <v>82.8945</v>
      </c>
      <c r="U958" s="400" t="n">
        <f aca="false">IF(pos_xz&lt;L_rampe,Poids*COS(Beta),0)</f>
        <v>0</v>
      </c>
      <c r="V958" s="396" t="n">
        <f aca="false">Rho_moyen*(20000-Alt_rampe-pos_z)/(20000+Alt_rampe+pos_z)</f>
        <v>1.22669569193267</v>
      </c>
      <c r="W958" s="397" t="n">
        <f aca="false">1/2*Rho*Sref*Cx*vit_xz^2</f>
        <v>62.1525076776359</v>
      </c>
      <c r="Y958" s="408" t="str">
        <f aca="false">IF(AND(pos_z&lt;=0,K957&gt;0),"Impact balistique","") &amp; IF(AND(H959&lt;0,vit_z&gt;=0),"Apogée","") &amp; IF(AND(Poussee=0,Q957&gt;0),"Fin de propulsion","") &amp; IF(AND(L959&gt;L_rampe,pos_xz&lt;=L_rampe),"Sortie de rampe","")</f>
        <v/>
      </c>
      <c r="Z958" s="402" t="str">
        <f aca="false">IF(ABS(t-T_para)&lt;pas/2,"Para","")</f>
        <v/>
      </c>
      <c r="AA958" s="403" t="str">
        <f aca="false">IF(ABS(t-T_satellite)&lt;pas/2,"Satellite","")</f>
        <v/>
      </c>
      <c r="AC958" s="399" t="e">
        <f aca="false">IF(ABS(t-ROUND(t,0))&lt;0.001,t,NA())</f>
        <v>#N/A</v>
      </c>
      <c r="AD958" s="404" t="e">
        <f aca="false">IF(ABS(t-ROUND(t,0))&lt;0.001,pos_x,NA())</f>
        <v>#N/A</v>
      </c>
      <c r="AE958" s="405" t="e">
        <f aca="false">IF(t&lt;T_para, pos_z, NA())</f>
        <v>#N/A</v>
      </c>
      <c r="AG958" s="396" t="n">
        <f aca="false">IF(AND(L957&lt;L_rampe,Poussee&lt;Poids*SIN(M957)),0,(-W957+Poussee)/m-Poids*SIN(M957)/m)</f>
        <v>2.40671546585273</v>
      </c>
      <c r="AH958" s="397" t="n">
        <f aca="false">IF(AND(L957&lt;L_rampe,Poussee&lt;Poids*SIN(M957)), g*SIN(M957), (-W957+Poussee)/m)</f>
        <v>-7.35528734808108</v>
      </c>
    </row>
    <row r="959" customFormat="false" ht="12.75" hidden="false" customHeight="false" outlineLevel="0" collapsed="false">
      <c r="A959" s="396" t="n">
        <f aca="false">IF(B958+0.01&lt;=T_ini+ROUNDUP(Temps_fin_propu,0), 0.01, IF(K958&gt;0, 0.1, 0.0001))</f>
        <v>0.0001</v>
      </c>
      <c r="B959" s="397" t="n">
        <f aca="false">B958+pas</f>
        <v>32.1454000000017</v>
      </c>
      <c r="D959" s="396" t="n">
        <f aca="false">IF(AND(L958&lt;L_rampe,Poussee&lt;Poids*SIN(M958)),0,(-W958+Poussee)/m*COS(M958)-U958/m*SIN(M958))</f>
        <v>-0.726699412379809</v>
      </c>
      <c r="E959" s="398" t="n">
        <f aca="false">IF(AND(L958&lt;L_rampe,Poussee&lt;Poids*SIN(M958)),0,(-W958+Poussee)/m*SIN(M958)+U958/m*COS(M958)-Poids/m)</f>
        <v>-2.49066029521065</v>
      </c>
      <c r="F959" s="397" t="n">
        <f aca="false">SQRT(acc_x^2+acc_z^2)</f>
        <v>2.5945097305834</v>
      </c>
      <c r="G959" s="396" t="n">
        <f aca="false">G958+acc_x*pas</f>
        <v>11.4642921187182</v>
      </c>
      <c r="H959" s="398" t="n">
        <f aca="false">H958+acc_z*pas</f>
        <v>-115.469697586745</v>
      </c>
      <c r="I959" s="397" t="n">
        <f aca="false">SQRT(vit_x^2+vit_z^2)</f>
        <v>116.037412305504</v>
      </c>
      <c r="J959" s="396" t="n">
        <f aca="false">J958+0.5*(vit_x+G958)*pas*(K958&gt;=0)</f>
        <v>690.928492655337</v>
      </c>
      <c r="K959" s="398" t="n">
        <f aca="false">K958+0.5*(vit_z+H958)*pas</f>
        <v>-13.8443561289391</v>
      </c>
      <c r="L959" s="397" t="n">
        <f aca="false">SQRT(pos_x^2+pos_z^2)</f>
        <v>691.067180641362</v>
      </c>
      <c r="M959" s="396" t="n">
        <f aca="false">IF(AND(L958&gt;L_rampe,G959&gt;0),ATAN2(G959,H959),$M$4)</f>
        <v>-1.47183664679642</v>
      </c>
      <c r="N959" s="397" t="n">
        <f aca="false">DEGREES(Beta)</f>
        <v>-84.3300279941222</v>
      </c>
      <c r="P959" s="399" t="n">
        <f aca="false">MATCH(t-pas/2-T_ini,CdP_t)</f>
        <v>23</v>
      </c>
      <c r="Q959" s="397" t="n">
        <f aca="false">(INDEX(CdP,2,i_P+1)-INDEX(CdP,2,i_P+0))/(INDEX(CdP,1,i_P+1)-INDEX(CdP,1,i_P+0))*(t-pas/2-T_ini-INDEX(CdP,1,i_P+0))+INDEX(CdP,2,i_P+0)</f>
        <v>0</v>
      </c>
      <c r="R959" s="396" t="n">
        <f aca="false">Poussee/(g*ISP)</f>
        <v>0</v>
      </c>
      <c r="S959" s="398" t="n">
        <f aca="false">S958-Débit*pas</f>
        <v>8.45</v>
      </c>
      <c r="T959" s="397" t="n">
        <f aca="false">m*g</f>
        <v>82.8945</v>
      </c>
      <c r="U959" s="400" t="n">
        <f aca="false">IF(pos_xz&lt;L_rampe,Poids*COS(Beta),0)</f>
        <v>0</v>
      </c>
      <c r="V959" s="396" t="n">
        <f aca="false">Rho_moyen*(20000-Alt_rampe-pos_z)/(20000+Alt_rampe+pos_z)</f>
        <v>1.22669710839445</v>
      </c>
      <c r="W959" s="397" t="n">
        <f aca="false">1/2*Rho*Sref*Cx*vit_xz^2</f>
        <v>62.152837261263</v>
      </c>
      <c r="Y959" s="408" t="str">
        <f aca="false">IF(AND(pos_z&lt;=0,K958&gt;0),"Impact balistique","") &amp; IF(AND(H960&lt;0,vit_z&gt;=0),"Apogée","") &amp; IF(AND(Poussee=0,Q958&gt;0),"Fin de propulsion","") &amp; IF(AND(L960&gt;L_rampe,pos_xz&lt;=L_rampe),"Sortie de rampe","")</f>
        <v/>
      </c>
      <c r="Z959" s="402" t="str">
        <f aca="false">IF(ABS(t-T_para)&lt;pas/2,"Para","")</f>
        <v/>
      </c>
      <c r="AA959" s="403" t="str">
        <f aca="false">IF(ABS(t-T_satellite)&lt;pas/2,"Satellite","")</f>
        <v/>
      </c>
      <c r="AC959" s="399" t="e">
        <f aca="false">IF(ABS(t-ROUND(t,0))&lt;0.001,t,NA())</f>
        <v>#N/A</v>
      </c>
      <c r="AD959" s="404" t="e">
        <f aca="false">IF(ABS(t-ROUND(t,0))&lt;0.001,pos_x,NA())</f>
        <v>#N/A</v>
      </c>
      <c r="AE959" s="405" t="e">
        <f aca="false">IF(t&lt;T_para, pos_z, NA())</f>
        <v>#N/A</v>
      </c>
      <c r="AG959" s="396" t="n">
        <f aca="false">IF(AND(L958&lt;L_rampe,Poussee&lt;Poids*SIN(M958)),0,(-W958+Poussee)/m-Poids*SIN(M958)/m)</f>
        <v>2.40667727111653</v>
      </c>
      <c r="AH959" s="397" t="n">
        <f aca="false">IF(AND(L958&lt;L_rampe,Poussee&lt;Poids*SIN(M958)), g*SIN(M958), (-W958+Poussee)/m)</f>
        <v>-7.35532635238295</v>
      </c>
    </row>
    <row r="960" customFormat="false" ht="12.75" hidden="false" customHeight="false" outlineLevel="0" collapsed="false">
      <c r="A960" s="396" t="n">
        <f aca="false">IF(B959+0.01&lt;=T_ini+ROUNDUP(Temps_fin_propu,0), 0.01, IF(K959&gt;0, 0.1, 0.0001))</f>
        <v>0.0001</v>
      </c>
      <c r="B960" s="397" t="n">
        <f aca="false">B959+pas</f>
        <v>32.1455000000017</v>
      </c>
      <c r="D960" s="396" t="n">
        <f aca="false">IF(AND(L959&lt;L_rampe,Poussee&lt;Poids*SIN(M959)),0,(-W959+Poussee)/m*COS(M959)-U959/m*SIN(M959))</f>
        <v>-0.726697152322136</v>
      </c>
      <c r="E960" s="398" t="n">
        <f aca="false">IF(AND(L959&lt;L_rampe,Poussee&lt;Poids*SIN(M959)),0,(-W959+Poussee)/m*SIN(M959)+U959/m*COS(M959)-Poids/m)</f>
        <v>-2.49062087507524</v>
      </c>
      <c r="F960" s="397" t="n">
        <f aca="false">SQRT(acc_x^2+acc_z^2)</f>
        <v>2.59447125529532</v>
      </c>
      <c r="G960" s="396" t="n">
        <f aca="false">G959+acc_x*pas</f>
        <v>11.464219449003</v>
      </c>
      <c r="H960" s="398" t="n">
        <f aca="false">H959+acc_z*pas</f>
        <v>-115.469946648832</v>
      </c>
      <c r="I960" s="397" t="n">
        <f aca="false">SQRT(vit_x^2+vit_z^2)</f>
        <v>116.037652969452</v>
      </c>
      <c r="J960" s="396" t="n">
        <f aca="false">J959+0.5*(vit_x+G959)*pas*(K959&gt;=0)</f>
        <v>690.928492655337</v>
      </c>
      <c r="K960" s="398" t="n">
        <f aca="false">K959+0.5*(vit_z+H959)*pas</f>
        <v>-13.8559031111509</v>
      </c>
      <c r="L960" s="397" t="n">
        <f aca="false">SQRT(pos_x^2+pos_z^2)</f>
        <v>691.06741206195</v>
      </c>
      <c r="M960" s="396" t="n">
        <f aca="false">IF(AND(L959&gt;L_rampe,G960&gt;0),ATAN2(G960,H960),$M$4)</f>
        <v>-1.4718374820518</v>
      </c>
      <c r="N960" s="397" t="n">
        <f aca="false">DEGREES(Beta)</f>
        <v>-84.33007585073</v>
      </c>
      <c r="P960" s="399" t="n">
        <f aca="false">MATCH(t-pas/2-T_ini,CdP_t)</f>
        <v>23</v>
      </c>
      <c r="Q960" s="397" t="n">
        <f aca="false">(INDEX(CdP,2,i_P+1)-INDEX(CdP,2,i_P+0))/(INDEX(CdP,1,i_P+1)-INDEX(CdP,1,i_P+0))*(t-pas/2-T_ini-INDEX(CdP,1,i_P+0))+INDEX(CdP,2,i_P+0)</f>
        <v>0</v>
      </c>
      <c r="R960" s="396" t="n">
        <f aca="false">Poussee/(g*ISP)</f>
        <v>0</v>
      </c>
      <c r="S960" s="398" t="n">
        <f aca="false">S959-Débit*pas</f>
        <v>8.45</v>
      </c>
      <c r="T960" s="397" t="n">
        <f aca="false">m*g</f>
        <v>82.8945</v>
      </c>
      <c r="U960" s="400" t="n">
        <f aca="false">IF(pos_xz&lt;L_rampe,Poids*COS(Beta),0)</f>
        <v>0</v>
      </c>
      <c r="V960" s="396" t="n">
        <f aca="false">Rho_moyen*(20000-Alt_rampe-pos_z)/(20000+Alt_rampe+pos_z)</f>
        <v>1.22669852486091</v>
      </c>
      <c r="W960" s="397" t="n">
        <f aca="false">1/2*Rho*Sref*Cx*vit_xz^2</f>
        <v>62.1531668421663</v>
      </c>
      <c r="Y960" s="408" t="str">
        <f aca="false">IF(AND(pos_z&lt;=0,K959&gt;0),"Impact balistique","") &amp; IF(AND(H961&lt;0,vit_z&gt;=0),"Apogée","") &amp; IF(AND(Poussee=0,Q959&gt;0),"Fin de propulsion","") &amp; IF(AND(L961&gt;L_rampe,pos_xz&lt;=L_rampe),"Sortie de rampe","")</f>
        <v/>
      </c>
      <c r="Z960" s="402" t="str">
        <f aca="false">IF(ABS(t-T_para)&lt;pas/2,"Para","")</f>
        <v/>
      </c>
      <c r="AA960" s="403" t="str">
        <f aca="false">IF(ABS(t-T_satellite)&lt;pas/2,"Satellite","")</f>
        <v/>
      </c>
      <c r="AC960" s="399" t="e">
        <f aca="false">IF(ABS(t-ROUND(t,0))&lt;0.001,t,NA())</f>
        <v>#N/A</v>
      </c>
      <c r="AD960" s="404" t="e">
        <f aca="false">IF(ABS(t-ROUND(t,0))&lt;0.001,pos_x,NA())</f>
        <v>#N/A</v>
      </c>
      <c r="AE960" s="405" t="e">
        <f aca="false">IF(t&lt;T_para, pos_z, NA())</f>
        <v>#N/A</v>
      </c>
      <c r="AG960" s="396" t="n">
        <f aca="false">IF(AND(L959&lt;L_rampe,Poussee&lt;Poids*SIN(M959)),0,(-W959+Poussee)/m-Poids*SIN(M959)/m)</f>
        <v>2.40663907668737</v>
      </c>
      <c r="AH960" s="397" t="n">
        <f aca="false">IF(AND(L959&lt;L_rampe,Poussee&lt;Poids*SIN(M959)), g*SIN(M959), (-W959+Poussee)/m)</f>
        <v>-7.35536535636249</v>
      </c>
    </row>
    <row r="961" customFormat="false" ht="12.75" hidden="false" customHeight="false" outlineLevel="0" collapsed="false">
      <c r="A961" s="396" t="n">
        <f aca="false">IF(B960+0.01&lt;=T_ini+ROUNDUP(Temps_fin_propu,0), 0.01, IF(K960&gt;0, 0.1, 0.0001))</f>
        <v>0.0001</v>
      </c>
      <c r="B961" s="397" t="n">
        <f aca="false">B960+pas</f>
        <v>32.1456000000017</v>
      </c>
      <c r="D961" s="396" t="n">
        <f aca="false">IF(AND(L960&lt;L_rampe,Poussee&lt;Poids*SIN(M960)),0,(-W960+Poussee)/m*COS(M960)-U960/m*SIN(M960))</f>
        <v>-0.726694892231386</v>
      </c>
      <c r="E961" s="398" t="n">
        <f aca="false">IF(AND(L960&lt;L_rampe,Poussee&lt;Poids*SIN(M960)),0,(-W960+Poussee)/m*SIN(M960)+U960/m*COS(M960)-Poids/m)</f>
        <v>-2.49058145526563</v>
      </c>
      <c r="F961" s="397" t="n">
        <f aca="false">SQRT(acc_x^2+acc_z^2)</f>
        <v>2.59443278034106</v>
      </c>
      <c r="G961" s="396" t="n">
        <f aca="false">G960+acc_x*pas</f>
        <v>11.4641467795138</v>
      </c>
      <c r="H961" s="398" t="n">
        <f aca="false">H960+acc_z*pas</f>
        <v>-115.470195706978</v>
      </c>
      <c r="I961" s="397" t="n">
        <f aca="false">SQRT(vit_x^2+vit_z^2)</f>
        <v>116.037893629581</v>
      </c>
      <c r="J961" s="396" t="n">
        <f aca="false">J960+0.5*(vit_x+G960)*pas*(K960&gt;=0)</f>
        <v>690.928492655337</v>
      </c>
      <c r="K961" s="398" t="n">
        <f aca="false">K960+0.5*(vit_z+H960)*pas</f>
        <v>-13.8674501182687</v>
      </c>
      <c r="L961" s="397" t="n">
        <f aca="false">SQRT(pos_x^2+pos_z^2)</f>
        <v>691.067643675898</v>
      </c>
      <c r="M961" s="396" t="n">
        <f aca="false">IF(AND(L960&gt;L_rampe,G961&gt;0),ATAN2(G961,H961),$M$4)</f>
        <v>-1.47183831729841</v>
      </c>
      <c r="N961" s="397" t="n">
        <f aca="false">DEGREES(Beta)</f>
        <v>-84.3301237068361</v>
      </c>
      <c r="P961" s="399" t="n">
        <f aca="false">MATCH(t-pas/2-T_ini,CdP_t)</f>
        <v>23</v>
      </c>
      <c r="Q961" s="397" t="n">
        <f aca="false">(INDEX(CdP,2,i_P+1)-INDEX(CdP,2,i_P+0))/(INDEX(CdP,1,i_P+1)-INDEX(CdP,1,i_P+0))*(t-pas/2-T_ini-INDEX(CdP,1,i_P+0))+INDEX(CdP,2,i_P+0)</f>
        <v>0</v>
      </c>
      <c r="R961" s="396" t="n">
        <f aca="false">Poussee/(g*ISP)</f>
        <v>0</v>
      </c>
      <c r="S961" s="398" t="n">
        <f aca="false">S960-Débit*pas</f>
        <v>8.45</v>
      </c>
      <c r="T961" s="397" t="n">
        <f aca="false">m*g</f>
        <v>82.8945</v>
      </c>
      <c r="U961" s="400" t="n">
        <f aca="false">IF(pos_xz&lt;L_rampe,Poids*COS(Beta),0)</f>
        <v>0</v>
      </c>
      <c r="V961" s="396" t="n">
        <f aca="false">Rho_moyen*(20000-Alt_rampe-pos_z)/(20000+Alt_rampe+pos_z)</f>
        <v>1.22669994133207</v>
      </c>
      <c r="W961" s="397" t="n">
        <f aca="false">1/2*Rho*Sref*Cx*vit_xz^2</f>
        <v>62.1534964203459</v>
      </c>
      <c r="Y961" s="408" t="str">
        <f aca="false">IF(AND(pos_z&lt;=0,K960&gt;0),"Impact balistique","") &amp; IF(AND(H962&lt;0,vit_z&gt;=0),"Apogée","") &amp; IF(AND(Poussee=0,Q960&gt;0),"Fin de propulsion","") &amp; IF(AND(L962&gt;L_rampe,pos_xz&lt;=L_rampe),"Sortie de rampe","")</f>
        <v/>
      </c>
      <c r="Z961" s="402" t="str">
        <f aca="false">IF(ABS(t-T_para)&lt;pas/2,"Para","")</f>
        <v/>
      </c>
      <c r="AA961" s="403" t="str">
        <f aca="false">IF(ABS(t-T_satellite)&lt;pas/2,"Satellite","")</f>
        <v/>
      </c>
      <c r="AC961" s="399" t="e">
        <f aca="false">IF(ABS(t-ROUND(t,0))&lt;0.001,t,NA())</f>
        <v>#N/A</v>
      </c>
      <c r="AD961" s="404" t="e">
        <f aca="false">IF(ABS(t-ROUND(t,0))&lt;0.001,pos_x,NA())</f>
        <v>#N/A</v>
      </c>
      <c r="AE961" s="405" t="e">
        <f aca="false">IF(t&lt;T_para, pos_z, NA())</f>
        <v>#N/A</v>
      </c>
      <c r="AG961" s="396" t="n">
        <f aca="false">IF(AND(L960&lt;L_rampe,Poussee&lt;Poids*SIN(M960)),0,(-W960+Poussee)/m-Poids*SIN(M960)/m)</f>
        <v>2.40660088256524</v>
      </c>
      <c r="AH961" s="397" t="n">
        <f aca="false">IF(AND(L960&lt;L_rampe,Poussee&lt;Poids*SIN(M960)), g*SIN(M960), (-W960+Poussee)/m)</f>
        <v>-7.35540436001969</v>
      </c>
    </row>
    <row r="962" customFormat="false" ht="12.75" hidden="false" customHeight="false" outlineLevel="0" collapsed="false">
      <c r="A962" s="396" t="n">
        <f aca="false">IF(B961+0.01&lt;=T_ini+ROUNDUP(Temps_fin_propu,0), 0.01, IF(K961&gt;0, 0.1, 0.0001))</f>
        <v>0.0001</v>
      </c>
      <c r="B962" s="397" t="n">
        <f aca="false">B961+pas</f>
        <v>32.1457000000017</v>
      </c>
      <c r="D962" s="396" t="n">
        <f aca="false">IF(AND(L961&lt;L_rampe,Poussee&lt;Poids*SIN(M961)),0,(-W961+Poussee)/m*COS(M961)-U961/m*SIN(M961))</f>
        <v>-0.726692632107558</v>
      </c>
      <c r="E962" s="398" t="n">
        <f aca="false">IF(AND(L961&lt;L_rampe,Poussee&lt;Poids*SIN(M961)),0,(-W961+Poussee)/m*SIN(M961)+U961/m*COS(M961)-Poids/m)</f>
        <v>-2.49054203578182</v>
      </c>
      <c r="F962" s="397" t="n">
        <f aca="false">SQRT(acc_x^2+acc_z^2)</f>
        <v>2.59439430572063</v>
      </c>
      <c r="G962" s="396" t="n">
        <f aca="false">G961+acc_x*pas</f>
        <v>11.4640741102506</v>
      </c>
      <c r="H962" s="398" t="n">
        <f aca="false">H961+acc_z*pas</f>
        <v>-115.470444761181</v>
      </c>
      <c r="I962" s="397" t="n">
        <f aca="false">SQRT(vit_x^2+vit_z^2)</f>
        <v>116.03813428589</v>
      </c>
      <c r="J962" s="396" t="n">
        <f aca="false">J961+0.5*(vit_x+G961)*pas*(K961&gt;=0)</f>
        <v>690.928492655337</v>
      </c>
      <c r="K962" s="398" t="n">
        <f aca="false">K961+0.5*(vit_z+H961)*pas</f>
        <v>-13.8789971502921</v>
      </c>
      <c r="L962" s="397" t="n">
        <f aca="false">SQRT(pos_x^2+pos_z^2)</f>
        <v>691.067875483207</v>
      </c>
      <c r="M962" s="396" t="n">
        <f aca="false">IF(AND(L961&gt;L_rampe,G962&gt;0),ATAN2(G962,H962),$M$4)</f>
        <v>-1.47183915253627</v>
      </c>
      <c r="N962" s="397" t="n">
        <f aca="false">DEGREES(Beta)</f>
        <v>-84.3301715624402</v>
      </c>
      <c r="P962" s="399" t="n">
        <f aca="false">MATCH(t-pas/2-T_ini,CdP_t)</f>
        <v>23</v>
      </c>
      <c r="Q962" s="397" t="n">
        <f aca="false">(INDEX(CdP,2,i_P+1)-INDEX(CdP,2,i_P+0))/(INDEX(CdP,1,i_P+1)-INDEX(CdP,1,i_P+0))*(t-pas/2-T_ini-INDEX(CdP,1,i_P+0))+INDEX(CdP,2,i_P+0)</f>
        <v>0</v>
      </c>
      <c r="R962" s="396" t="n">
        <f aca="false">Poussee/(g*ISP)</f>
        <v>0</v>
      </c>
      <c r="S962" s="398" t="n">
        <f aca="false">S961-Débit*pas</f>
        <v>8.45</v>
      </c>
      <c r="T962" s="397" t="n">
        <f aca="false">m*g</f>
        <v>82.8945</v>
      </c>
      <c r="U962" s="400" t="n">
        <f aca="false">IF(pos_xz&lt;L_rampe,Poids*COS(Beta),0)</f>
        <v>0</v>
      </c>
      <c r="V962" s="396" t="n">
        <f aca="false">Rho_moyen*(20000-Alt_rampe-pos_z)/(20000+Alt_rampe+pos_z)</f>
        <v>1.22670135780792</v>
      </c>
      <c r="W962" s="397" t="n">
        <f aca="false">1/2*Rho*Sref*Cx*vit_xz^2</f>
        <v>62.1538259958017</v>
      </c>
      <c r="Y962" s="408" t="str">
        <f aca="false">IF(AND(pos_z&lt;=0,K961&gt;0),"Impact balistique","") &amp; IF(AND(H963&lt;0,vit_z&gt;=0),"Apogée","") &amp; IF(AND(Poussee=0,Q961&gt;0),"Fin de propulsion","") &amp; IF(AND(L963&gt;L_rampe,pos_xz&lt;=L_rampe),"Sortie de rampe","")</f>
        <v/>
      </c>
      <c r="Z962" s="402" t="str">
        <f aca="false">IF(ABS(t-T_para)&lt;pas/2,"Para","")</f>
        <v/>
      </c>
      <c r="AA962" s="403" t="str">
        <f aca="false">IF(ABS(t-T_satellite)&lt;pas/2,"Satellite","")</f>
        <v/>
      </c>
      <c r="AC962" s="399" t="e">
        <f aca="false">IF(ABS(t-ROUND(t,0))&lt;0.001,t,NA())</f>
        <v>#N/A</v>
      </c>
      <c r="AD962" s="404" t="e">
        <f aca="false">IF(ABS(t-ROUND(t,0))&lt;0.001,pos_x,NA())</f>
        <v>#N/A</v>
      </c>
      <c r="AE962" s="405" t="e">
        <f aca="false">IF(t&lt;T_para, pos_z, NA())</f>
        <v>#N/A</v>
      </c>
      <c r="AG962" s="396" t="n">
        <f aca="false">IF(AND(L961&lt;L_rampe,Poussee&lt;Poids*SIN(M961)),0,(-W961+Poussee)/m-Poids*SIN(M961)/m)</f>
        <v>2.40656268875015</v>
      </c>
      <c r="AH962" s="397" t="n">
        <f aca="false">IF(AND(L961&lt;L_rampe,Poussee&lt;Poids*SIN(M961)), g*SIN(M961), (-W961+Poussee)/m)</f>
        <v>-7.35544336335455</v>
      </c>
    </row>
    <row r="963" customFormat="false" ht="12.75" hidden="false" customHeight="false" outlineLevel="0" collapsed="false">
      <c r="A963" s="396" t="n">
        <f aca="false">IF(B962+0.01&lt;=T_ini+ROUNDUP(Temps_fin_propu,0), 0.01, IF(K962&gt;0, 0.1, 0.0001))</f>
        <v>0.0001</v>
      </c>
      <c r="B963" s="397" t="n">
        <f aca="false">B962+pas</f>
        <v>32.1458000000017</v>
      </c>
      <c r="D963" s="396" t="n">
        <f aca="false">IF(AND(L962&lt;L_rampe,Poussee&lt;Poids*SIN(M962)),0,(-W962+Poussee)/m*COS(M962)-U962/m*SIN(M962))</f>
        <v>-0.726690371950651</v>
      </c>
      <c r="E963" s="398" t="n">
        <f aca="false">IF(AND(L962&lt;L_rampe,Poussee&lt;Poids*SIN(M962)),0,(-W962+Poussee)/m*SIN(M962)+U962/m*COS(M962)-Poids/m)</f>
        <v>-2.4905026166238</v>
      </c>
      <c r="F963" s="397" t="n">
        <f aca="false">SQRT(acc_x^2+acc_z^2)</f>
        <v>2.59435583143403</v>
      </c>
      <c r="G963" s="396" t="n">
        <f aca="false">G962+acc_x*pas</f>
        <v>11.4640014412134</v>
      </c>
      <c r="H963" s="398" t="n">
        <f aca="false">H962+acc_z*pas</f>
        <v>-115.470693811443</v>
      </c>
      <c r="I963" s="397" t="n">
        <f aca="false">SQRT(vit_x^2+vit_z^2)</f>
        <v>116.03837493838</v>
      </c>
      <c r="J963" s="396" t="n">
        <f aca="false">J962+0.5*(vit_x+G962)*pas*(K962&gt;=0)</f>
        <v>690.928492655337</v>
      </c>
      <c r="K963" s="398" t="n">
        <f aca="false">K962+0.5*(vit_z+H962)*pas</f>
        <v>-13.8905442072207</v>
      </c>
      <c r="L963" s="397" t="n">
        <f aca="false">SQRT(pos_x^2+pos_z^2)</f>
        <v>691.068107483878</v>
      </c>
      <c r="M963" s="396" t="n">
        <f aca="false">IF(AND(L962&gt;L_rampe,G963&gt;0),ATAN2(G963,H963),$M$4)</f>
        <v>-1.47183998776537</v>
      </c>
      <c r="N963" s="397" t="n">
        <f aca="false">DEGREES(Beta)</f>
        <v>-84.3302194175426</v>
      </c>
      <c r="P963" s="399" t="n">
        <f aca="false">MATCH(t-pas/2-T_ini,CdP_t)</f>
        <v>23</v>
      </c>
      <c r="Q963" s="397" t="n">
        <f aca="false">(INDEX(CdP,2,i_P+1)-INDEX(CdP,2,i_P+0))/(INDEX(CdP,1,i_P+1)-INDEX(CdP,1,i_P+0))*(t-pas/2-T_ini-INDEX(CdP,1,i_P+0))+INDEX(CdP,2,i_P+0)</f>
        <v>0</v>
      </c>
      <c r="R963" s="396" t="n">
        <f aca="false">Poussee/(g*ISP)</f>
        <v>0</v>
      </c>
      <c r="S963" s="398" t="n">
        <f aca="false">S962-Débit*pas</f>
        <v>8.45</v>
      </c>
      <c r="T963" s="397" t="n">
        <f aca="false">m*g</f>
        <v>82.8945</v>
      </c>
      <c r="U963" s="400" t="n">
        <f aca="false">IF(pos_xz&lt;L_rampe,Poids*COS(Beta),0)</f>
        <v>0</v>
      </c>
      <c r="V963" s="396" t="n">
        <f aca="false">Rho_moyen*(20000-Alt_rampe-pos_z)/(20000+Alt_rampe+pos_z)</f>
        <v>1.22670277428846</v>
      </c>
      <c r="W963" s="397" t="n">
        <f aca="false">1/2*Rho*Sref*Cx*vit_xz^2</f>
        <v>62.1541555685337</v>
      </c>
      <c r="Y963" s="408" t="str">
        <f aca="false">IF(AND(pos_z&lt;=0,K962&gt;0),"Impact balistique","") &amp; IF(AND(H964&lt;0,vit_z&gt;=0),"Apogée","") &amp; IF(AND(Poussee=0,Q962&gt;0),"Fin de propulsion","") &amp; IF(AND(L964&gt;L_rampe,pos_xz&lt;=L_rampe),"Sortie de rampe","")</f>
        <v/>
      </c>
      <c r="Z963" s="402" t="str">
        <f aca="false">IF(ABS(t-T_para)&lt;pas/2,"Para","")</f>
        <v/>
      </c>
      <c r="AA963" s="403" t="str">
        <f aca="false">IF(ABS(t-T_satellite)&lt;pas/2,"Satellite","")</f>
        <v/>
      </c>
      <c r="AC963" s="399" t="e">
        <f aca="false">IF(ABS(t-ROUND(t,0))&lt;0.001,t,NA())</f>
        <v>#N/A</v>
      </c>
      <c r="AD963" s="404" t="e">
        <f aca="false">IF(ABS(t-ROUND(t,0))&lt;0.001,pos_x,NA())</f>
        <v>#N/A</v>
      </c>
      <c r="AE963" s="405" t="e">
        <f aca="false">IF(t&lt;T_para, pos_z, NA())</f>
        <v>#N/A</v>
      </c>
      <c r="AG963" s="396" t="n">
        <f aca="false">IF(AND(L962&lt;L_rampe,Poussee&lt;Poids*SIN(M962)),0,(-W962+Poussee)/m-Poids*SIN(M962)/m)</f>
        <v>2.40652449524211</v>
      </c>
      <c r="AH963" s="397" t="n">
        <f aca="false">IF(AND(L962&lt;L_rampe,Poussee&lt;Poids*SIN(M962)), g*SIN(M962), (-W962+Poussee)/m)</f>
        <v>-7.35548236636706</v>
      </c>
    </row>
    <row r="964" customFormat="false" ht="12.75" hidden="false" customHeight="false" outlineLevel="0" collapsed="false">
      <c r="A964" s="396" t="n">
        <f aca="false">IF(B963+0.01&lt;=T_ini+ROUNDUP(Temps_fin_propu,0), 0.01, IF(K963&gt;0, 0.1, 0.0001))</f>
        <v>0.0001</v>
      </c>
      <c r="B964" s="397" t="n">
        <f aca="false">B963+pas</f>
        <v>32.1459000000017</v>
      </c>
      <c r="D964" s="396" t="n">
        <f aca="false">IF(AND(L963&lt;L_rampe,Poussee&lt;Poids*SIN(M963)),0,(-W963+Poussee)/m*COS(M963)-U963/m*SIN(M963))</f>
        <v>-0.726688111760668</v>
      </c>
      <c r="E964" s="398" t="n">
        <f aca="false">IF(AND(L963&lt;L_rampe,Poussee&lt;Poids*SIN(M963)),0,(-W963+Poussee)/m*SIN(M963)+U963/m*COS(M963)-Poids/m)</f>
        <v>-2.49046319779158</v>
      </c>
      <c r="F964" s="397" t="n">
        <f aca="false">SQRT(acc_x^2+acc_z^2)</f>
        <v>2.59431735748126</v>
      </c>
      <c r="G964" s="396" t="n">
        <f aca="false">G963+acc_x*pas</f>
        <v>11.4639287724022</v>
      </c>
      <c r="H964" s="398" t="n">
        <f aca="false">H963+acc_z*pas</f>
        <v>-115.470942857763</v>
      </c>
      <c r="I964" s="397" t="n">
        <f aca="false">SQRT(vit_x^2+vit_z^2)</f>
        <v>116.038615587051</v>
      </c>
      <c r="J964" s="396" t="n">
        <f aca="false">J963+0.5*(vit_x+G963)*pas*(K963&gt;=0)</f>
        <v>690.928492655337</v>
      </c>
      <c r="K964" s="398" t="n">
        <f aca="false">K963+0.5*(vit_z+H963)*pas</f>
        <v>-13.9020912890542</v>
      </c>
      <c r="L964" s="397" t="n">
        <f aca="false">SQRT(pos_x^2+pos_z^2)</f>
        <v>691.068339677911</v>
      </c>
      <c r="M964" s="396" t="n">
        <f aca="false">IF(AND(L963&gt;L_rampe,G964&gt;0),ATAN2(G964,H964),$M$4)</f>
        <v>-1.47184082298571</v>
      </c>
      <c r="N964" s="397" t="n">
        <f aca="false">DEGREES(Beta)</f>
        <v>-84.3302672721431</v>
      </c>
      <c r="P964" s="399" t="n">
        <f aca="false">MATCH(t-pas/2-T_ini,CdP_t)</f>
        <v>23</v>
      </c>
      <c r="Q964" s="397" t="n">
        <f aca="false">(INDEX(CdP,2,i_P+1)-INDEX(CdP,2,i_P+0))/(INDEX(CdP,1,i_P+1)-INDEX(CdP,1,i_P+0))*(t-pas/2-T_ini-INDEX(CdP,1,i_P+0))+INDEX(CdP,2,i_P+0)</f>
        <v>0</v>
      </c>
      <c r="R964" s="396" t="n">
        <f aca="false">Poussee/(g*ISP)</f>
        <v>0</v>
      </c>
      <c r="S964" s="398" t="n">
        <f aca="false">S963-Débit*pas</f>
        <v>8.45</v>
      </c>
      <c r="T964" s="397" t="n">
        <f aca="false">m*g</f>
        <v>82.8945</v>
      </c>
      <c r="U964" s="400" t="n">
        <f aca="false">IF(pos_xz&lt;L_rampe,Poids*COS(Beta),0)</f>
        <v>0</v>
      </c>
      <c r="V964" s="396" t="n">
        <f aca="false">Rho_moyen*(20000-Alt_rampe-pos_z)/(20000+Alt_rampe+pos_z)</f>
        <v>1.22670419077369</v>
      </c>
      <c r="W964" s="397" t="n">
        <f aca="false">1/2*Rho*Sref*Cx*vit_xz^2</f>
        <v>62.154485138542</v>
      </c>
      <c r="Y964" s="408" t="str">
        <f aca="false">IF(AND(pos_z&lt;=0,K963&gt;0),"Impact balistique","") &amp; IF(AND(H965&lt;0,vit_z&gt;=0),"Apogée","") &amp; IF(AND(Poussee=0,Q963&gt;0),"Fin de propulsion","") &amp; IF(AND(L965&gt;L_rampe,pos_xz&lt;=L_rampe),"Sortie de rampe","")</f>
        <v/>
      </c>
      <c r="Z964" s="402" t="str">
        <f aca="false">IF(ABS(t-T_para)&lt;pas/2,"Para","")</f>
        <v/>
      </c>
      <c r="AA964" s="403" t="str">
        <f aca="false">IF(ABS(t-T_satellite)&lt;pas/2,"Satellite","")</f>
        <v/>
      </c>
      <c r="AC964" s="399" t="e">
        <f aca="false">IF(ABS(t-ROUND(t,0))&lt;0.001,t,NA())</f>
        <v>#N/A</v>
      </c>
      <c r="AD964" s="404" t="e">
        <f aca="false">IF(ABS(t-ROUND(t,0))&lt;0.001,pos_x,NA())</f>
        <v>#N/A</v>
      </c>
      <c r="AE964" s="405" t="e">
        <f aca="false">IF(t&lt;T_para, pos_z, NA())</f>
        <v>#N/A</v>
      </c>
      <c r="AG964" s="396" t="n">
        <f aca="false">IF(AND(L963&lt;L_rampe,Poussee&lt;Poids*SIN(M963)),0,(-W963+Poussee)/m-Poids*SIN(M963)/m)</f>
        <v>2.4064863020411</v>
      </c>
      <c r="AH964" s="397" t="n">
        <f aca="false">IF(AND(L963&lt;L_rampe,Poussee&lt;Poids*SIN(M963)), g*SIN(M963), (-W963+Poussee)/m)</f>
        <v>-7.35552136905724</v>
      </c>
    </row>
    <row r="965" customFormat="false" ht="12.75" hidden="false" customHeight="false" outlineLevel="0" collapsed="false">
      <c r="A965" s="396" t="n">
        <f aca="false">IF(B964+0.01&lt;=T_ini+ROUNDUP(Temps_fin_propu,0), 0.01, IF(K964&gt;0, 0.1, 0.0001))</f>
        <v>0.0001</v>
      </c>
      <c r="B965" s="397" t="n">
        <f aca="false">B964+pas</f>
        <v>32.1460000000017</v>
      </c>
      <c r="D965" s="396" t="n">
        <f aca="false">IF(AND(L964&lt;L_rampe,Poussee&lt;Poids*SIN(M964)),0,(-W964+Poussee)/m*COS(M964)-U964/m*SIN(M964))</f>
        <v>-0.726685851537609</v>
      </c>
      <c r="E965" s="398" t="n">
        <f aca="false">IF(AND(L964&lt;L_rampe,Poussee&lt;Poids*SIN(M964)),0,(-W964+Poussee)/m*SIN(M964)+U964/m*COS(M964)-Poids/m)</f>
        <v>-2.49042377928516</v>
      </c>
      <c r="F965" s="397" t="n">
        <f aca="false">SQRT(acc_x^2+acc_z^2)</f>
        <v>2.59427888386232</v>
      </c>
      <c r="G965" s="396" t="n">
        <f aca="false">G964+acc_x*pas</f>
        <v>11.463856103817</v>
      </c>
      <c r="H965" s="398" t="n">
        <f aca="false">H964+acc_z*pas</f>
        <v>-115.471191900141</v>
      </c>
      <c r="I965" s="397" t="n">
        <f aca="false">SQRT(vit_x^2+vit_z^2)</f>
        <v>116.038856231902</v>
      </c>
      <c r="J965" s="396" t="n">
        <f aca="false">J964+0.5*(vit_x+G964)*pas*(K964&gt;=0)</f>
        <v>690.928492655337</v>
      </c>
      <c r="K965" s="398" t="n">
        <f aca="false">K964+0.5*(vit_z+H964)*pas</f>
        <v>-13.9136383957921</v>
      </c>
      <c r="L965" s="397" t="n">
        <f aca="false">SQRT(pos_x^2+pos_z^2)</f>
        <v>691.068572065309</v>
      </c>
      <c r="M965" s="396" t="n">
        <f aca="false">IF(AND(L964&gt;L_rampe,G965&gt;0),ATAN2(G965,H965),$M$4)</f>
        <v>-1.4718416581973</v>
      </c>
      <c r="N965" s="397" t="n">
        <f aca="false">DEGREES(Beta)</f>
        <v>-84.3303151262417</v>
      </c>
      <c r="P965" s="399" t="n">
        <f aca="false">MATCH(t-pas/2-T_ini,CdP_t)</f>
        <v>23</v>
      </c>
      <c r="Q965" s="397" t="n">
        <f aca="false">(INDEX(CdP,2,i_P+1)-INDEX(CdP,2,i_P+0))/(INDEX(CdP,1,i_P+1)-INDEX(CdP,1,i_P+0))*(t-pas/2-T_ini-INDEX(CdP,1,i_P+0))+INDEX(CdP,2,i_P+0)</f>
        <v>0</v>
      </c>
      <c r="R965" s="396" t="n">
        <f aca="false">Poussee/(g*ISP)</f>
        <v>0</v>
      </c>
      <c r="S965" s="398" t="n">
        <f aca="false">S964-Débit*pas</f>
        <v>8.45</v>
      </c>
      <c r="T965" s="397" t="n">
        <f aca="false">m*g</f>
        <v>82.8945</v>
      </c>
      <c r="U965" s="400" t="n">
        <f aca="false">IF(pos_xz&lt;L_rampe,Poids*COS(Beta),0)</f>
        <v>0</v>
      </c>
      <c r="V965" s="396" t="n">
        <f aca="false">Rho_moyen*(20000-Alt_rampe-pos_z)/(20000+Alt_rampe+pos_z)</f>
        <v>1.22670560726362</v>
      </c>
      <c r="W965" s="397" t="n">
        <f aca="false">1/2*Rho*Sref*Cx*vit_xz^2</f>
        <v>62.1548147058264</v>
      </c>
      <c r="Y965" s="408" t="str">
        <f aca="false">IF(AND(pos_z&lt;=0,K964&gt;0),"Impact balistique","") &amp; IF(AND(H966&lt;0,vit_z&gt;=0),"Apogée","") &amp; IF(AND(Poussee=0,Q964&gt;0),"Fin de propulsion","") &amp; IF(AND(L966&gt;L_rampe,pos_xz&lt;=L_rampe),"Sortie de rampe","")</f>
        <v/>
      </c>
      <c r="Z965" s="402" t="str">
        <f aca="false">IF(ABS(t-T_para)&lt;pas/2,"Para","")</f>
        <v/>
      </c>
      <c r="AA965" s="403" t="str">
        <f aca="false">IF(ABS(t-T_satellite)&lt;pas/2,"Satellite","")</f>
        <v/>
      </c>
      <c r="AC965" s="399" t="e">
        <f aca="false">IF(ABS(t-ROUND(t,0))&lt;0.001,t,NA())</f>
        <v>#N/A</v>
      </c>
      <c r="AD965" s="404" t="e">
        <f aca="false">IF(ABS(t-ROUND(t,0))&lt;0.001,pos_x,NA())</f>
        <v>#N/A</v>
      </c>
      <c r="AE965" s="405" t="e">
        <f aca="false">IF(t&lt;T_para, pos_z, NA())</f>
        <v>#N/A</v>
      </c>
      <c r="AG965" s="396" t="n">
        <f aca="false">IF(AND(L964&lt;L_rampe,Poussee&lt;Poids*SIN(M964)),0,(-W964+Poussee)/m-Poids*SIN(M964)/m)</f>
        <v>2.40644810914713</v>
      </c>
      <c r="AH965" s="397" t="n">
        <f aca="false">IF(AND(L964&lt;L_rampe,Poussee&lt;Poids*SIN(M964)), g*SIN(M964), (-W964+Poussee)/m)</f>
        <v>-7.35556037142509</v>
      </c>
    </row>
    <row r="966" customFormat="false" ht="12.75" hidden="false" customHeight="false" outlineLevel="0" collapsed="false">
      <c r="A966" s="396" t="n">
        <f aca="false">IF(B965+0.01&lt;=T_ini+ROUNDUP(Temps_fin_propu,0), 0.01, IF(K965&gt;0, 0.1, 0.0001))</f>
        <v>0.0001</v>
      </c>
      <c r="B966" s="397" t="n">
        <f aca="false">B965+pas</f>
        <v>32.1461000000017</v>
      </c>
      <c r="D966" s="396" t="n">
        <f aca="false">IF(AND(L965&lt;L_rampe,Poussee&lt;Poids*SIN(M965)),0,(-W965+Poussee)/m*COS(M965)-U965/m*SIN(M965))</f>
        <v>-0.726683591281474</v>
      </c>
      <c r="E966" s="398" t="n">
        <f aca="false">IF(AND(L965&lt;L_rampe,Poussee&lt;Poids*SIN(M965)),0,(-W965+Poussee)/m*SIN(M965)+U965/m*COS(M965)-Poids/m)</f>
        <v>-2.49038436110453</v>
      </c>
      <c r="F966" s="397" t="n">
        <f aca="false">SQRT(acc_x^2+acc_z^2)</f>
        <v>2.5942404105772</v>
      </c>
      <c r="G966" s="396" t="n">
        <f aca="false">G965+acc_x*pas</f>
        <v>11.4637834354579</v>
      </c>
      <c r="H966" s="398" t="n">
        <f aca="false">H965+acc_z*pas</f>
        <v>-115.471440938577</v>
      </c>
      <c r="I966" s="397" t="n">
        <f aca="false">SQRT(vit_x^2+vit_z^2)</f>
        <v>116.039096872935</v>
      </c>
      <c r="J966" s="396" t="n">
        <f aca="false">J965+0.5*(vit_x+G965)*pas*(K965&gt;=0)</f>
        <v>690.928492655337</v>
      </c>
      <c r="K966" s="398" t="n">
        <f aca="false">K965+0.5*(vit_z+H965)*pas</f>
        <v>-13.925185527434</v>
      </c>
      <c r="L966" s="397" t="n">
        <f aca="false">SQRT(pos_x^2+pos_z^2)</f>
        <v>691.068804646071</v>
      </c>
      <c r="M966" s="396" t="n">
        <f aca="false">IF(AND(L965&gt;L_rampe,G966&gt;0),ATAN2(G966,H966),$M$4)</f>
        <v>-1.47184249340012</v>
      </c>
      <c r="N966" s="397" t="n">
        <f aca="false">DEGREES(Beta)</f>
        <v>-84.3303629798386</v>
      </c>
      <c r="P966" s="399" t="n">
        <f aca="false">MATCH(t-pas/2-T_ini,CdP_t)</f>
        <v>23</v>
      </c>
      <c r="Q966" s="397" t="n">
        <f aca="false">(INDEX(CdP,2,i_P+1)-INDEX(CdP,2,i_P+0))/(INDEX(CdP,1,i_P+1)-INDEX(CdP,1,i_P+0))*(t-pas/2-T_ini-INDEX(CdP,1,i_P+0))+INDEX(CdP,2,i_P+0)</f>
        <v>0</v>
      </c>
      <c r="R966" s="396" t="n">
        <f aca="false">Poussee/(g*ISP)</f>
        <v>0</v>
      </c>
      <c r="S966" s="398" t="n">
        <f aca="false">S965-Débit*pas</f>
        <v>8.45</v>
      </c>
      <c r="T966" s="397" t="n">
        <f aca="false">m*g</f>
        <v>82.8945</v>
      </c>
      <c r="U966" s="400" t="n">
        <f aca="false">IF(pos_xz&lt;L_rampe,Poids*COS(Beta),0)</f>
        <v>0</v>
      </c>
      <c r="V966" s="396" t="n">
        <f aca="false">Rho_moyen*(20000-Alt_rampe-pos_z)/(20000+Alt_rampe+pos_z)</f>
        <v>1.22670702375824</v>
      </c>
      <c r="W966" s="397" t="n">
        <f aca="false">1/2*Rho*Sref*Cx*vit_xz^2</f>
        <v>62.1551442703872</v>
      </c>
      <c r="Y966" s="408" t="str">
        <f aca="false">IF(AND(pos_z&lt;=0,K965&gt;0),"Impact balistique","") &amp; IF(AND(H967&lt;0,vit_z&gt;=0),"Apogée","") &amp; IF(AND(Poussee=0,Q965&gt;0),"Fin de propulsion","") &amp; IF(AND(L967&gt;L_rampe,pos_xz&lt;=L_rampe),"Sortie de rampe","")</f>
        <v/>
      </c>
      <c r="Z966" s="402" t="str">
        <f aca="false">IF(ABS(t-T_para)&lt;pas/2,"Para","")</f>
        <v/>
      </c>
      <c r="AA966" s="403" t="str">
        <f aca="false">IF(ABS(t-T_satellite)&lt;pas/2,"Satellite","")</f>
        <v/>
      </c>
      <c r="AC966" s="399" t="e">
        <f aca="false">IF(ABS(t-ROUND(t,0))&lt;0.001,t,NA())</f>
        <v>#N/A</v>
      </c>
      <c r="AD966" s="404" t="e">
        <f aca="false">IF(ABS(t-ROUND(t,0))&lt;0.001,pos_x,NA())</f>
        <v>#N/A</v>
      </c>
      <c r="AE966" s="405" t="e">
        <f aca="false">IF(t&lt;T_para, pos_z, NA())</f>
        <v>#N/A</v>
      </c>
      <c r="AG966" s="396" t="n">
        <f aca="false">IF(AND(L965&lt;L_rampe,Poussee&lt;Poids*SIN(M965)),0,(-W965+Poussee)/m-Poids*SIN(M965)/m)</f>
        <v>2.40640991656021</v>
      </c>
      <c r="AH966" s="397" t="n">
        <f aca="false">IF(AND(L965&lt;L_rampe,Poussee&lt;Poids*SIN(M965)), g*SIN(M965), (-W965+Poussee)/m)</f>
        <v>-7.35559937347058</v>
      </c>
    </row>
    <row r="967" customFormat="false" ht="12.75" hidden="false" customHeight="false" outlineLevel="0" collapsed="false">
      <c r="A967" s="396" t="n">
        <f aca="false">IF(B966+0.01&lt;=T_ini+ROUNDUP(Temps_fin_propu,0), 0.01, IF(K966&gt;0, 0.1, 0.0001))</f>
        <v>0.0001</v>
      </c>
      <c r="B967" s="397" t="n">
        <f aca="false">B966+pas</f>
        <v>32.1462000000017</v>
      </c>
      <c r="D967" s="396" t="n">
        <f aca="false">IF(AND(L966&lt;L_rampe,Poussee&lt;Poids*SIN(M966)),0,(-W966+Poussee)/m*COS(M966)-U966/m*SIN(M966))</f>
        <v>-0.726681330992266</v>
      </c>
      <c r="E967" s="398" t="n">
        <f aca="false">IF(AND(L966&lt;L_rampe,Poussee&lt;Poids*SIN(M966)),0,(-W966+Poussee)/m*SIN(M966)+U966/m*COS(M966)-Poids/m)</f>
        <v>-2.4903449432497</v>
      </c>
      <c r="F967" s="397" t="n">
        <f aca="false">SQRT(acc_x^2+acc_z^2)</f>
        <v>2.59420193762592</v>
      </c>
      <c r="G967" s="396" t="n">
        <f aca="false">G966+acc_x*pas</f>
        <v>11.4637107673248</v>
      </c>
      <c r="H967" s="398" t="n">
        <f aca="false">H966+acc_z*pas</f>
        <v>-115.471689973071</v>
      </c>
      <c r="I967" s="397" t="n">
        <f aca="false">SQRT(vit_x^2+vit_z^2)</f>
        <v>116.039337510147</v>
      </c>
      <c r="J967" s="396" t="n">
        <f aca="false">J966+0.5*(vit_x+G966)*pas*(K966&gt;=0)</f>
        <v>690.928492655337</v>
      </c>
      <c r="K967" s="398" t="n">
        <f aca="false">K966+0.5*(vit_z+H966)*pas</f>
        <v>-13.9367326839796</v>
      </c>
      <c r="L967" s="397" t="n">
        <f aca="false">SQRT(pos_x^2+pos_z^2)</f>
        <v>691.069037420199</v>
      </c>
      <c r="M967" s="396" t="n">
        <f aca="false">IF(AND(L966&gt;L_rampe,G967&gt;0),ATAN2(G967,H967),$M$4)</f>
        <v>-1.47184332859418</v>
      </c>
      <c r="N967" s="397" t="n">
        <f aca="false">DEGREES(Beta)</f>
        <v>-84.3304108329336</v>
      </c>
      <c r="P967" s="399" t="n">
        <f aca="false">MATCH(t-pas/2-T_ini,CdP_t)</f>
        <v>23</v>
      </c>
      <c r="Q967" s="397" t="n">
        <f aca="false">(INDEX(CdP,2,i_P+1)-INDEX(CdP,2,i_P+0))/(INDEX(CdP,1,i_P+1)-INDEX(CdP,1,i_P+0))*(t-pas/2-T_ini-INDEX(CdP,1,i_P+0))+INDEX(CdP,2,i_P+0)</f>
        <v>0</v>
      </c>
      <c r="R967" s="396" t="n">
        <f aca="false">Poussee/(g*ISP)</f>
        <v>0</v>
      </c>
      <c r="S967" s="398" t="n">
        <f aca="false">S966-Débit*pas</f>
        <v>8.45</v>
      </c>
      <c r="T967" s="397" t="n">
        <f aca="false">m*g</f>
        <v>82.8945</v>
      </c>
      <c r="U967" s="400" t="n">
        <f aca="false">IF(pos_xz&lt;L_rampe,Poids*COS(Beta),0)</f>
        <v>0</v>
      </c>
      <c r="V967" s="396" t="n">
        <f aca="false">Rho_moyen*(20000-Alt_rampe-pos_z)/(20000+Alt_rampe+pos_z)</f>
        <v>1.22670844025755</v>
      </c>
      <c r="W967" s="397" t="n">
        <f aca="false">1/2*Rho*Sref*Cx*vit_xz^2</f>
        <v>62.1554738322241</v>
      </c>
      <c r="Y967" s="408" t="str">
        <f aca="false">IF(AND(pos_z&lt;=0,K966&gt;0),"Impact balistique","") &amp; IF(AND(H968&lt;0,vit_z&gt;=0),"Apogée","") &amp; IF(AND(Poussee=0,Q966&gt;0),"Fin de propulsion","") &amp; IF(AND(L968&gt;L_rampe,pos_xz&lt;=L_rampe),"Sortie de rampe","")</f>
        <v/>
      </c>
      <c r="Z967" s="402" t="str">
        <f aca="false">IF(ABS(t-T_para)&lt;pas/2,"Para","")</f>
        <v/>
      </c>
      <c r="AA967" s="403" t="str">
        <f aca="false">IF(ABS(t-T_satellite)&lt;pas/2,"Satellite","")</f>
        <v/>
      </c>
      <c r="AC967" s="399" t="e">
        <f aca="false">IF(ABS(t-ROUND(t,0))&lt;0.001,t,NA())</f>
        <v>#N/A</v>
      </c>
      <c r="AD967" s="404" t="e">
        <f aca="false">IF(ABS(t-ROUND(t,0))&lt;0.001,pos_x,NA())</f>
        <v>#N/A</v>
      </c>
      <c r="AE967" s="405" t="e">
        <f aca="false">IF(t&lt;T_para, pos_z, NA())</f>
        <v>#N/A</v>
      </c>
      <c r="AG967" s="396" t="n">
        <f aca="false">IF(AND(L966&lt;L_rampe,Poussee&lt;Poids*SIN(M966)),0,(-W966+Poussee)/m-Poids*SIN(M966)/m)</f>
        <v>2.40637172428033</v>
      </c>
      <c r="AH967" s="397" t="n">
        <f aca="false">IF(AND(L966&lt;L_rampe,Poussee&lt;Poids*SIN(M966)), g*SIN(M966), (-W966+Poussee)/m)</f>
        <v>-7.35563837519375</v>
      </c>
    </row>
    <row r="968" customFormat="false" ht="12.75" hidden="false" customHeight="false" outlineLevel="0" collapsed="false">
      <c r="A968" s="396" t="n">
        <f aca="false">IF(B967+0.01&lt;=T_ini+ROUNDUP(Temps_fin_propu,0), 0.01, IF(K967&gt;0, 0.1, 0.0001))</f>
        <v>0.0001</v>
      </c>
      <c r="B968" s="397" t="n">
        <f aca="false">B967+pas</f>
        <v>32.1463000000017</v>
      </c>
      <c r="D968" s="396" t="n">
        <f aca="false">IF(AND(L967&lt;L_rampe,Poussee&lt;Poids*SIN(M967)),0,(-W967+Poussee)/m*COS(M967)-U967/m*SIN(M967))</f>
        <v>-0.726679070669985</v>
      </c>
      <c r="E968" s="398" t="n">
        <f aca="false">IF(AND(L967&lt;L_rampe,Poussee&lt;Poids*SIN(M967)),0,(-W967+Poussee)/m*SIN(M967)+U967/m*COS(M967)-Poids/m)</f>
        <v>-2.49030552572068</v>
      </c>
      <c r="F968" s="397" t="n">
        <f aca="false">SQRT(acc_x^2+acc_z^2)</f>
        <v>2.59416346500847</v>
      </c>
      <c r="G968" s="396" t="n">
        <f aca="false">G967+acc_x*pas</f>
        <v>11.4636380994177</v>
      </c>
      <c r="H968" s="398" t="n">
        <f aca="false">H967+acc_z*pas</f>
        <v>-115.471939003624</v>
      </c>
      <c r="I968" s="397" t="n">
        <f aca="false">SQRT(vit_x^2+vit_z^2)</f>
        <v>116.039578143541</v>
      </c>
      <c r="J968" s="396" t="n">
        <f aca="false">J967+0.5*(vit_x+G967)*pas*(K967&gt;=0)</f>
        <v>690.928492655337</v>
      </c>
      <c r="K968" s="398" t="n">
        <f aca="false">K967+0.5*(vit_z+H967)*pas</f>
        <v>-13.9482798654285</v>
      </c>
      <c r="L968" s="397" t="n">
        <f aca="false">SQRT(pos_x^2+pos_z^2)</f>
        <v>691.069270387694</v>
      </c>
      <c r="M968" s="396" t="n">
        <f aca="false">IF(AND(L967&gt;L_rampe,G968&gt;0),ATAN2(G968,H968),$M$4)</f>
        <v>-1.47184416377949</v>
      </c>
      <c r="N968" s="397" t="n">
        <f aca="false">DEGREES(Beta)</f>
        <v>-84.3304586855268</v>
      </c>
      <c r="P968" s="399" t="n">
        <f aca="false">MATCH(t-pas/2-T_ini,CdP_t)</f>
        <v>23</v>
      </c>
      <c r="Q968" s="397" t="n">
        <f aca="false">(INDEX(CdP,2,i_P+1)-INDEX(CdP,2,i_P+0))/(INDEX(CdP,1,i_P+1)-INDEX(CdP,1,i_P+0))*(t-pas/2-T_ini-INDEX(CdP,1,i_P+0))+INDEX(CdP,2,i_P+0)</f>
        <v>0</v>
      </c>
      <c r="R968" s="396" t="n">
        <f aca="false">Poussee/(g*ISP)</f>
        <v>0</v>
      </c>
      <c r="S968" s="398" t="n">
        <f aca="false">S967-Débit*pas</f>
        <v>8.45</v>
      </c>
      <c r="T968" s="397" t="n">
        <f aca="false">m*g</f>
        <v>82.8945</v>
      </c>
      <c r="U968" s="400" t="n">
        <f aca="false">IF(pos_xz&lt;L_rampe,Poids*COS(Beta),0)</f>
        <v>0</v>
      </c>
      <c r="V968" s="396" t="n">
        <f aca="false">Rho_moyen*(20000-Alt_rampe-pos_z)/(20000+Alt_rampe+pos_z)</f>
        <v>1.22670985676155</v>
      </c>
      <c r="W968" s="397" t="n">
        <f aca="false">1/2*Rho*Sref*Cx*vit_xz^2</f>
        <v>62.1558033913372</v>
      </c>
      <c r="Y968" s="408" t="str">
        <f aca="false">IF(AND(pos_z&lt;=0,K967&gt;0),"Impact balistique","") &amp; IF(AND(H969&lt;0,vit_z&gt;=0),"Apogée","") &amp; IF(AND(Poussee=0,Q967&gt;0),"Fin de propulsion","") &amp; IF(AND(L969&gt;L_rampe,pos_xz&lt;=L_rampe),"Sortie de rampe","")</f>
        <v/>
      </c>
      <c r="Z968" s="402" t="str">
        <f aca="false">IF(ABS(t-T_para)&lt;pas/2,"Para","")</f>
        <v/>
      </c>
      <c r="AA968" s="403" t="str">
        <f aca="false">IF(ABS(t-T_satellite)&lt;pas/2,"Satellite","")</f>
        <v/>
      </c>
      <c r="AC968" s="399" t="e">
        <f aca="false">IF(ABS(t-ROUND(t,0))&lt;0.001,t,NA())</f>
        <v>#N/A</v>
      </c>
      <c r="AD968" s="404" t="e">
        <f aca="false">IF(ABS(t-ROUND(t,0))&lt;0.001,pos_x,NA())</f>
        <v>#N/A</v>
      </c>
      <c r="AE968" s="405" t="e">
        <f aca="false">IF(t&lt;T_para, pos_z, NA())</f>
        <v>#N/A</v>
      </c>
      <c r="AG968" s="396" t="n">
        <f aca="false">IF(AND(L967&lt;L_rampe,Poussee&lt;Poids*SIN(M967)),0,(-W967+Poussee)/m-Poids*SIN(M967)/m)</f>
        <v>2.40633353230749</v>
      </c>
      <c r="AH968" s="397" t="n">
        <f aca="false">IF(AND(L967&lt;L_rampe,Poussee&lt;Poids*SIN(M967)), g*SIN(M967), (-W967+Poussee)/m)</f>
        <v>-7.35567737659456</v>
      </c>
    </row>
    <row r="969" customFormat="false" ht="12.75" hidden="false" customHeight="false" outlineLevel="0" collapsed="false">
      <c r="A969" s="396" t="n">
        <f aca="false">IF(B968+0.01&lt;=T_ini+ROUNDUP(Temps_fin_propu,0), 0.01, IF(K968&gt;0, 0.1, 0.0001))</f>
        <v>0.0001</v>
      </c>
      <c r="B969" s="397" t="n">
        <f aca="false">B968+pas</f>
        <v>32.1464000000017</v>
      </c>
      <c r="D969" s="396" t="n">
        <f aca="false">IF(AND(L968&lt;L_rampe,Poussee&lt;Poids*SIN(M968)),0,(-W968+Poussee)/m*COS(M968)-U968/m*SIN(M968))</f>
        <v>-0.72667681031463</v>
      </c>
      <c r="E969" s="398" t="n">
        <f aca="false">IF(AND(L968&lt;L_rampe,Poussee&lt;Poids*SIN(M968)),0,(-W968+Poussee)/m*SIN(M968)+U968/m*COS(M968)-Poids/m)</f>
        <v>-2.49026610851745</v>
      </c>
      <c r="F969" s="397" t="n">
        <f aca="false">SQRT(acc_x^2+acc_z^2)</f>
        <v>2.59412499272485</v>
      </c>
      <c r="G969" s="396" t="n">
        <f aca="false">G968+acc_x*pas</f>
        <v>11.4635654317367</v>
      </c>
      <c r="H969" s="398" t="n">
        <f aca="false">H968+acc_z*pas</f>
        <v>-115.472188030234</v>
      </c>
      <c r="I969" s="397" t="n">
        <f aca="false">SQRT(vit_x^2+vit_z^2)</f>
        <v>116.039818773116</v>
      </c>
      <c r="J969" s="396" t="n">
        <f aca="false">J968+0.5*(vit_x+G968)*pas*(K968&gt;=0)</f>
        <v>690.928492655337</v>
      </c>
      <c r="K969" s="398" t="n">
        <f aca="false">K968+0.5*(vit_z+H968)*pas</f>
        <v>-13.9598270717801</v>
      </c>
      <c r="L969" s="397" t="n">
        <f aca="false">SQRT(pos_x^2+pos_z^2)</f>
        <v>691.069503548558</v>
      </c>
      <c r="M969" s="396" t="n">
        <f aca="false">IF(AND(L968&gt;L_rampe,G969&gt;0),ATAN2(G969,H969),$M$4)</f>
        <v>-1.47184499895604</v>
      </c>
      <c r="N969" s="397" t="n">
        <f aca="false">DEGREES(Beta)</f>
        <v>-84.3305065376183</v>
      </c>
      <c r="P969" s="399" t="n">
        <f aca="false">MATCH(t-pas/2-T_ini,CdP_t)</f>
        <v>23</v>
      </c>
      <c r="Q969" s="397" t="n">
        <f aca="false">(INDEX(CdP,2,i_P+1)-INDEX(CdP,2,i_P+0))/(INDEX(CdP,1,i_P+1)-INDEX(CdP,1,i_P+0))*(t-pas/2-T_ini-INDEX(CdP,1,i_P+0))+INDEX(CdP,2,i_P+0)</f>
        <v>0</v>
      </c>
      <c r="R969" s="396" t="n">
        <f aca="false">Poussee/(g*ISP)</f>
        <v>0</v>
      </c>
      <c r="S969" s="398" t="n">
        <f aca="false">S968-Débit*pas</f>
        <v>8.45</v>
      </c>
      <c r="T969" s="397" t="n">
        <f aca="false">m*g</f>
        <v>82.8945</v>
      </c>
      <c r="U969" s="400" t="n">
        <f aca="false">IF(pos_xz&lt;L_rampe,Poids*COS(Beta),0)</f>
        <v>0</v>
      </c>
      <c r="V969" s="396" t="n">
        <f aca="false">Rho_moyen*(20000-Alt_rampe-pos_z)/(20000+Alt_rampe+pos_z)</f>
        <v>1.22671127327024</v>
      </c>
      <c r="W969" s="397" t="n">
        <f aca="false">1/2*Rho*Sref*Cx*vit_xz^2</f>
        <v>62.1561329477265</v>
      </c>
      <c r="Y969" s="408" t="str">
        <f aca="false">IF(AND(pos_z&lt;=0,K968&gt;0),"Impact balistique","") &amp; IF(AND(H970&lt;0,vit_z&gt;=0),"Apogée","") &amp; IF(AND(Poussee=0,Q968&gt;0),"Fin de propulsion","") &amp; IF(AND(L970&gt;L_rampe,pos_xz&lt;=L_rampe),"Sortie de rampe","")</f>
        <v/>
      </c>
      <c r="Z969" s="402" t="str">
        <f aca="false">IF(ABS(t-T_para)&lt;pas/2,"Para","")</f>
        <v/>
      </c>
      <c r="AA969" s="403" t="str">
        <f aca="false">IF(ABS(t-T_satellite)&lt;pas/2,"Satellite","")</f>
        <v/>
      </c>
      <c r="AC969" s="399" t="e">
        <f aca="false">IF(ABS(t-ROUND(t,0))&lt;0.001,t,NA())</f>
        <v>#N/A</v>
      </c>
      <c r="AD969" s="404" t="e">
        <f aca="false">IF(ABS(t-ROUND(t,0))&lt;0.001,pos_x,NA())</f>
        <v>#N/A</v>
      </c>
      <c r="AE969" s="405" t="e">
        <f aca="false">IF(t&lt;T_para, pos_z, NA())</f>
        <v>#N/A</v>
      </c>
      <c r="AG969" s="396" t="n">
        <f aca="false">IF(AND(L968&lt;L_rampe,Poussee&lt;Poids*SIN(M968)),0,(-W968+Poussee)/m-Poids*SIN(M968)/m)</f>
        <v>2.4062953406417</v>
      </c>
      <c r="AH969" s="397" t="n">
        <f aca="false">IF(AND(L968&lt;L_rampe,Poussee&lt;Poids*SIN(M968)), g*SIN(M968), (-W968+Poussee)/m)</f>
        <v>-7.35571637767304</v>
      </c>
    </row>
    <row r="970" customFormat="false" ht="12.75" hidden="false" customHeight="false" outlineLevel="0" collapsed="false">
      <c r="A970" s="396" t="n">
        <f aca="false">IF(B969+0.01&lt;=T_ini+ROUNDUP(Temps_fin_propu,0), 0.01, IF(K969&gt;0, 0.1, 0.0001))</f>
        <v>0.0001</v>
      </c>
      <c r="B970" s="397" t="n">
        <f aca="false">B969+pas</f>
        <v>32.1465000000017</v>
      </c>
      <c r="D970" s="396" t="n">
        <f aca="false">IF(AND(L969&lt;L_rampe,Poussee&lt;Poids*SIN(M969)),0,(-W969+Poussee)/m*COS(M969)-U969/m*SIN(M969))</f>
        <v>-0.726674549926202</v>
      </c>
      <c r="E970" s="398" t="n">
        <f aca="false">IF(AND(L969&lt;L_rampe,Poussee&lt;Poids*SIN(M969)),0,(-W969+Poussee)/m*SIN(M969)+U969/m*COS(M969)-Poids/m)</f>
        <v>-2.49022669164002</v>
      </c>
      <c r="F970" s="397" t="n">
        <f aca="false">SQRT(acc_x^2+acc_z^2)</f>
        <v>2.59408652077506</v>
      </c>
      <c r="G970" s="396" t="n">
        <f aca="false">G969+acc_x*pas</f>
        <v>11.4634927642817</v>
      </c>
      <c r="H970" s="398" t="n">
        <f aca="false">H969+acc_z*pas</f>
        <v>-115.472437052904</v>
      </c>
      <c r="I970" s="397" t="n">
        <f aca="false">SQRT(vit_x^2+vit_z^2)</f>
        <v>116.040059398871</v>
      </c>
      <c r="J970" s="396" t="n">
        <f aca="false">J969+0.5*(vit_x+G969)*pas*(K969&gt;=0)</f>
        <v>690.928492655337</v>
      </c>
      <c r="K970" s="398" t="n">
        <f aca="false">K969+0.5*(vit_z+H969)*pas</f>
        <v>-13.9713743030343</v>
      </c>
      <c r="L970" s="397" t="n">
        <f aca="false">SQRT(pos_x^2+pos_z^2)</f>
        <v>691.06973690279</v>
      </c>
      <c r="M970" s="396" t="n">
        <f aca="false">IF(AND(L969&gt;L_rampe,G970&gt;0),ATAN2(G970,H970),$M$4)</f>
        <v>-1.47184583412383</v>
      </c>
      <c r="N970" s="397" t="n">
        <f aca="false">DEGREES(Beta)</f>
        <v>-84.3305543892079</v>
      </c>
      <c r="P970" s="399" t="n">
        <f aca="false">MATCH(t-pas/2-T_ini,CdP_t)</f>
        <v>23</v>
      </c>
      <c r="Q970" s="397" t="n">
        <f aca="false">(INDEX(CdP,2,i_P+1)-INDEX(CdP,2,i_P+0))/(INDEX(CdP,1,i_P+1)-INDEX(CdP,1,i_P+0))*(t-pas/2-T_ini-INDEX(CdP,1,i_P+0))+INDEX(CdP,2,i_P+0)</f>
        <v>0</v>
      </c>
      <c r="R970" s="396" t="n">
        <f aca="false">Poussee/(g*ISP)</f>
        <v>0</v>
      </c>
      <c r="S970" s="398" t="n">
        <f aca="false">S969-Débit*pas</f>
        <v>8.45</v>
      </c>
      <c r="T970" s="397" t="n">
        <f aca="false">m*g</f>
        <v>82.8945</v>
      </c>
      <c r="U970" s="400" t="n">
        <f aca="false">IF(pos_xz&lt;L_rampe,Poids*COS(Beta),0)</f>
        <v>0</v>
      </c>
      <c r="V970" s="396" t="n">
        <f aca="false">Rho_moyen*(20000-Alt_rampe-pos_z)/(20000+Alt_rampe+pos_z)</f>
        <v>1.22671268978362</v>
      </c>
      <c r="W970" s="397" t="n">
        <f aca="false">1/2*Rho*Sref*Cx*vit_xz^2</f>
        <v>62.156462501392</v>
      </c>
      <c r="Y970" s="408" t="str">
        <f aca="false">IF(AND(pos_z&lt;=0,K969&gt;0),"Impact balistique","") &amp; IF(AND(H971&lt;0,vit_z&gt;=0),"Apogée","") &amp; IF(AND(Poussee=0,Q969&gt;0),"Fin de propulsion","") &amp; IF(AND(L971&gt;L_rampe,pos_xz&lt;=L_rampe),"Sortie de rampe","")</f>
        <v/>
      </c>
      <c r="Z970" s="402" t="str">
        <f aca="false">IF(ABS(t-T_para)&lt;pas/2,"Para","")</f>
        <v/>
      </c>
      <c r="AA970" s="403" t="str">
        <f aca="false">IF(ABS(t-T_satellite)&lt;pas/2,"Satellite","")</f>
        <v/>
      </c>
      <c r="AC970" s="399" t="e">
        <f aca="false">IF(ABS(t-ROUND(t,0))&lt;0.001,t,NA())</f>
        <v>#N/A</v>
      </c>
      <c r="AD970" s="404" t="e">
        <f aca="false">IF(ABS(t-ROUND(t,0))&lt;0.001,pos_x,NA())</f>
        <v>#N/A</v>
      </c>
      <c r="AE970" s="405" t="e">
        <f aca="false">IF(t&lt;T_para, pos_z, NA())</f>
        <v>#N/A</v>
      </c>
      <c r="AG970" s="396" t="n">
        <f aca="false">IF(AND(L969&lt;L_rampe,Poussee&lt;Poids*SIN(M969)),0,(-W969+Poussee)/m-Poids*SIN(M969)/m)</f>
        <v>2.40625714928296</v>
      </c>
      <c r="AH970" s="397" t="n">
        <f aca="false">IF(AND(L969&lt;L_rampe,Poussee&lt;Poids*SIN(M969)), g*SIN(M969), (-W969+Poussee)/m)</f>
        <v>-7.35575537842917</v>
      </c>
    </row>
    <row r="971" customFormat="false" ht="12.75" hidden="false" customHeight="false" outlineLevel="0" collapsed="false">
      <c r="A971" s="396" t="n">
        <f aca="false">IF(B970+0.01&lt;=T_ini+ROUNDUP(Temps_fin_propu,0), 0.01, IF(K970&gt;0, 0.1, 0.0001))</f>
        <v>0.0001</v>
      </c>
      <c r="B971" s="397" t="n">
        <f aca="false">B970+pas</f>
        <v>32.1466000000017</v>
      </c>
      <c r="D971" s="396" t="n">
        <f aca="false">IF(AND(L970&lt;L_rampe,Poussee&lt;Poids*SIN(M970)),0,(-W970+Poussee)/m*COS(M970)-U970/m*SIN(M970))</f>
        <v>-0.726672289504706</v>
      </c>
      <c r="E971" s="398" t="n">
        <f aca="false">IF(AND(L970&lt;L_rampe,Poussee&lt;Poids*SIN(M970)),0,(-W970+Poussee)/m*SIN(M970)+U970/m*COS(M970)-Poids/m)</f>
        <v>-2.49018727508839</v>
      </c>
      <c r="F971" s="397" t="n">
        <f aca="false">SQRT(acc_x^2+acc_z^2)</f>
        <v>2.5940480491591</v>
      </c>
      <c r="G971" s="396" t="n">
        <f aca="false">G970+acc_x*pas</f>
        <v>11.4634200970528</v>
      </c>
      <c r="H971" s="398" t="n">
        <f aca="false">H970+acc_z*pas</f>
        <v>-115.472686071631</v>
      </c>
      <c r="I971" s="397" t="n">
        <f aca="false">SQRT(vit_x^2+vit_z^2)</f>
        <v>116.040300020807</v>
      </c>
      <c r="J971" s="396" t="n">
        <f aca="false">J970+0.5*(vit_x+G970)*pas*(K970&gt;=0)</f>
        <v>690.928492655337</v>
      </c>
      <c r="K971" s="398" t="n">
        <f aca="false">K970+0.5*(vit_z+H970)*pas</f>
        <v>-13.9829215591905</v>
      </c>
      <c r="L971" s="397" t="n">
        <f aca="false">SQRT(pos_x^2+pos_z^2)</f>
        <v>691.069970450392</v>
      </c>
      <c r="M971" s="396" t="n">
        <f aca="false">IF(AND(L970&gt;L_rampe,G971&gt;0),ATAN2(G971,H971),$M$4)</f>
        <v>-1.47184666928287</v>
      </c>
      <c r="N971" s="397" t="n">
        <f aca="false">DEGREES(Beta)</f>
        <v>-84.3306022402957</v>
      </c>
      <c r="P971" s="399" t="n">
        <f aca="false">MATCH(t-pas/2-T_ini,CdP_t)</f>
        <v>23</v>
      </c>
      <c r="Q971" s="397" t="n">
        <f aca="false">(INDEX(CdP,2,i_P+1)-INDEX(CdP,2,i_P+0))/(INDEX(CdP,1,i_P+1)-INDEX(CdP,1,i_P+0))*(t-pas/2-T_ini-INDEX(CdP,1,i_P+0))+INDEX(CdP,2,i_P+0)</f>
        <v>0</v>
      </c>
      <c r="R971" s="396" t="n">
        <f aca="false">Poussee/(g*ISP)</f>
        <v>0</v>
      </c>
      <c r="S971" s="398" t="n">
        <f aca="false">S970-Débit*pas</f>
        <v>8.45</v>
      </c>
      <c r="T971" s="397" t="n">
        <f aca="false">m*g</f>
        <v>82.8945</v>
      </c>
      <c r="U971" s="400" t="n">
        <f aca="false">IF(pos_xz&lt;L_rampe,Poids*COS(Beta),0)</f>
        <v>0</v>
      </c>
      <c r="V971" s="396" t="n">
        <f aca="false">Rho_moyen*(20000-Alt_rampe-pos_z)/(20000+Alt_rampe+pos_z)</f>
        <v>1.2267141063017</v>
      </c>
      <c r="W971" s="397" t="n">
        <f aca="false">1/2*Rho*Sref*Cx*vit_xz^2</f>
        <v>62.1567920523337</v>
      </c>
      <c r="Y971" s="408" t="str">
        <f aca="false">IF(AND(pos_z&lt;=0,K970&gt;0),"Impact balistique","") &amp; IF(AND(H972&lt;0,vit_z&gt;=0),"Apogée","") &amp; IF(AND(Poussee=0,Q970&gt;0),"Fin de propulsion","") &amp; IF(AND(L972&gt;L_rampe,pos_xz&lt;=L_rampe),"Sortie de rampe","")</f>
        <v/>
      </c>
      <c r="Z971" s="402" t="str">
        <f aca="false">IF(ABS(t-T_para)&lt;pas/2,"Para","")</f>
        <v/>
      </c>
      <c r="AA971" s="403" t="str">
        <f aca="false">IF(ABS(t-T_satellite)&lt;pas/2,"Satellite","")</f>
        <v/>
      </c>
      <c r="AC971" s="399" t="e">
        <f aca="false">IF(ABS(t-ROUND(t,0))&lt;0.001,t,NA())</f>
        <v>#N/A</v>
      </c>
      <c r="AD971" s="404" t="e">
        <f aca="false">IF(ABS(t-ROUND(t,0))&lt;0.001,pos_x,NA())</f>
        <v>#N/A</v>
      </c>
      <c r="AE971" s="405" t="e">
        <f aca="false">IF(t&lt;T_para, pos_z, NA())</f>
        <v>#N/A</v>
      </c>
      <c r="AG971" s="396" t="n">
        <f aca="false">IF(AND(L970&lt;L_rampe,Poussee&lt;Poids*SIN(M970)),0,(-W970+Poussee)/m-Poids*SIN(M970)/m)</f>
        <v>2.40621895823125</v>
      </c>
      <c r="AH971" s="397" t="n">
        <f aca="false">IF(AND(L970&lt;L_rampe,Poussee&lt;Poids*SIN(M970)), g*SIN(M970), (-W970+Poussee)/m)</f>
        <v>-7.35579437886296</v>
      </c>
    </row>
    <row r="972" customFormat="false" ht="12.75" hidden="false" customHeight="false" outlineLevel="0" collapsed="false">
      <c r="A972" s="396" t="n">
        <f aca="false">IF(B971+0.01&lt;=T_ini+ROUNDUP(Temps_fin_propu,0), 0.01, IF(K971&gt;0, 0.1, 0.0001))</f>
        <v>0.0001</v>
      </c>
      <c r="B972" s="397" t="n">
        <f aca="false">B971+pas</f>
        <v>32.1467000000017</v>
      </c>
      <c r="D972" s="396" t="n">
        <f aca="false">IF(AND(L971&lt;L_rampe,Poussee&lt;Poids*SIN(M971)),0,(-W971+Poussee)/m*COS(M971)-U971/m*SIN(M971))</f>
        <v>-0.726670029050138</v>
      </c>
      <c r="E972" s="398" t="n">
        <f aca="false">IF(AND(L971&lt;L_rampe,Poussee&lt;Poids*SIN(M971)),0,(-W971+Poussee)/m*SIN(M971)+U971/m*COS(M971)-Poids/m)</f>
        <v>-2.49014785886256</v>
      </c>
      <c r="F972" s="397" t="n">
        <f aca="false">SQRT(acc_x^2+acc_z^2)</f>
        <v>2.59400957787699</v>
      </c>
      <c r="G972" s="396" t="n">
        <f aca="false">G971+acc_x*pas</f>
        <v>11.4633474300499</v>
      </c>
      <c r="H972" s="398" t="n">
        <f aca="false">H971+acc_z*pas</f>
        <v>-115.472935086417</v>
      </c>
      <c r="I972" s="397" t="n">
        <f aca="false">SQRT(vit_x^2+vit_z^2)</f>
        <v>116.040540638925</v>
      </c>
      <c r="J972" s="396" t="n">
        <f aca="false">J971+0.5*(vit_x+G971)*pas*(K971&gt;=0)</f>
        <v>690.928492655337</v>
      </c>
      <c r="K972" s="398" t="n">
        <f aca="false">K971+0.5*(vit_z+H971)*pas</f>
        <v>-13.9944688402484</v>
      </c>
      <c r="L972" s="397" t="n">
        <f aca="false">SQRT(pos_x^2+pos_z^2)</f>
        <v>691.070204191366</v>
      </c>
      <c r="M972" s="396" t="n">
        <f aca="false">IF(AND(L971&gt;L_rampe,G972&gt;0),ATAN2(G972,H972),$M$4)</f>
        <v>-1.47184750443314</v>
      </c>
      <c r="N972" s="397" t="n">
        <f aca="false">DEGREES(Beta)</f>
        <v>-84.3306500908818</v>
      </c>
      <c r="P972" s="399" t="n">
        <f aca="false">MATCH(t-pas/2-T_ini,CdP_t)</f>
        <v>23</v>
      </c>
      <c r="Q972" s="397" t="n">
        <f aca="false">(INDEX(CdP,2,i_P+1)-INDEX(CdP,2,i_P+0))/(INDEX(CdP,1,i_P+1)-INDEX(CdP,1,i_P+0))*(t-pas/2-T_ini-INDEX(CdP,1,i_P+0))+INDEX(CdP,2,i_P+0)</f>
        <v>0</v>
      </c>
      <c r="R972" s="396" t="n">
        <f aca="false">Poussee/(g*ISP)</f>
        <v>0</v>
      </c>
      <c r="S972" s="398" t="n">
        <f aca="false">S971-Débit*pas</f>
        <v>8.45</v>
      </c>
      <c r="T972" s="397" t="n">
        <f aca="false">m*g</f>
        <v>82.8945</v>
      </c>
      <c r="U972" s="400" t="n">
        <f aca="false">IF(pos_xz&lt;L_rampe,Poids*COS(Beta),0)</f>
        <v>0</v>
      </c>
      <c r="V972" s="396" t="n">
        <f aca="false">Rho_moyen*(20000-Alt_rampe-pos_z)/(20000+Alt_rampe+pos_z)</f>
        <v>1.22671552282447</v>
      </c>
      <c r="W972" s="397" t="n">
        <f aca="false">1/2*Rho*Sref*Cx*vit_xz^2</f>
        <v>62.1571216005517</v>
      </c>
      <c r="Y972" s="408" t="str">
        <f aca="false">IF(AND(pos_z&lt;=0,K971&gt;0),"Impact balistique","") &amp; IF(AND(H973&lt;0,vit_z&gt;=0),"Apogée","") &amp; IF(AND(Poussee=0,Q971&gt;0),"Fin de propulsion","") &amp; IF(AND(L973&gt;L_rampe,pos_xz&lt;=L_rampe),"Sortie de rampe","")</f>
        <v/>
      </c>
      <c r="Z972" s="402" t="str">
        <f aca="false">IF(ABS(t-T_para)&lt;pas/2,"Para","")</f>
        <v/>
      </c>
      <c r="AA972" s="403" t="str">
        <f aca="false">IF(ABS(t-T_satellite)&lt;pas/2,"Satellite","")</f>
        <v/>
      </c>
      <c r="AC972" s="399" t="e">
        <f aca="false">IF(ABS(t-ROUND(t,0))&lt;0.001,t,NA())</f>
        <v>#N/A</v>
      </c>
      <c r="AD972" s="404" t="e">
        <f aca="false">IF(ABS(t-ROUND(t,0))&lt;0.001,pos_x,NA())</f>
        <v>#N/A</v>
      </c>
      <c r="AE972" s="405" t="e">
        <f aca="false">IF(t&lt;T_para, pos_z, NA())</f>
        <v>#N/A</v>
      </c>
      <c r="AG972" s="396" t="n">
        <f aca="false">IF(AND(L971&lt;L_rampe,Poussee&lt;Poids*SIN(M971)),0,(-W971+Poussee)/m-Poids*SIN(M971)/m)</f>
        <v>2.4061807674866</v>
      </c>
      <c r="AH972" s="397" t="n">
        <f aca="false">IF(AND(L971&lt;L_rampe,Poussee&lt;Poids*SIN(M971)), g*SIN(M971), (-W971+Poussee)/m)</f>
        <v>-7.35583337897441</v>
      </c>
    </row>
    <row r="973" customFormat="false" ht="12.75" hidden="false" customHeight="false" outlineLevel="0" collapsed="false">
      <c r="A973" s="396" t="n">
        <f aca="false">IF(B972+0.01&lt;=T_ini+ROUNDUP(Temps_fin_propu,0), 0.01, IF(K972&gt;0, 0.1, 0.0001))</f>
        <v>0.0001</v>
      </c>
      <c r="B973" s="397" t="n">
        <f aca="false">B972+pas</f>
        <v>32.1468000000017</v>
      </c>
      <c r="D973" s="396" t="n">
        <f aca="false">IF(AND(L972&lt;L_rampe,Poussee&lt;Poids*SIN(M972)),0,(-W972+Poussee)/m*COS(M972)-U972/m*SIN(M972))</f>
        <v>-0.726667768562501</v>
      </c>
      <c r="E973" s="398" t="n">
        <f aca="false">IF(AND(L972&lt;L_rampe,Poussee&lt;Poids*SIN(M972)),0,(-W972+Poussee)/m*SIN(M972)+U972/m*COS(M972)-Poids/m)</f>
        <v>-2.49010844296253</v>
      </c>
      <c r="F973" s="397" t="n">
        <f aca="false">SQRT(acc_x^2+acc_z^2)</f>
        <v>2.5939711069287</v>
      </c>
      <c r="G973" s="396" t="n">
        <f aca="false">G972+acc_x*pas</f>
        <v>11.463274763273</v>
      </c>
      <c r="H973" s="398" t="n">
        <f aca="false">H972+acc_z*pas</f>
        <v>-115.473184097261</v>
      </c>
      <c r="I973" s="397" t="n">
        <f aca="false">SQRT(vit_x^2+vit_z^2)</f>
        <v>116.040781253223</v>
      </c>
      <c r="J973" s="396" t="n">
        <f aca="false">J972+0.5*(vit_x+G972)*pas*(K972&gt;=0)</f>
        <v>690.928492655337</v>
      </c>
      <c r="K973" s="398" t="n">
        <f aca="false">K972+0.5*(vit_z+H972)*pas</f>
        <v>-14.0060161462076</v>
      </c>
      <c r="L973" s="397" t="n">
        <f aca="false">SQRT(pos_x^2+pos_z^2)</f>
        <v>691.070438125712</v>
      </c>
      <c r="M973" s="396" t="n">
        <f aca="false">IF(AND(L972&gt;L_rampe,G973&gt;0),ATAN2(G973,H973),$M$4)</f>
        <v>-1.47184833957466</v>
      </c>
      <c r="N973" s="397" t="n">
        <f aca="false">DEGREES(Beta)</f>
        <v>-84.3306979409661</v>
      </c>
      <c r="P973" s="399" t="n">
        <f aca="false">MATCH(t-pas/2-T_ini,CdP_t)</f>
        <v>23</v>
      </c>
      <c r="Q973" s="397" t="n">
        <f aca="false">(INDEX(CdP,2,i_P+1)-INDEX(CdP,2,i_P+0))/(INDEX(CdP,1,i_P+1)-INDEX(CdP,1,i_P+0))*(t-pas/2-T_ini-INDEX(CdP,1,i_P+0))+INDEX(CdP,2,i_P+0)</f>
        <v>0</v>
      </c>
      <c r="R973" s="396" t="n">
        <f aca="false">Poussee/(g*ISP)</f>
        <v>0</v>
      </c>
      <c r="S973" s="398" t="n">
        <f aca="false">S972-Débit*pas</f>
        <v>8.45</v>
      </c>
      <c r="T973" s="397" t="n">
        <f aca="false">m*g</f>
        <v>82.8945</v>
      </c>
      <c r="U973" s="400" t="n">
        <f aca="false">IF(pos_xz&lt;L_rampe,Poids*COS(Beta),0)</f>
        <v>0</v>
      </c>
      <c r="V973" s="396" t="n">
        <f aca="false">Rho_moyen*(20000-Alt_rampe-pos_z)/(20000+Alt_rampe+pos_z)</f>
        <v>1.22671693935192</v>
      </c>
      <c r="W973" s="397" t="n">
        <f aca="false">1/2*Rho*Sref*Cx*vit_xz^2</f>
        <v>62.1574511460458</v>
      </c>
      <c r="Y973" s="408" t="str">
        <f aca="false">IF(AND(pos_z&lt;=0,K972&gt;0),"Impact balistique","") &amp; IF(AND(H974&lt;0,vit_z&gt;=0),"Apogée","") &amp; IF(AND(Poussee=0,Q972&gt;0),"Fin de propulsion","") &amp; IF(AND(L974&gt;L_rampe,pos_xz&lt;=L_rampe),"Sortie de rampe","")</f>
        <v/>
      </c>
      <c r="Z973" s="402" t="str">
        <f aca="false">IF(ABS(t-T_para)&lt;pas/2,"Para","")</f>
        <v/>
      </c>
      <c r="AA973" s="403" t="str">
        <f aca="false">IF(ABS(t-T_satellite)&lt;pas/2,"Satellite","")</f>
        <v/>
      </c>
      <c r="AC973" s="399" t="e">
        <f aca="false">IF(ABS(t-ROUND(t,0))&lt;0.001,t,NA())</f>
        <v>#N/A</v>
      </c>
      <c r="AD973" s="404" t="e">
        <f aca="false">IF(ABS(t-ROUND(t,0))&lt;0.001,pos_x,NA())</f>
        <v>#N/A</v>
      </c>
      <c r="AE973" s="405" t="e">
        <f aca="false">IF(t&lt;T_para, pos_z, NA())</f>
        <v>#N/A</v>
      </c>
      <c r="AG973" s="396" t="n">
        <f aca="false">IF(AND(L972&lt;L_rampe,Poussee&lt;Poids*SIN(M972)),0,(-W972+Poussee)/m-Poids*SIN(M972)/m)</f>
        <v>2.40614257704899</v>
      </c>
      <c r="AH973" s="397" t="n">
        <f aca="false">IF(AND(L972&lt;L_rampe,Poussee&lt;Poids*SIN(M972)), g*SIN(M972), (-W972+Poussee)/m)</f>
        <v>-7.35587237876352</v>
      </c>
    </row>
    <row r="974" customFormat="false" ht="12.75" hidden="false" customHeight="false" outlineLevel="0" collapsed="false">
      <c r="A974" s="396" t="n">
        <f aca="false">IF(B973+0.01&lt;=T_ini+ROUNDUP(Temps_fin_propu,0), 0.01, IF(K973&gt;0, 0.1, 0.0001))</f>
        <v>0.0001</v>
      </c>
      <c r="B974" s="397" t="n">
        <f aca="false">B973+pas</f>
        <v>32.1469000000017</v>
      </c>
      <c r="D974" s="396" t="n">
        <f aca="false">IF(AND(L973&lt;L_rampe,Poussee&lt;Poids*SIN(M973)),0,(-W973+Poussee)/m*COS(M973)-U973/m*SIN(M973))</f>
        <v>-0.726665508041795</v>
      </c>
      <c r="E974" s="398" t="n">
        <f aca="false">IF(AND(L973&lt;L_rampe,Poussee&lt;Poids*SIN(M973)),0,(-W973+Poussee)/m*SIN(M973)+U973/m*COS(M973)-Poids/m)</f>
        <v>-2.49006902738831</v>
      </c>
      <c r="F974" s="397" t="n">
        <f aca="false">SQRT(acc_x^2+acc_z^2)</f>
        <v>2.59393263631425</v>
      </c>
      <c r="G974" s="396" t="n">
        <f aca="false">G973+acc_x*pas</f>
        <v>11.4632020967222</v>
      </c>
      <c r="H974" s="398" t="n">
        <f aca="false">H973+acc_z*pas</f>
        <v>-115.473433104164</v>
      </c>
      <c r="I974" s="397" t="n">
        <f aca="false">SQRT(vit_x^2+vit_z^2)</f>
        <v>116.041021863702</v>
      </c>
      <c r="J974" s="396" t="n">
        <f aca="false">J973+0.5*(vit_x+G973)*pas*(K973&gt;=0)</f>
        <v>690.928492655337</v>
      </c>
      <c r="K974" s="398" t="n">
        <f aca="false">K973+0.5*(vit_z+H973)*pas</f>
        <v>-14.0175634770677</v>
      </c>
      <c r="L974" s="397" t="n">
        <f aca="false">SQRT(pos_x^2+pos_z^2)</f>
        <v>691.070672253431</v>
      </c>
      <c r="M974" s="396" t="n">
        <f aca="false">IF(AND(L973&gt;L_rampe,G974&gt;0),ATAN2(G974,H974),$M$4)</f>
        <v>-1.47184917470742</v>
      </c>
      <c r="N974" s="397" t="n">
        <f aca="false">DEGREES(Beta)</f>
        <v>-84.3307457905487</v>
      </c>
      <c r="P974" s="399" t="n">
        <f aca="false">MATCH(t-pas/2-T_ini,CdP_t)</f>
        <v>23</v>
      </c>
      <c r="Q974" s="397" t="n">
        <f aca="false">(INDEX(CdP,2,i_P+1)-INDEX(CdP,2,i_P+0))/(INDEX(CdP,1,i_P+1)-INDEX(CdP,1,i_P+0))*(t-pas/2-T_ini-INDEX(CdP,1,i_P+0))+INDEX(CdP,2,i_P+0)</f>
        <v>0</v>
      </c>
      <c r="R974" s="396" t="n">
        <f aca="false">Poussee/(g*ISP)</f>
        <v>0</v>
      </c>
      <c r="S974" s="398" t="n">
        <f aca="false">S973-Débit*pas</f>
        <v>8.45</v>
      </c>
      <c r="T974" s="397" t="n">
        <f aca="false">m*g</f>
        <v>82.8945</v>
      </c>
      <c r="U974" s="400" t="n">
        <f aca="false">IF(pos_xz&lt;L_rampe,Poids*COS(Beta),0)</f>
        <v>0</v>
      </c>
      <c r="V974" s="396" t="n">
        <f aca="false">Rho_moyen*(20000-Alt_rampe-pos_z)/(20000+Alt_rampe+pos_z)</f>
        <v>1.22671835588407</v>
      </c>
      <c r="W974" s="397" t="n">
        <f aca="false">1/2*Rho*Sref*Cx*vit_xz^2</f>
        <v>62.1577806888161</v>
      </c>
      <c r="Y974" s="408" t="str">
        <f aca="false">IF(AND(pos_z&lt;=0,K973&gt;0),"Impact balistique","") &amp; IF(AND(H975&lt;0,vit_z&gt;=0),"Apogée","") &amp; IF(AND(Poussee=0,Q973&gt;0),"Fin de propulsion","") &amp; IF(AND(L975&gt;L_rampe,pos_xz&lt;=L_rampe),"Sortie de rampe","")</f>
        <v/>
      </c>
      <c r="Z974" s="402" t="str">
        <f aca="false">IF(ABS(t-T_para)&lt;pas/2,"Para","")</f>
        <v/>
      </c>
      <c r="AA974" s="403" t="str">
        <f aca="false">IF(ABS(t-T_satellite)&lt;pas/2,"Satellite","")</f>
        <v/>
      </c>
      <c r="AC974" s="399" t="e">
        <f aca="false">IF(ABS(t-ROUND(t,0))&lt;0.001,t,NA())</f>
        <v>#N/A</v>
      </c>
      <c r="AD974" s="404" t="e">
        <f aca="false">IF(ABS(t-ROUND(t,0))&lt;0.001,pos_x,NA())</f>
        <v>#N/A</v>
      </c>
      <c r="AE974" s="405" t="e">
        <f aca="false">IF(t&lt;T_para, pos_z, NA())</f>
        <v>#N/A</v>
      </c>
      <c r="AG974" s="396" t="n">
        <f aca="false">IF(AND(L973&lt;L_rampe,Poussee&lt;Poids*SIN(M973)),0,(-W973+Poussee)/m-Poids*SIN(M973)/m)</f>
        <v>2.40610438691844</v>
      </c>
      <c r="AH974" s="397" t="n">
        <f aca="false">IF(AND(L973&lt;L_rampe,Poussee&lt;Poids*SIN(M973)), g*SIN(M973), (-W973+Poussee)/m)</f>
        <v>-7.35591137823027</v>
      </c>
    </row>
    <row r="975" customFormat="false" ht="12.75" hidden="false" customHeight="false" outlineLevel="0" collapsed="false">
      <c r="A975" s="396" t="n">
        <f aca="false">IF(B974+0.01&lt;=T_ini+ROUNDUP(Temps_fin_propu,0), 0.01, IF(K974&gt;0, 0.1, 0.0001))</f>
        <v>0.0001</v>
      </c>
      <c r="B975" s="397" t="n">
        <f aca="false">B974+pas</f>
        <v>32.1470000000017</v>
      </c>
      <c r="D975" s="396" t="n">
        <f aca="false">IF(AND(L974&lt;L_rampe,Poussee&lt;Poids*SIN(M974)),0,(-W974+Poussee)/m*COS(M974)-U974/m*SIN(M974))</f>
        <v>-0.72666324748802</v>
      </c>
      <c r="E975" s="398" t="n">
        <f aca="false">IF(AND(L974&lt;L_rampe,Poussee&lt;Poids*SIN(M974)),0,(-W974+Poussee)/m*SIN(M974)+U974/m*COS(M974)-Poids/m)</f>
        <v>-2.49002961213988</v>
      </c>
      <c r="F975" s="397" t="n">
        <f aca="false">SQRT(acc_x^2+acc_z^2)</f>
        <v>2.59389416603364</v>
      </c>
      <c r="G975" s="396" t="n">
        <f aca="false">G974+acc_x*pas</f>
        <v>11.4631294303975</v>
      </c>
      <c r="H975" s="398" t="n">
        <f aca="false">H974+acc_z*pas</f>
        <v>-115.473682107125</v>
      </c>
      <c r="I975" s="397" t="n">
        <f aca="false">SQRT(vit_x^2+vit_z^2)</f>
        <v>116.041262470362</v>
      </c>
      <c r="J975" s="396" t="n">
        <f aca="false">J974+0.5*(vit_x+G974)*pas*(K974&gt;=0)</f>
        <v>690.928492655337</v>
      </c>
      <c r="K975" s="398" t="n">
        <f aca="false">K974+0.5*(vit_z+H974)*pas</f>
        <v>-14.0291108328283</v>
      </c>
      <c r="L975" s="397" t="n">
        <f aca="false">SQRT(pos_x^2+pos_z^2)</f>
        <v>691.070906574525</v>
      </c>
      <c r="M975" s="396" t="n">
        <f aca="false">IF(AND(L974&gt;L_rampe,G975&gt;0),ATAN2(G975,H975),$M$4)</f>
        <v>-1.47185000983143</v>
      </c>
      <c r="N975" s="397" t="n">
        <f aca="false">DEGREES(Beta)</f>
        <v>-84.3307936396295</v>
      </c>
      <c r="P975" s="399" t="n">
        <f aca="false">MATCH(t-pas/2-T_ini,CdP_t)</f>
        <v>23</v>
      </c>
      <c r="Q975" s="397" t="n">
        <f aca="false">(INDEX(CdP,2,i_P+1)-INDEX(CdP,2,i_P+0))/(INDEX(CdP,1,i_P+1)-INDEX(CdP,1,i_P+0))*(t-pas/2-T_ini-INDEX(CdP,1,i_P+0))+INDEX(CdP,2,i_P+0)</f>
        <v>0</v>
      </c>
      <c r="R975" s="396" t="n">
        <f aca="false">Poussee/(g*ISP)</f>
        <v>0</v>
      </c>
      <c r="S975" s="398" t="n">
        <f aca="false">S974-Débit*pas</f>
        <v>8.45</v>
      </c>
      <c r="T975" s="397" t="n">
        <f aca="false">m*g</f>
        <v>82.8945</v>
      </c>
      <c r="U975" s="400" t="n">
        <f aca="false">IF(pos_xz&lt;L_rampe,Poids*COS(Beta),0)</f>
        <v>0</v>
      </c>
      <c r="V975" s="396" t="n">
        <f aca="false">Rho_moyen*(20000-Alt_rampe-pos_z)/(20000+Alt_rampe+pos_z)</f>
        <v>1.22671977242092</v>
      </c>
      <c r="W975" s="397" t="n">
        <f aca="false">1/2*Rho*Sref*Cx*vit_xz^2</f>
        <v>62.1581102288626</v>
      </c>
      <c r="Y975" s="408" t="str">
        <f aca="false">IF(AND(pos_z&lt;=0,K974&gt;0),"Impact balistique","") &amp; IF(AND(H976&lt;0,vit_z&gt;=0),"Apogée","") &amp; IF(AND(Poussee=0,Q974&gt;0),"Fin de propulsion","") &amp; IF(AND(L976&gt;L_rampe,pos_xz&lt;=L_rampe),"Sortie de rampe","")</f>
        <v/>
      </c>
      <c r="Z975" s="402" t="str">
        <f aca="false">IF(ABS(t-T_para)&lt;pas/2,"Para","")</f>
        <v/>
      </c>
      <c r="AA975" s="403" t="str">
        <f aca="false">IF(ABS(t-T_satellite)&lt;pas/2,"Satellite","")</f>
        <v/>
      </c>
      <c r="AC975" s="399" t="e">
        <f aca="false">IF(ABS(t-ROUND(t,0))&lt;0.001,t,NA())</f>
        <v>#N/A</v>
      </c>
      <c r="AD975" s="404" t="e">
        <f aca="false">IF(ABS(t-ROUND(t,0))&lt;0.001,pos_x,NA())</f>
        <v>#N/A</v>
      </c>
      <c r="AE975" s="405" t="e">
        <f aca="false">IF(t&lt;T_para, pos_z, NA())</f>
        <v>#N/A</v>
      </c>
      <c r="AG975" s="396" t="n">
        <f aca="false">IF(AND(L974&lt;L_rampe,Poussee&lt;Poids*SIN(M974)),0,(-W974+Poussee)/m-Poids*SIN(M974)/m)</f>
        <v>2.40606619709493</v>
      </c>
      <c r="AH975" s="397" t="n">
        <f aca="false">IF(AND(L974&lt;L_rampe,Poussee&lt;Poids*SIN(M974)), g*SIN(M974), (-W974+Poussee)/m)</f>
        <v>-7.35595037737469</v>
      </c>
    </row>
    <row r="976" customFormat="false" ht="12.75" hidden="false" customHeight="false" outlineLevel="0" collapsed="false">
      <c r="A976" s="396" t="n">
        <f aca="false">IF(B975+0.01&lt;=T_ini+ROUNDUP(Temps_fin_propu,0), 0.01, IF(K975&gt;0, 0.1, 0.0001))</f>
        <v>0.0001</v>
      </c>
      <c r="B976" s="397" t="n">
        <f aca="false">B975+pas</f>
        <v>32.1471000000018</v>
      </c>
      <c r="D976" s="396" t="n">
        <f aca="false">IF(AND(L975&lt;L_rampe,Poussee&lt;Poids*SIN(M975)),0,(-W975+Poussee)/m*COS(M975)-U975/m*SIN(M975))</f>
        <v>-0.726660986901178</v>
      </c>
      <c r="E976" s="398" t="n">
        <f aca="false">IF(AND(L975&lt;L_rampe,Poussee&lt;Poids*SIN(M975)),0,(-W975+Poussee)/m*SIN(M975)+U975/m*COS(M975)-Poids/m)</f>
        <v>-2.48999019721726</v>
      </c>
      <c r="F976" s="397" t="n">
        <f aca="false">SQRT(acc_x^2+acc_z^2)</f>
        <v>2.59385569608686</v>
      </c>
      <c r="G976" s="396" t="n">
        <f aca="false">G975+acc_x*pas</f>
        <v>11.4630567642988</v>
      </c>
      <c r="H976" s="398" t="n">
        <f aca="false">H975+acc_z*pas</f>
        <v>-115.473931106145</v>
      </c>
      <c r="I976" s="397" t="n">
        <f aca="false">SQRT(vit_x^2+vit_z^2)</f>
        <v>116.041503073203</v>
      </c>
      <c r="J976" s="396" t="n">
        <f aca="false">J975+0.5*(vit_x+G975)*pas*(K975&gt;=0)</f>
        <v>690.928492655337</v>
      </c>
      <c r="K976" s="398" t="n">
        <f aca="false">K975+0.5*(vit_z+H975)*pas</f>
        <v>-14.0406582134889</v>
      </c>
      <c r="L976" s="397" t="n">
        <f aca="false">SQRT(pos_x^2+pos_z^2)</f>
        <v>691.071141088994</v>
      </c>
      <c r="M976" s="396" t="n">
        <f aca="false">IF(AND(L975&gt;L_rampe,G976&gt;0),ATAN2(G976,H976),$M$4)</f>
        <v>-1.47185084494667</v>
      </c>
      <c r="N976" s="397" t="n">
        <f aca="false">DEGREES(Beta)</f>
        <v>-84.3308414882085</v>
      </c>
      <c r="P976" s="399" t="n">
        <f aca="false">MATCH(t-pas/2-T_ini,CdP_t)</f>
        <v>23</v>
      </c>
      <c r="Q976" s="397" t="n">
        <f aca="false">(INDEX(CdP,2,i_P+1)-INDEX(CdP,2,i_P+0))/(INDEX(CdP,1,i_P+1)-INDEX(CdP,1,i_P+0))*(t-pas/2-T_ini-INDEX(CdP,1,i_P+0))+INDEX(CdP,2,i_P+0)</f>
        <v>0</v>
      </c>
      <c r="R976" s="396" t="n">
        <f aca="false">Poussee/(g*ISP)</f>
        <v>0</v>
      </c>
      <c r="S976" s="398" t="n">
        <f aca="false">S975-Débit*pas</f>
        <v>8.45</v>
      </c>
      <c r="T976" s="397" t="n">
        <f aca="false">m*g</f>
        <v>82.8945</v>
      </c>
      <c r="U976" s="400" t="n">
        <f aca="false">IF(pos_xz&lt;L_rampe,Poids*COS(Beta),0)</f>
        <v>0</v>
      </c>
      <c r="V976" s="396" t="n">
        <f aca="false">Rho_moyen*(20000-Alt_rampe-pos_z)/(20000+Alt_rampe+pos_z)</f>
        <v>1.22672118896245</v>
      </c>
      <c r="W976" s="397" t="n">
        <f aca="false">1/2*Rho*Sref*Cx*vit_xz^2</f>
        <v>62.1584397661853</v>
      </c>
      <c r="Y976" s="408" t="str">
        <f aca="false">IF(AND(pos_z&lt;=0,K975&gt;0),"Impact balistique","") &amp; IF(AND(H977&lt;0,vit_z&gt;=0),"Apogée","") &amp; IF(AND(Poussee=0,Q975&gt;0),"Fin de propulsion","") &amp; IF(AND(L977&gt;L_rampe,pos_xz&lt;=L_rampe),"Sortie de rampe","")</f>
        <v/>
      </c>
      <c r="Z976" s="402" t="str">
        <f aca="false">IF(ABS(t-T_para)&lt;pas/2,"Para","")</f>
        <v/>
      </c>
      <c r="AA976" s="403" t="str">
        <f aca="false">IF(ABS(t-T_satellite)&lt;pas/2,"Satellite","")</f>
        <v/>
      </c>
      <c r="AC976" s="399" t="e">
        <f aca="false">IF(ABS(t-ROUND(t,0))&lt;0.001,t,NA())</f>
        <v>#N/A</v>
      </c>
      <c r="AD976" s="404" t="e">
        <f aca="false">IF(ABS(t-ROUND(t,0))&lt;0.001,pos_x,NA())</f>
        <v>#N/A</v>
      </c>
      <c r="AE976" s="405" t="e">
        <f aca="false">IF(t&lt;T_para, pos_z, NA())</f>
        <v>#N/A</v>
      </c>
      <c r="AG976" s="396" t="n">
        <f aca="false">IF(AND(L975&lt;L_rampe,Poussee&lt;Poids*SIN(M975)),0,(-W975+Poussee)/m-Poids*SIN(M975)/m)</f>
        <v>2.40602800757847</v>
      </c>
      <c r="AH976" s="397" t="n">
        <f aca="false">IF(AND(L975&lt;L_rampe,Poussee&lt;Poids*SIN(M975)), g*SIN(M975), (-W975+Poussee)/m)</f>
        <v>-7.35598937619676</v>
      </c>
    </row>
    <row r="977" customFormat="false" ht="12.75" hidden="false" customHeight="false" outlineLevel="0" collapsed="false">
      <c r="A977" s="396" t="n">
        <f aca="false">IF(B976+0.01&lt;=T_ini+ROUNDUP(Temps_fin_propu,0), 0.01, IF(K976&gt;0, 0.1, 0.0001))</f>
        <v>0.0001</v>
      </c>
      <c r="B977" s="397" t="n">
        <f aca="false">B976+pas</f>
        <v>32.1472000000018</v>
      </c>
      <c r="D977" s="396" t="n">
        <f aca="false">IF(AND(L976&lt;L_rampe,Poussee&lt;Poids*SIN(M976)),0,(-W976+Poussee)/m*COS(M976)-U976/m*SIN(M976))</f>
        <v>-0.726658726281272</v>
      </c>
      <c r="E977" s="398" t="n">
        <f aca="false">IF(AND(L976&lt;L_rampe,Poussee&lt;Poids*SIN(M976)),0,(-W976+Poussee)/m*SIN(M976)+U976/m*COS(M976)-Poids/m)</f>
        <v>-2.48995078262044</v>
      </c>
      <c r="F977" s="397" t="n">
        <f aca="false">SQRT(acc_x^2+acc_z^2)</f>
        <v>2.59381722647392</v>
      </c>
      <c r="G977" s="396" t="n">
        <f aca="false">G976+acc_x*pas</f>
        <v>11.4629840984261</v>
      </c>
      <c r="H977" s="398" t="n">
        <f aca="false">H976+acc_z*pas</f>
        <v>-115.474180101223</v>
      </c>
      <c r="I977" s="397" t="n">
        <f aca="false">SQRT(vit_x^2+vit_z^2)</f>
        <v>116.041743672226</v>
      </c>
      <c r="J977" s="396" t="n">
        <f aca="false">J976+0.5*(vit_x+G976)*pas*(K976&gt;=0)</f>
        <v>690.928492655337</v>
      </c>
      <c r="K977" s="398" t="n">
        <f aca="false">K976+0.5*(vit_z+H976)*pas</f>
        <v>-14.0522056190493</v>
      </c>
      <c r="L977" s="397" t="n">
        <f aca="false">SQRT(pos_x^2+pos_z^2)</f>
        <v>691.071375796839</v>
      </c>
      <c r="M977" s="396" t="n">
        <f aca="false">IF(AND(L976&gt;L_rampe,G977&gt;0),ATAN2(G977,H977),$M$4)</f>
        <v>-1.47185168005316</v>
      </c>
      <c r="N977" s="397" t="n">
        <f aca="false">DEGREES(Beta)</f>
        <v>-84.3308893362859</v>
      </c>
      <c r="P977" s="399" t="n">
        <f aca="false">MATCH(t-pas/2-T_ini,CdP_t)</f>
        <v>23</v>
      </c>
      <c r="Q977" s="397" t="n">
        <f aca="false">(INDEX(CdP,2,i_P+1)-INDEX(CdP,2,i_P+0))/(INDEX(CdP,1,i_P+1)-INDEX(CdP,1,i_P+0))*(t-pas/2-T_ini-INDEX(CdP,1,i_P+0))+INDEX(CdP,2,i_P+0)</f>
        <v>0</v>
      </c>
      <c r="R977" s="396" t="n">
        <f aca="false">Poussee/(g*ISP)</f>
        <v>0</v>
      </c>
      <c r="S977" s="398" t="n">
        <f aca="false">S976-Débit*pas</f>
        <v>8.45</v>
      </c>
      <c r="T977" s="397" t="n">
        <f aca="false">m*g</f>
        <v>82.8945</v>
      </c>
      <c r="U977" s="400" t="n">
        <f aca="false">IF(pos_xz&lt;L_rampe,Poids*COS(Beta),0)</f>
        <v>0</v>
      </c>
      <c r="V977" s="396" t="n">
        <f aca="false">Rho_moyen*(20000-Alt_rampe-pos_z)/(20000+Alt_rampe+pos_z)</f>
        <v>1.22672260550867</v>
      </c>
      <c r="W977" s="397" t="n">
        <f aca="false">1/2*Rho*Sref*Cx*vit_xz^2</f>
        <v>62.1587693007842</v>
      </c>
      <c r="Y977" s="408" t="str">
        <f aca="false">IF(AND(pos_z&lt;=0,K976&gt;0),"Impact balistique","") &amp; IF(AND(H978&lt;0,vit_z&gt;=0),"Apogée","") &amp; IF(AND(Poussee=0,Q976&gt;0),"Fin de propulsion","") &amp; IF(AND(L978&gt;L_rampe,pos_xz&lt;=L_rampe),"Sortie de rampe","")</f>
        <v/>
      </c>
      <c r="Z977" s="402" t="str">
        <f aca="false">IF(ABS(t-T_para)&lt;pas/2,"Para","")</f>
        <v/>
      </c>
      <c r="AA977" s="403" t="str">
        <f aca="false">IF(ABS(t-T_satellite)&lt;pas/2,"Satellite","")</f>
        <v/>
      </c>
      <c r="AC977" s="399" t="e">
        <f aca="false">IF(ABS(t-ROUND(t,0))&lt;0.001,t,NA())</f>
        <v>#N/A</v>
      </c>
      <c r="AD977" s="404" t="e">
        <f aca="false">IF(ABS(t-ROUND(t,0))&lt;0.001,pos_x,NA())</f>
        <v>#N/A</v>
      </c>
      <c r="AE977" s="405" t="e">
        <f aca="false">IF(t&lt;T_para, pos_z, NA())</f>
        <v>#N/A</v>
      </c>
      <c r="AG977" s="396" t="n">
        <f aca="false">IF(AND(L976&lt;L_rampe,Poussee&lt;Poids*SIN(M976)),0,(-W976+Poussee)/m-Poids*SIN(M976)/m)</f>
        <v>2.40598981836906</v>
      </c>
      <c r="AH977" s="397" t="n">
        <f aca="false">IF(AND(L976&lt;L_rampe,Poussee&lt;Poids*SIN(M976)), g*SIN(M976), (-W976+Poussee)/m)</f>
        <v>-7.35602837469649</v>
      </c>
    </row>
    <row r="978" customFormat="false" ht="12.75" hidden="false" customHeight="false" outlineLevel="0" collapsed="false">
      <c r="A978" s="396" t="n">
        <f aca="false">IF(B977+0.01&lt;=T_ini+ROUNDUP(Temps_fin_propu,0), 0.01, IF(K977&gt;0, 0.1, 0.0001))</f>
        <v>0.0001</v>
      </c>
      <c r="B978" s="397" t="n">
        <f aca="false">B977+pas</f>
        <v>32.1473000000018</v>
      </c>
      <c r="D978" s="396" t="n">
        <f aca="false">IF(AND(L977&lt;L_rampe,Poussee&lt;Poids*SIN(M977)),0,(-W977+Poussee)/m*COS(M977)-U977/m*SIN(M977))</f>
        <v>-0.726656465628298</v>
      </c>
      <c r="E978" s="398" t="n">
        <f aca="false">IF(AND(L977&lt;L_rampe,Poussee&lt;Poids*SIN(M977)),0,(-W977+Poussee)/m*SIN(M977)+U977/m*COS(M977)-Poids/m)</f>
        <v>-2.48991136834942</v>
      </c>
      <c r="F978" s="397" t="n">
        <f aca="false">SQRT(acc_x^2+acc_z^2)</f>
        <v>2.59377875719482</v>
      </c>
      <c r="G978" s="396" t="n">
        <f aca="false">G977+acc_x*pas</f>
        <v>11.4629114327796</v>
      </c>
      <c r="H978" s="398" t="n">
        <f aca="false">H977+acc_z*pas</f>
        <v>-115.47442909236</v>
      </c>
      <c r="I978" s="397" t="n">
        <f aca="false">SQRT(vit_x^2+vit_z^2)</f>
        <v>116.041984267429</v>
      </c>
      <c r="J978" s="396" t="n">
        <f aca="false">J977+0.5*(vit_x+G977)*pas*(K977&gt;=0)</f>
        <v>690.928492655337</v>
      </c>
      <c r="K978" s="398" t="n">
        <f aca="false">K977+0.5*(vit_z+H977)*pas</f>
        <v>-14.063753049509</v>
      </c>
      <c r="L978" s="397" t="n">
        <f aca="false">SQRT(pos_x^2+pos_z^2)</f>
        <v>691.071610698062</v>
      </c>
      <c r="M978" s="396" t="n">
        <f aca="false">IF(AND(L977&gt;L_rampe,G978&gt;0),ATAN2(G978,H978),$M$4)</f>
        <v>-1.4718525151509</v>
      </c>
      <c r="N978" s="397" t="n">
        <f aca="false">DEGREES(Beta)</f>
        <v>-84.3309371838615</v>
      </c>
      <c r="P978" s="399" t="n">
        <f aca="false">MATCH(t-pas/2-T_ini,CdP_t)</f>
        <v>23</v>
      </c>
      <c r="Q978" s="397" t="n">
        <f aca="false">(INDEX(CdP,2,i_P+1)-INDEX(CdP,2,i_P+0))/(INDEX(CdP,1,i_P+1)-INDEX(CdP,1,i_P+0))*(t-pas/2-T_ini-INDEX(CdP,1,i_P+0))+INDEX(CdP,2,i_P+0)</f>
        <v>0</v>
      </c>
      <c r="R978" s="396" t="n">
        <f aca="false">Poussee/(g*ISP)</f>
        <v>0</v>
      </c>
      <c r="S978" s="398" t="n">
        <f aca="false">S977-Débit*pas</f>
        <v>8.45</v>
      </c>
      <c r="T978" s="397" t="n">
        <f aca="false">m*g</f>
        <v>82.8945</v>
      </c>
      <c r="U978" s="400" t="n">
        <f aca="false">IF(pos_xz&lt;L_rampe,Poids*COS(Beta),0)</f>
        <v>0</v>
      </c>
      <c r="V978" s="396" t="n">
        <f aca="false">Rho_moyen*(20000-Alt_rampe-pos_z)/(20000+Alt_rampe+pos_z)</f>
        <v>1.22672402205959</v>
      </c>
      <c r="W978" s="397" t="n">
        <f aca="false">1/2*Rho*Sref*Cx*vit_xz^2</f>
        <v>62.1590988326592</v>
      </c>
      <c r="Y978" s="408" t="str">
        <f aca="false">IF(AND(pos_z&lt;=0,K977&gt;0),"Impact balistique","") &amp; IF(AND(H979&lt;0,vit_z&gt;=0),"Apogée","") &amp; IF(AND(Poussee=0,Q977&gt;0),"Fin de propulsion","") &amp; IF(AND(L979&gt;L_rampe,pos_xz&lt;=L_rampe),"Sortie de rampe","")</f>
        <v/>
      </c>
      <c r="Z978" s="402" t="str">
        <f aca="false">IF(ABS(t-T_para)&lt;pas/2,"Para","")</f>
        <v/>
      </c>
      <c r="AA978" s="403" t="str">
        <f aca="false">IF(ABS(t-T_satellite)&lt;pas/2,"Satellite","")</f>
        <v/>
      </c>
      <c r="AC978" s="399" t="e">
        <f aca="false">IF(ABS(t-ROUND(t,0))&lt;0.001,t,NA())</f>
        <v>#N/A</v>
      </c>
      <c r="AD978" s="404" t="e">
        <f aca="false">IF(ABS(t-ROUND(t,0))&lt;0.001,pos_x,NA())</f>
        <v>#N/A</v>
      </c>
      <c r="AE978" s="405" t="e">
        <f aca="false">IF(t&lt;T_para, pos_z, NA())</f>
        <v>#N/A</v>
      </c>
      <c r="AG978" s="396" t="n">
        <f aca="false">IF(AND(L977&lt;L_rampe,Poussee&lt;Poids*SIN(M977)),0,(-W977+Poussee)/m-Poids*SIN(M977)/m)</f>
        <v>2.40595162946671</v>
      </c>
      <c r="AH978" s="397" t="n">
        <f aca="false">IF(AND(L977&lt;L_rampe,Poussee&lt;Poids*SIN(M977)), g*SIN(M977), (-W977+Poussee)/m)</f>
        <v>-7.35606737287387</v>
      </c>
    </row>
    <row r="979" customFormat="false" ht="12.75" hidden="false" customHeight="false" outlineLevel="0" collapsed="false">
      <c r="A979" s="396" t="n">
        <f aca="false">IF(B978+0.01&lt;=T_ini+ROUNDUP(Temps_fin_propu,0), 0.01, IF(K978&gt;0, 0.1, 0.0001))</f>
        <v>0.0001</v>
      </c>
      <c r="B979" s="397" t="n">
        <f aca="false">B978+pas</f>
        <v>32.1474000000018</v>
      </c>
      <c r="D979" s="396" t="n">
        <f aca="false">IF(AND(L978&lt;L_rampe,Poussee&lt;Poids*SIN(M978)),0,(-W978+Poussee)/m*COS(M978)-U978/m*SIN(M978))</f>
        <v>-0.726654204942261</v>
      </c>
      <c r="E979" s="398" t="n">
        <f aca="false">IF(AND(L978&lt;L_rampe,Poussee&lt;Poids*SIN(M978)),0,(-W978+Poussee)/m*SIN(M978)+U978/m*COS(M978)-Poids/m)</f>
        <v>-2.48987195440421</v>
      </c>
      <c r="F979" s="397" t="n">
        <f aca="false">SQRT(acc_x^2+acc_z^2)</f>
        <v>2.59374028824956</v>
      </c>
      <c r="G979" s="396" t="n">
        <f aca="false">G978+acc_x*pas</f>
        <v>11.4628387673591</v>
      </c>
      <c r="H979" s="398" t="n">
        <f aca="false">H978+acc_z*pas</f>
        <v>-115.474678079556</v>
      </c>
      <c r="I979" s="397" t="n">
        <f aca="false">SQRT(vit_x^2+vit_z^2)</f>
        <v>116.042224858814</v>
      </c>
      <c r="J979" s="396" t="n">
        <f aca="false">J978+0.5*(vit_x+G978)*pas*(K978&gt;=0)</f>
        <v>690.928492655337</v>
      </c>
      <c r="K979" s="398" t="n">
        <f aca="false">K978+0.5*(vit_z+H978)*pas</f>
        <v>-14.0753005048676</v>
      </c>
      <c r="L979" s="397" t="n">
        <f aca="false">SQRT(pos_x^2+pos_z^2)</f>
        <v>691.071845792663</v>
      </c>
      <c r="M979" s="396" t="n">
        <f aca="false">IF(AND(L978&gt;L_rampe,G979&gt;0),ATAN2(G979,H979),$M$4)</f>
        <v>-1.47185335023987</v>
      </c>
      <c r="N979" s="397" t="n">
        <f aca="false">DEGREES(Beta)</f>
        <v>-84.3309850309353</v>
      </c>
      <c r="P979" s="399" t="n">
        <f aca="false">MATCH(t-pas/2-T_ini,CdP_t)</f>
        <v>23</v>
      </c>
      <c r="Q979" s="397" t="n">
        <f aca="false">(INDEX(CdP,2,i_P+1)-INDEX(CdP,2,i_P+0))/(INDEX(CdP,1,i_P+1)-INDEX(CdP,1,i_P+0))*(t-pas/2-T_ini-INDEX(CdP,1,i_P+0))+INDEX(CdP,2,i_P+0)</f>
        <v>0</v>
      </c>
      <c r="R979" s="396" t="n">
        <f aca="false">Poussee/(g*ISP)</f>
        <v>0</v>
      </c>
      <c r="S979" s="398" t="n">
        <f aca="false">S978-Débit*pas</f>
        <v>8.45</v>
      </c>
      <c r="T979" s="397" t="n">
        <f aca="false">m*g</f>
        <v>82.8945</v>
      </c>
      <c r="U979" s="400" t="n">
        <f aca="false">IF(pos_xz&lt;L_rampe,Poids*COS(Beta),0)</f>
        <v>0</v>
      </c>
      <c r="V979" s="396" t="n">
        <f aca="false">Rho_moyen*(20000-Alt_rampe-pos_z)/(20000+Alt_rampe+pos_z)</f>
        <v>1.2267254386152</v>
      </c>
      <c r="W979" s="397" t="n">
        <f aca="false">1/2*Rho*Sref*Cx*vit_xz^2</f>
        <v>62.1594283618104</v>
      </c>
      <c r="Y979" s="408" t="str">
        <f aca="false">IF(AND(pos_z&lt;=0,K978&gt;0),"Impact balistique","") &amp; IF(AND(H980&lt;0,vit_z&gt;=0),"Apogée","") &amp; IF(AND(Poussee=0,Q978&gt;0),"Fin de propulsion","") &amp; IF(AND(L980&gt;L_rampe,pos_xz&lt;=L_rampe),"Sortie de rampe","")</f>
        <v/>
      </c>
      <c r="Z979" s="402" t="str">
        <f aca="false">IF(ABS(t-T_para)&lt;pas/2,"Para","")</f>
        <v/>
      </c>
      <c r="AA979" s="403" t="str">
        <f aca="false">IF(ABS(t-T_satellite)&lt;pas/2,"Satellite","")</f>
        <v/>
      </c>
      <c r="AC979" s="399" t="e">
        <f aca="false">IF(ABS(t-ROUND(t,0))&lt;0.001,t,NA())</f>
        <v>#N/A</v>
      </c>
      <c r="AD979" s="404" t="e">
        <f aca="false">IF(ABS(t-ROUND(t,0))&lt;0.001,pos_x,NA())</f>
        <v>#N/A</v>
      </c>
      <c r="AE979" s="405" t="e">
        <f aca="false">IF(t&lt;T_para, pos_z, NA())</f>
        <v>#N/A</v>
      </c>
      <c r="AG979" s="396" t="n">
        <f aca="false">IF(AND(L978&lt;L_rampe,Poussee&lt;Poids*SIN(M978)),0,(-W978+Poussee)/m-Poids*SIN(M978)/m)</f>
        <v>2.4059134408714</v>
      </c>
      <c r="AH979" s="397" t="n">
        <f aca="false">IF(AND(L978&lt;L_rampe,Poussee&lt;Poids*SIN(M978)), g*SIN(M978), (-W978+Poussee)/m)</f>
        <v>-7.3561063707289</v>
      </c>
    </row>
    <row r="980" customFormat="false" ht="12.75" hidden="false" customHeight="false" outlineLevel="0" collapsed="false">
      <c r="A980" s="396" t="n">
        <f aca="false">IF(B979+0.01&lt;=T_ini+ROUNDUP(Temps_fin_propu,0), 0.01, IF(K979&gt;0, 0.1, 0.0001))</f>
        <v>0.0001</v>
      </c>
      <c r="B980" s="397" t="n">
        <f aca="false">B979+pas</f>
        <v>32.1475000000018</v>
      </c>
      <c r="D980" s="396" t="n">
        <f aca="false">IF(AND(L979&lt;L_rampe,Poussee&lt;Poids*SIN(M979)),0,(-W979+Poussee)/m*COS(M979)-U979/m*SIN(M979))</f>
        <v>-0.726651944223159</v>
      </c>
      <c r="E980" s="398" t="n">
        <f aca="false">IF(AND(L979&lt;L_rampe,Poussee&lt;Poids*SIN(M979)),0,(-W979+Poussee)/m*SIN(M979)+U979/m*COS(M979)-Poids/m)</f>
        <v>-2.4898325407848</v>
      </c>
      <c r="F980" s="397" t="n">
        <f aca="false">SQRT(acc_x^2+acc_z^2)</f>
        <v>2.59370181963814</v>
      </c>
      <c r="G980" s="396" t="n">
        <f aca="false">G979+acc_x*pas</f>
        <v>11.4627661021647</v>
      </c>
      <c r="H980" s="398" t="n">
        <f aca="false">H979+acc_z*pas</f>
        <v>-115.47492706281</v>
      </c>
      <c r="I980" s="397" t="n">
        <f aca="false">SQRT(vit_x^2+vit_z^2)</f>
        <v>116.042465446379</v>
      </c>
      <c r="J980" s="396" t="n">
        <f aca="false">J979+0.5*(vit_x+G979)*pas*(K979&gt;=0)</f>
        <v>690.928492655337</v>
      </c>
      <c r="K980" s="398" t="n">
        <f aca="false">K979+0.5*(vit_z+H979)*pas</f>
        <v>-14.0868479851247</v>
      </c>
      <c r="L980" s="397" t="n">
        <f aca="false">SQRT(pos_x^2+pos_z^2)</f>
        <v>691.072081080644</v>
      </c>
      <c r="M980" s="396" t="n">
        <f aca="false">IF(AND(L979&gt;L_rampe,G980&gt;0),ATAN2(G980,H980),$M$4)</f>
        <v>-1.47185418532009</v>
      </c>
      <c r="N980" s="397" t="n">
        <f aca="false">DEGREES(Beta)</f>
        <v>-84.3310328775075</v>
      </c>
      <c r="P980" s="399" t="n">
        <f aca="false">MATCH(t-pas/2-T_ini,CdP_t)</f>
        <v>23</v>
      </c>
      <c r="Q980" s="397" t="n">
        <f aca="false">(INDEX(CdP,2,i_P+1)-INDEX(CdP,2,i_P+0))/(INDEX(CdP,1,i_P+1)-INDEX(CdP,1,i_P+0))*(t-pas/2-T_ini-INDEX(CdP,1,i_P+0))+INDEX(CdP,2,i_P+0)</f>
        <v>0</v>
      </c>
      <c r="R980" s="396" t="n">
        <f aca="false">Poussee/(g*ISP)</f>
        <v>0</v>
      </c>
      <c r="S980" s="398" t="n">
        <f aca="false">S979-Débit*pas</f>
        <v>8.45</v>
      </c>
      <c r="T980" s="397" t="n">
        <f aca="false">m*g</f>
        <v>82.8945</v>
      </c>
      <c r="U980" s="400" t="n">
        <f aca="false">IF(pos_xz&lt;L_rampe,Poids*COS(Beta),0)</f>
        <v>0</v>
      </c>
      <c r="V980" s="396" t="n">
        <f aca="false">Rho_moyen*(20000-Alt_rampe-pos_z)/(20000+Alt_rampe+pos_z)</f>
        <v>1.2267268551755</v>
      </c>
      <c r="W980" s="397" t="n">
        <f aca="false">1/2*Rho*Sref*Cx*vit_xz^2</f>
        <v>62.1597578882378</v>
      </c>
      <c r="Y980" s="408" t="str">
        <f aca="false">IF(AND(pos_z&lt;=0,K979&gt;0),"Impact balistique","") &amp; IF(AND(H981&lt;0,vit_z&gt;=0),"Apogée","") &amp; IF(AND(Poussee=0,Q979&gt;0),"Fin de propulsion","") &amp; IF(AND(L981&gt;L_rampe,pos_xz&lt;=L_rampe),"Sortie de rampe","")</f>
        <v/>
      </c>
      <c r="Z980" s="402" t="str">
        <f aca="false">IF(ABS(t-T_para)&lt;pas/2,"Para","")</f>
        <v/>
      </c>
      <c r="AA980" s="403" t="str">
        <f aca="false">IF(ABS(t-T_satellite)&lt;pas/2,"Satellite","")</f>
        <v/>
      </c>
      <c r="AC980" s="399" t="e">
        <f aca="false">IF(ABS(t-ROUND(t,0))&lt;0.001,t,NA())</f>
        <v>#N/A</v>
      </c>
      <c r="AD980" s="404" t="e">
        <f aca="false">IF(ABS(t-ROUND(t,0))&lt;0.001,pos_x,NA())</f>
        <v>#N/A</v>
      </c>
      <c r="AE980" s="405" t="e">
        <f aca="false">IF(t&lt;T_para, pos_z, NA())</f>
        <v>#N/A</v>
      </c>
      <c r="AG980" s="396" t="n">
        <f aca="false">IF(AND(L979&lt;L_rampe,Poussee&lt;Poids*SIN(M979)),0,(-W979+Poussee)/m-Poids*SIN(M979)/m)</f>
        <v>2.40587525258315</v>
      </c>
      <c r="AH980" s="397" t="n">
        <f aca="false">IF(AND(L979&lt;L_rampe,Poussee&lt;Poids*SIN(M979)), g*SIN(M979), (-W979+Poussee)/m)</f>
        <v>-7.35614536826159</v>
      </c>
    </row>
    <row r="981" customFormat="false" ht="12.75" hidden="false" customHeight="false" outlineLevel="0" collapsed="false">
      <c r="A981" s="396" t="n">
        <f aca="false">IF(B980+0.01&lt;=T_ini+ROUNDUP(Temps_fin_propu,0), 0.01, IF(K980&gt;0, 0.1, 0.0001))</f>
        <v>0.0001</v>
      </c>
      <c r="B981" s="397" t="n">
        <f aca="false">B980+pas</f>
        <v>32.1476000000018</v>
      </c>
      <c r="D981" s="396" t="n">
        <f aca="false">IF(AND(L980&lt;L_rampe,Poussee&lt;Poids*SIN(M980)),0,(-W980+Poussee)/m*COS(M980)-U980/m*SIN(M980))</f>
        <v>-0.726649683470993</v>
      </c>
      <c r="E981" s="398" t="n">
        <f aca="false">IF(AND(L980&lt;L_rampe,Poussee&lt;Poids*SIN(M980)),0,(-W980+Poussee)/m*SIN(M980)+U980/m*COS(M980)-Poids/m)</f>
        <v>-2.4897931274912</v>
      </c>
      <c r="F981" s="397" t="n">
        <f aca="false">SQRT(acc_x^2+acc_z^2)</f>
        <v>2.59366335136056</v>
      </c>
      <c r="G981" s="396" t="n">
        <f aca="false">G980+acc_x*pas</f>
        <v>11.4626934371963</v>
      </c>
      <c r="H981" s="398" t="n">
        <f aca="false">H980+acc_z*pas</f>
        <v>-115.475176042122</v>
      </c>
      <c r="I981" s="397" t="n">
        <f aca="false">SQRT(vit_x^2+vit_z^2)</f>
        <v>116.042706030126</v>
      </c>
      <c r="J981" s="396" t="n">
        <f aca="false">J980+0.5*(vit_x+G980)*pas*(K980&gt;=0)</f>
        <v>690.928492655337</v>
      </c>
      <c r="K981" s="398" t="n">
        <f aca="false">K980+0.5*(vit_z+H980)*pas</f>
        <v>-14.0983954902799</v>
      </c>
      <c r="L981" s="397" t="n">
        <f aca="false">SQRT(pos_x^2+pos_z^2)</f>
        <v>691.072316562005</v>
      </c>
      <c r="M981" s="396" t="n">
        <f aca="false">IF(AND(L980&gt;L_rampe,G981&gt;0),ATAN2(G981,H981),$M$4)</f>
        <v>-1.47185502039156</v>
      </c>
      <c r="N981" s="397" t="n">
        <f aca="false">DEGREES(Beta)</f>
        <v>-84.331080723578</v>
      </c>
      <c r="P981" s="399" t="n">
        <f aca="false">MATCH(t-pas/2-T_ini,CdP_t)</f>
        <v>23</v>
      </c>
      <c r="Q981" s="397" t="n">
        <f aca="false">(INDEX(CdP,2,i_P+1)-INDEX(CdP,2,i_P+0))/(INDEX(CdP,1,i_P+1)-INDEX(CdP,1,i_P+0))*(t-pas/2-T_ini-INDEX(CdP,1,i_P+0))+INDEX(CdP,2,i_P+0)</f>
        <v>0</v>
      </c>
      <c r="R981" s="396" t="n">
        <f aca="false">Poussee/(g*ISP)</f>
        <v>0</v>
      </c>
      <c r="S981" s="398" t="n">
        <f aca="false">S980-Débit*pas</f>
        <v>8.45</v>
      </c>
      <c r="T981" s="397" t="n">
        <f aca="false">m*g</f>
        <v>82.8945</v>
      </c>
      <c r="U981" s="400" t="n">
        <f aca="false">IF(pos_xz&lt;L_rampe,Poids*COS(Beta),0)</f>
        <v>0</v>
      </c>
      <c r="V981" s="396" t="n">
        <f aca="false">Rho_moyen*(20000-Alt_rampe-pos_z)/(20000+Alt_rampe+pos_z)</f>
        <v>1.22672827174049</v>
      </c>
      <c r="W981" s="397" t="n">
        <f aca="false">1/2*Rho*Sref*Cx*vit_xz^2</f>
        <v>62.1600874119413</v>
      </c>
      <c r="Y981" s="408" t="str">
        <f aca="false">IF(AND(pos_z&lt;=0,K980&gt;0),"Impact balistique","") &amp; IF(AND(H982&lt;0,vit_z&gt;=0),"Apogée","") &amp; IF(AND(Poussee=0,Q980&gt;0),"Fin de propulsion","") &amp; IF(AND(L982&gt;L_rampe,pos_xz&lt;=L_rampe),"Sortie de rampe","")</f>
        <v/>
      </c>
      <c r="Z981" s="402" t="str">
        <f aca="false">IF(ABS(t-T_para)&lt;pas/2,"Para","")</f>
        <v/>
      </c>
      <c r="AA981" s="403" t="str">
        <f aca="false">IF(ABS(t-T_satellite)&lt;pas/2,"Satellite","")</f>
        <v/>
      </c>
      <c r="AC981" s="399" t="e">
        <f aca="false">IF(ABS(t-ROUND(t,0))&lt;0.001,t,NA())</f>
        <v>#N/A</v>
      </c>
      <c r="AD981" s="404" t="e">
        <f aca="false">IF(ABS(t-ROUND(t,0))&lt;0.001,pos_x,NA())</f>
        <v>#N/A</v>
      </c>
      <c r="AE981" s="405" t="e">
        <f aca="false">IF(t&lt;T_para, pos_z, NA())</f>
        <v>#N/A</v>
      </c>
      <c r="AG981" s="396" t="n">
        <f aca="false">IF(AND(L980&lt;L_rampe,Poussee&lt;Poids*SIN(M980)),0,(-W980+Poussee)/m-Poids*SIN(M980)/m)</f>
        <v>2.40583706460195</v>
      </c>
      <c r="AH981" s="397" t="n">
        <f aca="false">IF(AND(L980&lt;L_rampe,Poussee&lt;Poids*SIN(M980)), g*SIN(M980), (-W980+Poussee)/m)</f>
        <v>-7.35618436547193</v>
      </c>
    </row>
    <row r="982" customFormat="false" ht="12.75" hidden="false" customHeight="false" outlineLevel="0" collapsed="false">
      <c r="A982" s="396" t="n">
        <f aca="false">IF(B981+0.01&lt;=T_ini+ROUNDUP(Temps_fin_propu,0), 0.01, IF(K981&gt;0, 0.1, 0.0001))</f>
        <v>0.0001</v>
      </c>
      <c r="B982" s="397" t="n">
        <f aca="false">B981+pas</f>
        <v>32.1477000000018</v>
      </c>
      <c r="D982" s="396" t="n">
        <f aca="false">IF(AND(L981&lt;L_rampe,Poussee&lt;Poids*SIN(M981)),0,(-W981+Poussee)/m*COS(M981)-U981/m*SIN(M981))</f>
        <v>-0.726647422685766</v>
      </c>
      <c r="E982" s="398" t="n">
        <f aca="false">IF(AND(L981&lt;L_rampe,Poussee&lt;Poids*SIN(M981)),0,(-W981+Poussee)/m*SIN(M981)+U981/m*COS(M981)-Poids/m)</f>
        <v>-2.48975371452339</v>
      </c>
      <c r="F982" s="397" t="n">
        <f aca="false">SQRT(acc_x^2+acc_z^2)</f>
        <v>2.59362488341682</v>
      </c>
      <c r="G982" s="396" t="n">
        <f aca="false">G981+acc_x*pas</f>
        <v>11.462620772454</v>
      </c>
      <c r="H982" s="398" t="n">
        <f aca="false">H981+acc_z*pas</f>
        <v>-115.475425017494</v>
      </c>
      <c r="I982" s="397" t="n">
        <f aca="false">SQRT(vit_x^2+vit_z^2)</f>
        <v>116.042946610054</v>
      </c>
      <c r="J982" s="396" t="n">
        <f aca="false">J981+0.5*(vit_x+G981)*pas*(K981&gt;=0)</f>
        <v>690.928492655337</v>
      </c>
      <c r="K982" s="398" t="n">
        <f aca="false">K981+0.5*(vit_z+H981)*pas</f>
        <v>-14.1099430203329</v>
      </c>
      <c r="L982" s="397" t="n">
        <f aca="false">SQRT(pos_x^2+pos_z^2)</f>
        <v>691.072552236748</v>
      </c>
      <c r="M982" s="396" t="n">
        <f aca="false">IF(AND(L981&gt;L_rampe,G982&gt;0),ATAN2(G982,H982),$M$4)</f>
        <v>-1.47185585545427</v>
      </c>
      <c r="N982" s="397" t="n">
        <f aca="false">DEGREES(Beta)</f>
        <v>-84.3311285691468</v>
      </c>
      <c r="P982" s="399" t="n">
        <f aca="false">MATCH(t-pas/2-T_ini,CdP_t)</f>
        <v>23</v>
      </c>
      <c r="Q982" s="397" t="n">
        <f aca="false">(INDEX(CdP,2,i_P+1)-INDEX(CdP,2,i_P+0))/(INDEX(CdP,1,i_P+1)-INDEX(CdP,1,i_P+0))*(t-pas/2-T_ini-INDEX(CdP,1,i_P+0))+INDEX(CdP,2,i_P+0)</f>
        <v>0</v>
      </c>
      <c r="R982" s="396" t="n">
        <f aca="false">Poussee/(g*ISP)</f>
        <v>0</v>
      </c>
      <c r="S982" s="398" t="n">
        <f aca="false">S981-Débit*pas</f>
        <v>8.45</v>
      </c>
      <c r="T982" s="397" t="n">
        <f aca="false">m*g</f>
        <v>82.8945</v>
      </c>
      <c r="U982" s="400" t="n">
        <f aca="false">IF(pos_xz&lt;L_rampe,Poids*COS(Beta),0)</f>
        <v>0</v>
      </c>
      <c r="V982" s="396" t="n">
        <f aca="false">Rho_moyen*(20000-Alt_rampe-pos_z)/(20000+Alt_rampe+pos_z)</f>
        <v>1.22672968831017</v>
      </c>
      <c r="W982" s="397" t="n">
        <f aca="false">1/2*Rho*Sref*Cx*vit_xz^2</f>
        <v>62.160416932921</v>
      </c>
      <c r="Y982" s="408" t="str">
        <f aca="false">IF(AND(pos_z&lt;=0,K981&gt;0),"Impact balistique","") &amp; IF(AND(H983&lt;0,vit_z&gt;=0),"Apogée","") &amp; IF(AND(Poussee=0,Q981&gt;0),"Fin de propulsion","") &amp; IF(AND(L983&gt;L_rampe,pos_xz&lt;=L_rampe),"Sortie de rampe","")</f>
        <v/>
      </c>
      <c r="Z982" s="402" t="str">
        <f aca="false">IF(ABS(t-T_para)&lt;pas/2,"Para","")</f>
        <v/>
      </c>
      <c r="AA982" s="403" t="str">
        <f aca="false">IF(ABS(t-T_satellite)&lt;pas/2,"Satellite","")</f>
        <v/>
      </c>
      <c r="AC982" s="399" t="e">
        <f aca="false">IF(ABS(t-ROUND(t,0))&lt;0.001,t,NA())</f>
        <v>#N/A</v>
      </c>
      <c r="AD982" s="404" t="e">
        <f aca="false">IF(ABS(t-ROUND(t,0))&lt;0.001,pos_x,NA())</f>
        <v>#N/A</v>
      </c>
      <c r="AE982" s="405" t="e">
        <f aca="false">IF(t&lt;T_para, pos_z, NA())</f>
        <v>#N/A</v>
      </c>
      <c r="AG982" s="396" t="n">
        <f aca="false">IF(AND(L981&lt;L_rampe,Poussee&lt;Poids*SIN(M981)),0,(-W981+Poussee)/m-Poids*SIN(M981)/m)</f>
        <v>2.40579887692781</v>
      </c>
      <c r="AH982" s="397" t="n">
        <f aca="false">IF(AND(L981&lt;L_rampe,Poussee&lt;Poids*SIN(M981)), g*SIN(M981), (-W981+Poussee)/m)</f>
        <v>-7.35622336235992</v>
      </c>
    </row>
    <row r="983" customFormat="false" ht="12.75" hidden="false" customHeight="false" outlineLevel="0" collapsed="false">
      <c r="A983" s="396" t="n">
        <f aca="false">IF(B982+0.01&lt;=T_ini+ROUNDUP(Temps_fin_propu,0), 0.01, IF(K982&gt;0, 0.1, 0.0001))</f>
        <v>0.0001</v>
      </c>
      <c r="B983" s="397" t="n">
        <f aca="false">B982+pas</f>
        <v>32.1478000000018</v>
      </c>
      <c r="D983" s="396" t="n">
        <f aca="false">IF(AND(L982&lt;L_rampe,Poussee&lt;Poids*SIN(M982)),0,(-W982+Poussee)/m*COS(M982)-U982/m*SIN(M982))</f>
        <v>-0.726645161867477</v>
      </c>
      <c r="E983" s="398" t="n">
        <f aca="false">IF(AND(L982&lt;L_rampe,Poussee&lt;Poids*SIN(M982)),0,(-W982+Poussee)/m*SIN(M982)+U982/m*COS(M982)-Poids/m)</f>
        <v>-2.4897143018814</v>
      </c>
      <c r="F983" s="397" t="n">
        <f aca="false">SQRT(acc_x^2+acc_z^2)</f>
        <v>2.59358641580692</v>
      </c>
      <c r="G983" s="396" t="n">
        <f aca="false">G982+acc_x*pas</f>
        <v>11.4625481079379</v>
      </c>
      <c r="H983" s="398" t="n">
        <f aca="false">H982+acc_z*pas</f>
        <v>-115.475673988924</v>
      </c>
      <c r="I983" s="397" t="n">
        <f aca="false">SQRT(vit_x^2+vit_z^2)</f>
        <v>116.043187186164</v>
      </c>
      <c r="J983" s="396" t="n">
        <f aca="false">J982+0.5*(vit_x+G982)*pas*(K982&gt;=0)</f>
        <v>690.928492655337</v>
      </c>
      <c r="K983" s="398" t="n">
        <f aca="false">K982+0.5*(vit_z+H982)*pas</f>
        <v>-14.1214905752832</v>
      </c>
      <c r="L983" s="397" t="n">
        <f aca="false">SQRT(pos_x^2+pos_z^2)</f>
        <v>691.072788104874</v>
      </c>
      <c r="M983" s="396" t="n">
        <f aca="false">IF(AND(L982&gt;L_rampe,G983&gt;0),ATAN2(G983,H983),$M$4)</f>
        <v>-1.47185669050822</v>
      </c>
      <c r="N983" s="397" t="n">
        <f aca="false">DEGREES(Beta)</f>
        <v>-84.3311764142138</v>
      </c>
      <c r="P983" s="399" t="n">
        <f aca="false">MATCH(t-pas/2-T_ini,CdP_t)</f>
        <v>23</v>
      </c>
      <c r="Q983" s="397" t="n">
        <f aca="false">(INDEX(CdP,2,i_P+1)-INDEX(CdP,2,i_P+0))/(INDEX(CdP,1,i_P+1)-INDEX(CdP,1,i_P+0))*(t-pas/2-T_ini-INDEX(CdP,1,i_P+0))+INDEX(CdP,2,i_P+0)</f>
        <v>0</v>
      </c>
      <c r="R983" s="396" t="n">
        <f aca="false">Poussee/(g*ISP)</f>
        <v>0</v>
      </c>
      <c r="S983" s="398" t="n">
        <f aca="false">S982-Débit*pas</f>
        <v>8.45</v>
      </c>
      <c r="T983" s="397" t="n">
        <f aca="false">m*g</f>
        <v>82.8945</v>
      </c>
      <c r="U983" s="400" t="n">
        <f aca="false">IF(pos_xz&lt;L_rampe,Poids*COS(Beta),0)</f>
        <v>0</v>
      </c>
      <c r="V983" s="396" t="n">
        <f aca="false">Rho_moyen*(20000-Alt_rampe-pos_z)/(20000+Alt_rampe+pos_z)</f>
        <v>1.22673110488454</v>
      </c>
      <c r="W983" s="397" t="n">
        <f aca="false">1/2*Rho*Sref*Cx*vit_xz^2</f>
        <v>62.1607464511769</v>
      </c>
      <c r="Y983" s="408" t="str">
        <f aca="false">IF(AND(pos_z&lt;=0,K982&gt;0),"Impact balistique","") &amp; IF(AND(H984&lt;0,vit_z&gt;=0),"Apogée","") &amp; IF(AND(Poussee=0,Q982&gt;0),"Fin de propulsion","") &amp; IF(AND(L984&gt;L_rampe,pos_xz&lt;=L_rampe),"Sortie de rampe","")</f>
        <v/>
      </c>
      <c r="Z983" s="402" t="str">
        <f aca="false">IF(ABS(t-T_para)&lt;pas/2,"Para","")</f>
        <v/>
      </c>
      <c r="AA983" s="403" t="str">
        <f aca="false">IF(ABS(t-T_satellite)&lt;pas/2,"Satellite","")</f>
        <v/>
      </c>
      <c r="AC983" s="399" t="e">
        <f aca="false">IF(ABS(t-ROUND(t,0))&lt;0.001,t,NA())</f>
        <v>#N/A</v>
      </c>
      <c r="AD983" s="404" t="e">
        <f aca="false">IF(ABS(t-ROUND(t,0))&lt;0.001,pos_x,NA())</f>
        <v>#N/A</v>
      </c>
      <c r="AE983" s="405" t="e">
        <f aca="false">IF(t&lt;T_para, pos_z, NA())</f>
        <v>#N/A</v>
      </c>
      <c r="AG983" s="396" t="n">
        <f aca="false">IF(AND(L982&lt;L_rampe,Poussee&lt;Poids*SIN(M982)),0,(-W982+Poussee)/m-Poids*SIN(M982)/m)</f>
        <v>2.40576068956072</v>
      </c>
      <c r="AH983" s="397" t="n">
        <f aca="false">IF(AND(L982&lt;L_rampe,Poussee&lt;Poids*SIN(M982)), g*SIN(M982), (-W982+Poussee)/m)</f>
        <v>-7.35626235892556</v>
      </c>
    </row>
    <row r="984" customFormat="false" ht="12.75" hidden="false" customHeight="false" outlineLevel="0" collapsed="false">
      <c r="A984" s="396" t="n">
        <f aca="false">IF(B983+0.01&lt;=T_ini+ROUNDUP(Temps_fin_propu,0), 0.01, IF(K983&gt;0, 0.1, 0.0001))</f>
        <v>0.0001</v>
      </c>
      <c r="B984" s="397" t="n">
        <f aca="false">B983+pas</f>
        <v>32.1479000000018</v>
      </c>
      <c r="D984" s="396" t="n">
        <f aca="false">IF(AND(L983&lt;L_rampe,Poussee&lt;Poids*SIN(M983)),0,(-W983+Poussee)/m*COS(M983)-U983/m*SIN(M983))</f>
        <v>-0.726642901016126</v>
      </c>
      <c r="E984" s="398" t="n">
        <f aca="false">IF(AND(L983&lt;L_rampe,Poussee&lt;Poids*SIN(M983)),0,(-W983+Poussee)/m*SIN(M983)+U983/m*COS(M983)-Poids/m)</f>
        <v>-2.48967488956521</v>
      </c>
      <c r="F984" s="397" t="n">
        <f aca="false">SQRT(acc_x^2+acc_z^2)</f>
        <v>2.59354794853087</v>
      </c>
      <c r="G984" s="396" t="n">
        <f aca="false">G983+acc_x*pas</f>
        <v>11.4624754436478</v>
      </c>
      <c r="H984" s="398" t="n">
        <f aca="false">H983+acc_z*pas</f>
        <v>-115.475922956413</v>
      </c>
      <c r="I984" s="397" t="n">
        <f aca="false">SQRT(vit_x^2+vit_z^2)</f>
        <v>116.043427758455</v>
      </c>
      <c r="J984" s="396" t="n">
        <f aca="false">J983+0.5*(vit_x+G983)*pas*(K983&gt;=0)</f>
        <v>690.928492655337</v>
      </c>
      <c r="K984" s="398" t="n">
        <f aca="false">K983+0.5*(vit_z+H983)*pas</f>
        <v>-14.1330381551305</v>
      </c>
      <c r="L984" s="397" t="n">
        <f aca="false">SQRT(pos_x^2+pos_z^2)</f>
        <v>691.073024166383</v>
      </c>
      <c r="M984" s="396" t="n">
        <f aca="false">IF(AND(L983&gt;L_rampe,G984&gt;0),ATAN2(G984,H984),$M$4)</f>
        <v>-1.47185752555341</v>
      </c>
      <c r="N984" s="397" t="n">
        <f aca="false">DEGREES(Beta)</f>
        <v>-84.3312242587792</v>
      </c>
      <c r="P984" s="399" t="n">
        <f aca="false">MATCH(t-pas/2-T_ini,CdP_t)</f>
        <v>23</v>
      </c>
      <c r="Q984" s="397" t="n">
        <f aca="false">(INDEX(CdP,2,i_P+1)-INDEX(CdP,2,i_P+0))/(INDEX(CdP,1,i_P+1)-INDEX(CdP,1,i_P+0))*(t-pas/2-T_ini-INDEX(CdP,1,i_P+0))+INDEX(CdP,2,i_P+0)</f>
        <v>0</v>
      </c>
      <c r="R984" s="396" t="n">
        <f aca="false">Poussee/(g*ISP)</f>
        <v>0</v>
      </c>
      <c r="S984" s="398" t="n">
        <f aca="false">S983-Débit*pas</f>
        <v>8.45</v>
      </c>
      <c r="T984" s="397" t="n">
        <f aca="false">m*g</f>
        <v>82.8945</v>
      </c>
      <c r="U984" s="400" t="n">
        <f aca="false">IF(pos_xz&lt;L_rampe,Poids*COS(Beta),0)</f>
        <v>0</v>
      </c>
      <c r="V984" s="396" t="n">
        <f aca="false">Rho_moyen*(20000-Alt_rampe-pos_z)/(20000+Alt_rampe+pos_z)</f>
        <v>1.2267325214636</v>
      </c>
      <c r="W984" s="397" t="n">
        <f aca="false">1/2*Rho*Sref*Cx*vit_xz^2</f>
        <v>62.1610759667089</v>
      </c>
      <c r="Y984" s="408" t="str">
        <f aca="false">IF(AND(pos_z&lt;=0,K983&gt;0),"Impact balistique","") &amp; IF(AND(H985&lt;0,vit_z&gt;=0),"Apogée","") &amp; IF(AND(Poussee=0,Q983&gt;0),"Fin de propulsion","") &amp; IF(AND(L985&gt;L_rampe,pos_xz&lt;=L_rampe),"Sortie de rampe","")</f>
        <v/>
      </c>
      <c r="Z984" s="402" t="str">
        <f aca="false">IF(ABS(t-T_para)&lt;pas/2,"Para","")</f>
        <v/>
      </c>
      <c r="AA984" s="403" t="str">
        <f aca="false">IF(ABS(t-T_satellite)&lt;pas/2,"Satellite","")</f>
        <v/>
      </c>
      <c r="AC984" s="399" t="e">
        <f aca="false">IF(ABS(t-ROUND(t,0))&lt;0.001,t,NA())</f>
        <v>#N/A</v>
      </c>
      <c r="AD984" s="404" t="e">
        <f aca="false">IF(ABS(t-ROUND(t,0))&lt;0.001,pos_x,NA())</f>
        <v>#N/A</v>
      </c>
      <c r="AE984" s="405" t="e">
        <f aca="false">IF(t&lt;T_para, pos_z, NA())</f>
        <v>#N/A</v>
      </c>
      <c r="AG984" s="396" t="n">
        <f aca="false">IF(AND(L983&lt;L_rampe,Poussee&lt;Poids*SIN(M983)),0,(-W983+Poussee)/m-Poids*SIN(M983)/m)</f>
        <v>2.40572250250069</v>
      </c>
      <c r="AH984" s="397" t="n">
        <f aca="false">IF(AND(L983&lt;L_rampe,Poussee&lt;Poids*SIN(M983)), g*SIN(M983), (-W983+Poussee)/m)</f>
        <v>-7.35630135516886</v>
      </c>
    </row>
    <row r="985" customFormat="false" ht="12.75" hidden="false" customHeight="false" outlineLevel="0" collapsed="false">
      <c r="A985" s="396" t="n">
        <f aca="false">IF(B984+0.01&lt;=T_ini+ROUNDUP(Temps_fin_propu,0), 0.01, IF(K984&gt;0, 0.1, 0.0001))</f>
        <v>0.0001</v>
      </c>
      <c r="B985" s="397" t="n">
        <f aca="false">B984+pas</f>
        <v>32.1480000000018</v>
      </c>
      <c r="D985" s="396" t="n">
        <f aca="false">IF(AND(L984&lt;L_rampe,Poussee&lt;Poids*SIN(M984)),0,(-W984+Poussee)/m*COS(M984)-U984/m*SIN(M984))</f>
        <v>-0.726640640131717</v>
      </c>
      <c r="E985" s="398" t="n">
        <f aca="false">IF(AND(L984&lt;L_rampe,Poussee&lt;Poids*SIN(M984)),0,(-W984+Poussee)/m*SIN(M984)+U984/m*COS(M984)-Poids/m)</f>
        <v>-2.48963547757483</v>
      </c>
      <c r="F985" s="397" t="n">
        <f aca="false">SQRT(acc_x^2+acc_z^2)</f>
        <v>2.59350948158866</v>
      </c>
      <c r="G985" s="396" t="n">
        <f aca="false">G984+acc_x*pas</f>
        <v>11.4624027795837</v>
      </c>
      <c r="H985" s="398" t="n">
        <f aca="false">H984+acc_z*pas</f>
        <v>-115.476171919961</v>
      </c>
      <c r="I985" s="397" t="n">
        <f aca="false">SQRT(vit_x^2+vit_z^2)</f>
        <v>116.043668326927</v>
      </c>
      <c r="J985" s="396" t="n">
        <f aca="false">J984+0.5*(vit_x+G984)*pas*(K984&gt;=0)</f>
        <v>690.928492655337</v>
      </c>
      <c r="K985" s="398" t="n">
        <f aca="false">K984+0.5*(vit_z+H984)*pas</f>
        <v>-14.1445857598743</v>
      </c>
      <c r="L985" s="397" t="n">
        <f aca="false">SQRT(pos_x^2+pos_z^2)</f>
        <v>691.073260421277</v>
      </c>
      <c r="M985" s="396" t="n">
        <f aca="false">IF(AND(L984&gt;L_rampe,G985&gt;0),ATAN2(G985,H985),$M$4)</f>
        <v>-1.47185836058985</v>
      </c>
      <c r="N985" s="397" t="n">
        <f aca="false">DEGREES(Beta)</f>
        <v>-84.331272102843</v>
      </c>
      <c r="P985" s="399" t="n">
        <f aca="false">MATCH(t-pas/2-T_ini,CdP_t)</f>
        <v>23</v>
      </c>
      <c r="Q985" s="397" t="n">
        <f aca="false">(INDEX(CdP,2,i_P+1)-INDEX(CdP,2,i_P+0))/(INDEX(CdP,1,i_P+1)-INDEX(CdP,1,i_P+0))*(t-pas/2-T_ini-INDEX(CdP,1,i_P+0))+INDEX(CdP,2,i_P+0)</f>
        <v>0</v>
      </c>
      <c r="R985" s="396" t="n">
        <f aca="false">Poussee/(g*ISP)</f>
        <v>0</v>
      </c>
      <c r="S985" s="398" t="n">
        <f aca="false">S984-Débit*pas</f>
        <v>8.45</v>
      </c>
      <c r="T985" s="397" t="n">
        <f aca="false">m*g</f>
        <v>82.8945</v>
      </c>
      <c r="U985" s="400" t="n">
        <f aca="false">IF(pos_xz&lt;L_rampe,Poids*COS(Beta),0)</f>
        <v>0</v>
      </c>
      <c r="V985" s="396" t="n">
        <f aca="false">Rho_moyen*(20000-Alt_rampe-pos_z)/(20000+Alt_rampe+pos_z)</f>
        <v>1.22673393804736</v>
      </c>
      <c r="W985" s="397" t="n">
        <f aca="false">1/2*Rho*Sref*Cx*vit_xz^2</f>
        <v>62.161405479517</v>
      </c>
      <c r="Y985" s="408" t="str">
        <f aca="false">IF(AND(pos_z&lt;=0,K984&gt;0),"Impact balistique","") &amp; IF(AND(H986&lt;0,vit_z&gt;=0),"Apogée","") &amp; IF(AND(Poussee=0,Q984&gt;0),"Fin de propulsion","") &amp; IF(AND(L986&gt;L_rampe,pos_xz&lt;=L_rampe),"Sortie de rampe","")</f>
        <v/>
      </c>
      <c r="Z985" s="402" t="str">
        <f aca="false">IF(ABS(t-T_para)&lt;pas/2,"Para","")</f>
        <v/>
      </c>
      <c r="AA985" s="403" t="str">
        <f aca="false">IF(ABS(t-T_satellite)&lt;pas/2,"Satellite","")</f>
        <v/>
      </c>
      <c r="AC985" s="399" t="e">
        <f aca="false">IF(ABS(t-ROUND(t,0))&lt;0.001,t,NA())</f>
        <v>#N/A</v>
      </c>
      <c r="AD985" s="404" t="e">
        <f aca="false">IF(ABS(t-ROUND(t,0))&lt;0.001,pos_x,NA())</f>
        <v>#N/A</v>
      </c>
      <c r="AE985" s="405" t="e">
        <f aca="false">IF(t&lt;T_para, pos_z, NA())</f>
        <v>#N/A</v>
      </c>
      <c r="AG985" s="396" t="n">
        <f aca="false">IF(AND(L984&lt;L_rampe,Poussee&lt;Poids*SIN(M984)),0,(-W984+Poussee)/m-Poids*SIN(M984)/m)</f>
        <v>2.40568431574772</v>
      </c>
      <c r="AH985" s="397" t="n">
        <f aca="false">IF(AND(L984&lt;L_rampe,Poussee&lt;Poids*SIN(M984)), g*SIN(M984), (-W984+Poussee)/m)</f>
        <v>-7.35634035108981</v>
      </c>
    </row>
    <row r="986" customFormat="false" ht="12.75" hidden="false" customHeight="false" outlineLevel="0" collapsed="false">
      <c r="A986" s="396" t="n">
        <f aca="false">IF(B985+0.01&lt;=T_ini+ROUNDUP(Temps_fin_propu,0), 0.01, IF(K985&gt;0, 0.1, 0.0001))</f>
        <v>0.0001</v>
      </c>
      <c r="B986" s="397" t="n">
        <f aca="false">B985+pas</f>
        <v>32.1481000000018</v>
      </c>
      <c r="D986" s="396" t="n">
        <f aca="false">IF(AND(L985&lt;L_rampe,Poussee&lt;Poids*SIN(M985)),0,(-W985+Poussee)/m*COS(M985)-U985/m*SIN(M985))</f>
        <v>-0.726638379214248</v>
      </c>
      <c r="E986" s="398" t="n">
        <f aca="false">IF(AND(L985&lt;L_rampe,Poussee&lt;Poids*SIN(M985)),0,(-W985+Poussee)/m*SIN(M985)+U985/m*COS(M985)-Poids/m)</f>
        <v>-2.48959606591025</v>
      </c>
      <c r="F986" s="397" t="n">
        <f aca="false">SQRT(acc_x^2+acc_z^2)</f>
        <v>2.59347101498029</v>
      </c>
      <c r="G986" s="396" t="n">
        <f aca="false">G985+acc_x*pas</f>
        <v>11.4623301157458</v>
      </c>
      <c r="H986" s="398" t="n">
        <f aca="false">H985+acc_z*pas</f>
        <v>-115.476420879567</v>
      </c>
      <c r="I986" s="397" t="n">
        <f aca="false">SQRT(vit_x^2+vit_z^2)</f>
        <v>116.04390889158</v>
      </c>
      <c r="J986" s="396" t="n">
        <f aca="false">J985+0.5*(vit_x+G985)*pas*(K985&gt;=0)</f>
        <v>690.928492655337</v>
      </c>
      <c r="K986" s="398" t="n">
        <f aca="false">K985+0.5*(vit_z+H985)*pas</f>
        <v>-14.1561333895143</v>
      </c>
      <c r="L986" s="397" t="n">
        <f aca="false">SQRT(pos_x^2+pos_z^2)</f>
        <v>691.073496869557</v>
      </c>
      <c r="M986" s="396" t="n">
        <f aca="false">IF(AND(L985&gt;L_rampe,G986&gt;0),ATAN2(G986,H986),$M$4)</f>
        <v>-1.47185919561754</v>
      </c>
      <c r="N986" s="397" t="n">
        <f aca="false">DEGREES(Beta)</f>
        <v>-84.331319946405</v>
      </c>
      <c r="P986" s="399" t="n">
        <f aca="false">MATCH(t-pas/2-T_ini,CdP_t)</f>
        <v>23</v>
      </c>
      <c r="Q986" s="397" t="n">
        <f aca="false">(INDEX(CdP,2,i_P+1)-INDEX(CdP,2,i_P+0))/(INDEX(CdP,1,i_P+1)-INDEX(CdP,1,i_P+0))*(t-pas/2-T_ini-INDEX(CdP,1,i_P+0))+INDEX(CdP,2,i_P+0)</f>
        <v>0</v>
      </c>
      <c r="R986" s="396" t="n">
        <f aca="false">Poussee/(g*ISP)</f>
        <v>0</v>
      </c>
      <c r="S986" s="398" t="n">
        <f aca="false">S985-Débit*pas</f>
        <v>8.45</v>
      </c>
      <c r="T986" s="397" t="n">
        <f aca="false">m*g</f>
        <v>82.8945</v>
      </c>
      <c r="U986" s="400" t="n">
        <f aca="false">IF(pos_xz&lt;L_rampe,Poids*COS(Beta),0)</f>
        <v>0</v>
      </c>
      <c r="V986" s="396" t="n">
        <f aca="false">Rho_moyen*(20000-Alt_rampe-pos_z)/(20000+Alt_rampe+pos_z)</f>
        <v>1.2267353546358</v>
      </c>
      <c r="W986" s="397" t="n">
        <f aca="false">1/2*Rho*Sref*Cx*vit_xz^2</f>
        <v>62.1617349896014</v>
      </c>
      <c r="Y986" s="408" t="str">
        <f aca="false">IF(AND(pos_z&lt;=0,K985&gt;0),"Impact balistique","") &amp; IF(AND(H987&lt;0,vit_z&gt;=0),"Apogée","") &amp; IF(AND(Poussee=0,Q985&gt;0),"Fin de propulsion","") &amp; IF(AND(L987&gt;L_rampe,pos_xz&lt;=L_rampe),"Sortie de rampe","")</f>
        <v/>
      </c>
      <c r="Z986" s="402" t="str">
        <f aca="false">IF(ABS(t-T_para)&lt;pas/2,"Para","")</f>
        <v/>
      </c>
      <c r="AA986" s="403" t="str">
        <f aca="false">IF(ABS(t-T_satellite)&lt;pas/2,"Satellite","")</f>
        <v/>
      </c>
      <c r="AC986" s="399" t="e">
        <f aca="false">IF(ABS(t-ROUND(t,0))&lt;0.001,t,NA())</f>
        <v>#N/A</v>
      </c>
      <c r="AD986" s="404" t="e">
        <f aca="false">IF(ABS(t-ROUND(t,0))&lt;0.001,pos_x,NA())</f>
        <v>#N/A</v>
      </c>
      <c r="AE986" s="405" t="e">
        <f aca="false">IF(t&lt;T_para, pos_z, NA())</f>
        <v>#N/A</v>
      </c>
      <c r="AG986" s="396" t="n">
        <f aca="false">IF(AND(L985&lt;L_rampe,Poussee&lt;Poids*SIN(M985)),0,(-W985+Poussee)/m-Poids*SIN(M985)/m)</f>
        <v>2.4056461293018</v>
      </c>
      <c r="AH986" s="397" t="n">
        <f aca="false">IF(AND(L985&lt;L_rampe,Poussee&lt;Poids*SIN(M985)), g*SIN(M985), (-W985+Poussee)/m)</f>
        <v>-7.35637934668841</v>
      </c>
    </row>
    <row r="987" customFormat="false" ht="12.75" hidden="false" customHeight="false" outlineLevel="0" collapsed="false">
      <c r="A987" s="396" t="n">
        <f aca="false">IF(B986+0.01&lt;=T_ini+ROUNDUP(Temps_fin_propu,0), 0.01, IF(K986&gt;0, 0.1, 0.0001))</f>
        <v>0.0001</v>
      </c>
      <c r="B987" s="397" t="n">
        <f aca="false">B986+pas</f>
        <v>32.1482000000018</v>
      </c>
      <c r="D987" s="396" t="n">
        <f aca="false">IF(AND(L986&lt;L_rampe,Poussee&lt;Poids*SIN(M986)),0,(-W986+Poussee)/m*COS(M986)-U986/m*SIN(M986))</f>
        <v>-0.726636118263721</v>
      </c>
      <c r="E987" s="398" t="n">
        <f aca="false">IF(AND(L986&lt;L_rampe,Poussee&lt;Poids*SIN(M986)),0,(-W986+Poussee)/m*SIN(M986)+U986/m*COS(M986)-Poids/m)</f>
        <v>-2.48955665457148</v>
      </c>
      <c r="F987" s="397" t="n">
        <f aca="false">SQRT(acc_x^2+acc_z^2)</f>
        <v>2.59343254870577</v>
      </c>
      <c r="G987" s="396" t="n">
        <f aca="false">G986+acc_x*pas</f>
        <v>11.462257452134</v>
      </c>
      <c r="H987" s="398" t="n">
        <f aca="false">H986+acc_z*pas</f>
        <v>-115.476669835233</v>
      </c>
      <c r="I987" s="397" t="n">
        <f aca="false">SQRT(vit_x^2+vit_z^2)</f>
        <v>116.044149452415</v>
      </c>
      <c r="J987" s="396" t="n">
        <f aca="false">J986+0.5*(vit_x+G986)*pas*(K986&gt;=0)</f>
        <v>690.928492655337</v>
      </c>
      <c r="K987" s="398" t="n">
        <f aca="false">K986+0.5*(vit_z+H986)*pas</f>
        <v>-14.16768104405</v>
      </c>
      <c r="L987" s="397" t="n">
        <f aca="false">SQRT(pos_x^2+pos_z^2)</f>
        <v>691.073733511224</v>
      </c>
      <c r="M987" s="396" t="n">
        <f aca="false">IF(AND(L986&gt;L_rampe,G987&gt;0),ATAN2(G987,H987),$M$4)</f>
        <v>-1.47186003063646</v>
      </c>
      <c r="N987" s="397" t="n">
        <f aca="false">DEGREES(Beta)</f>
        <v>-84.3313677894655</v>
      </c>
      <c r="P987" s="399" t="n">
        <f aca="false">MATCH(t-pas/2-T_ini,CdP_t)</f>
        <v>23</v>
      </c>
      <c r="Q987" s="397" t="n">
        <f aca="false">(INDEX(CdP,2,i_P+1)-INDEX(CdP,2,i_P+0))/(INDEX(CdP,1,i_P+1)-INDEX(CdP,1,i_P+0))*(t-pas/2-T_ini-INDEX(CdP,1,i_P+0))+INDEX(CdP,2,i_P+0)</f>
        <v>0</v>
      </c>
      <c r="R987" s="396" t="n">
        <f aca="false">Poussee/(g*ISP)</f>
        <v>0</v>
      </c>
      <c r="S987" s="398" t="n">
        <f aca="false">S986-Débit*pas</f>
        <v>8.45</v>
      </c>
      <c r="T987" s="397" t="n">
        <f aca="false">m*g</f>
        <v>82.8945</v>
      </c>
      <c r="U987" s="400" t="n">
        <f aca="false">IF(pos_xz&lt;L_rampe,Poids*COS(Beta),0)</f>
        <v>0</v>
      </c>
      <c r="V987" s="396" t="n">
        <f aca="false">Rho_moyen*(20000-Alt_rampe-pos_z)/(20000+Alt_rampe+pos_z)</f>
        <v>1.22673677122894</v>
      </c>
      <c r="W987" s="397" t="n">
        <f aca="false">1/2*Rho*Sref*Cx*vit_xz^2</f>
        <v>62.1620644969618</v>
      </c>
      <c r="Y987" s="408" t="str">
        <f aca="false">IF(AND(pos_z&lt;=0,K986&gt;0),"Impact balistique","") &amp; IF(AND(H988&lt;0,vit_z&gt;=0),"Apogée","") &amp; IF(AND(Poussee=0,Q986&gt;0),"Fin de propulsion","") &amp; IF(AND(L988&gt;L_rampe,pos_xz&lt;=L_rampe),"Sortie de rampe","")</f>
        <v/>
      </c>
      <c r="Z987" s="402" t="str">
        <f aca="false">IF(ABS(t-T_para)&lt;pas/2,"Para","")</f>
        <v/>
      </c>
      <c r="AA987" s="403" t="str">
        <f aca="false">IF(ABS(t-T_satellite)&lt;pas/2,"Satellite","")</f>
        <v/>
      </c>
      <c r="AC987" s="399" t="e">
        <f aca="false">IF(ABS(t-ROUND(t,0))&lt;0.001,t,NA())</f>
        <v>#N/A</v>
      </c>
      <c r="AD987" s="404" t="e">
        <f aca="false">IF(ABS(t-ROUND(t,0))&lt;0.001,pos_x,NA())</f>
        <v>#N/A</v>
      </c>
      <c r="AE987" s="405" t="e">
        <f aca="false">IF(t&lt;T_para, pos_z, NA())</f>
        <v>#N/A</v>
      </c>
      <c r="AG987" s="396" t="n">
        <f aca="false">IF(AND(L986&lt;L_rampe,Poussee&lt;Poids*SIN(M986)),0,(-W986+Poussee)/m-Poids*SIN(M986)/m)</f>
        <v>2.40560794316294</v>
      </c>
      <c r="AH987" s="397" t="n">
        <f aca="false">IF(AND(L986&lt;L_rampe,Poussee&lt;Poids*SIN(M986)), g*SIN(M986), (-W986+Poussee)/m)</f>
        <v>-7.35641834196466</v>
      </c>
    </row>
    <row r="988" customFormat="false" ht="12.75" hidden="false" customHeight="false" outlineLevel="0" collapsed="false">
      <c r="A988" s="396" t="n">
        <f aca="false">IF(B987+0.01&lt;=T_ini+ROUNDUP(Temps_fin_propu,0), 0.01, IF(K987&gt;0, 0.1, 0.0001))</f>
        <v>0.0001</v>
      </c>
      <c r="B988" s="397" t="n">
        <f aca="false">B987+pas</f>
        <v>32.1483000000018</v>
      </c>
      <c r="D988" s="396" t="n">
        <f aca="false">IF(AND(L987&lt;L_rampe,Poussee&lt;Poids*SIN(M987)),0,(-W987+Poussee)/m*COS(M987)-U987/m*SIN(M987))</f>
        <v>-0.726633857280135</v>
      </c>
      <c r="E988" s="398" t="n">
        <f aca="false">IF(AND(L987&lt;L_rampe,Poussee&lt;Poids*SIN(M987)),0,(-W987+Poussee)/m*SIN(M987)+U987/m*COS(M987)-Poids/m)</f>
        <v>-2.48951724355852</v>
      </c>
      <c r="F988" s="397" t="n">
        <f aca="false">SQRT(acc_x^2+acc_z^2)</f>
        <v>2.5933940827651</v>
      </c>
      <c r="G988" s="396" t="n">
        <f aca="false">G987+acc_x*pas</f>
        <v>11.4621847887483</v>
      </c>
      <c r="H988" s="398" t="n">
        <f aca="false">H987+acc_z*pas</f>
        <v>-115.476918786957</v>
      </c>
      <c r="I988" s="397" t="n">
        <f aca="false">SQRT(vit_x^2+vit_z^2)</f>
        <v>116.044390009431</v>
      </c>
      <c r="J988" s="396" t="n">
        <f aca="false">J987+0.5*(vit_x+G987)*pas*(K987&gt;=0)</f>
        <v>690.928492655337</v>
      </c>
      <c r="K988" s="398" t="n">
        <f aca="false">K987+0.5*(vit_z+H987)*pas</f>
        <v>-14.1792287234811</v>
      </c>
      <c r="L988" s="397" t="n">
        <f aca="false">SQRT(pos_x^2+pos_z^2)</f>
        <v>691.073970346278</v>
      </c>
      <c r="M988" s="396" t="n">
        <f aca="false">IF(AND(L987&gt;L_rampe,G988&gt;0),ATAN2(G988,H988),$M$4)</f>
        <v>-1.47186086564664</v>
      </c>
      <c r="N988" s="397" t="n">
        <f aca="false">DEGREES(Beta)</f>
        <v>-84.3314156320242</v>
      </c>
      <c r="P988" s="399" t="n">
        <f aca="false">MATCH(t-pas/2-T_ini,CdP_t)</f>
        <v>23</v>
      </c>
      <c r="Q988" s="397" t="n">
        <f aca="false">(INDEX(CdP,2,i_P+1)-INDEX(CdP,2,i_P+0))/(INDEX(CdP,1,i_P+1)-INDEX(CdP,1,i_P+0))*(t-pas/2-T_ini-INDEX(CdP,1,i_P+0))+INDEX(CdP,2,i_P+0)</f>
        <v>0</v>
      </c>
      <c r="R988" s="396" t="n">
        <f aca="false">Poussee/(g*ISP)</f>
        <v>0</v>
      </c>
      <c r="S988" s="398" t="n">
        <f aca="false">S987-Débit*pas</f>
        <v>8.45</v>
      </c>
      <c r="T988" s="397" t="n">
        <f aca="false">m*g</f>
        <v>82.8945</v>
      </c>
      <c r="U988" s="400" t="n">
        <f aca="false">IF(pos_xz&lt;L_rampe,Poids*COS(Beta),0)</f>
        <v>0</v>
      </c>
      <c r="V988" s="396" t="n">
        <f aca="false">Rho_moyen*(20000-Alt_rampe-pos_z)/(20000+Alt_rampe+pos_z)</f>
        <v>1.22673818782676</v>
      </c>
      <c r="W988" s="397" t="n">
        <f aca="false">1/2*Rho*Sref*Cx*vit_xz^2</f>
        <v>62.1623940015984</v>
      </c>
      <c r="Y988" s="408" t="str">
        <f aca="false">IF(AND(pos_z&lt;=0,K987&gt;0),"Impact balistique","") &amp; IF(AND(H989&lt;0,vit_z&gt;=0),"Apogée","") &amp; IF(AND(Poussee=0,Q987&gt;0),"Fin de propulsion","") &amp; IF(AND(L989&gt;L_rampe,pos_xz&lt;=L_rampe),"Sortie de rampe","")</f>
        <v/>
      </c>
      <c r="Z988" s="402" t="str">
        <f aca="false">IF(ABS(t-T_para)&lt;pas/2,"Para","")</f>
        <v/>
      </c>
      <c r="AA988" s="403" t="str">
        <f aca="false">IF(ABS(t-T_satellite)&lt;pas/2,"Satellite","")</f>
        <v/>
      </c>
      <c r="AC988" s="399" t="e">
        <f aca="false">IF(ABS(t-ROUND(t,0))&lt;0.001,t,NA())</f>
        <v>#N/A</v>
      </c>
      <c r="AD988" s="404" t="e">
        <f aca="false">IF(ABS(t-ROUND(t,0))&lt;0.001,pos_x,NA())</f>
        <v>#N/A</v>
      </c>
      <c r="AE988" s="405" t="e">
        <f aca="false">IF(t&lt;T_para, pos_z, NA())</f>
        <v>#N/A</v>
      </c>
      <c r="AG988" s="396" t="n">
        <f aca="false">IF(AND(L987&lt;L_rampe,Poussee&lt;Poids*SIN(M987)),0,(-W987+Poussee)/m-Poids*SIN(M987)/m)</f>
        <v>2.40556975733114</v>
      </c>
      <c r="AH988" s="397" t="n">
        <f aca="false">IF(AND(L987&lt;L_rampe,Poussee&lt;Poids*SIN(M987)), g*SIN(M987), (-W987+Poussee)/m)</f>
        <v>-7.35645733691856</v>
      </c>
    </row>
    <row r="989" customFormat="false" ht="12.75" hidden="false" customHeight="false" outlineLevel="0" collapsed="false">
      <c r="A989" s="396" t="n">
        <f aca="false">IF(B988+0.01&lt;=T_ini+ROUNDUP(Temps_fin_propu,0), 0.01, IF(K988&gt;0, 0.1, 0.0001))</f>
        <v>0.0001</v>
      </c>
      <c r="B989" s="397" t="n">
        <f aca="false">B988+pas</f>
        <v>32.1484000000018</v>
      </c>
      <c r="D989" s="396" t="n">
        <f aca="false">IF(AND(L988&lt;L_rampe,Poussee&lt;Poids*SIN(M988)),0,(-W988+Poussee)/m*COS(M988)-U988/m*SIN(M988))</f>
        <v>-0.726631596263492</v>
      </c>
      <c r="E989" s="398" t="n">
        <f aca="false">IF(AND(L988&lt;L_rampe,Poussee&lt;Poids*SIN(M988)),0,(-W988+Poussee)/m*SIN(M988)+U988/m*COS(M988)-Poids/m)</f>
        <v>-2.48947783287137</v>
      </c>
      <c r="F989" s="397" t="n">
        <f aca="false">SQRT(acc_x^2+acc_z^2)</f>
        <v>2.59335561715827</v>
      </c>
      <c r="G989" s="396" t="n">
        <f aca="false">G988+acc_x*pas</f>
        <v>11.4621121255886</v>
      </c>
      <c r="H989" s="398" t="n">
        <f aca="false">H988+acc_z*pas</f>
        <v>-115.47716773474</v>
      </c>
      <c r="I989" s="397" t="n">
        <f aca="false">SQRT(vit_x^2+vit_z^2)</f>
        <v>116.044630562629</v>
      </c>
      <c r="J989" s="396" t="n">
        <f aca="false">J988+0.5*(vit_x+G988)*pas*(K988&gt;=0)</f>
        <v>690.928492655337</v>
      </c>
      <c r="K989" s="398" t="n">
        <f aca="false">K988+0.5*(vit_z+H988)*pas</f>
        <v>-14.1907764278072</v>
      </c>
      <c r="L989" s="397" t="n">
        <f aca="false">SQRT(pos_x^2+pos_z^2)</f>
        <v>691.074207374722</v>
      </c>
      <c r="M989" s="396" t="n">
        <f aca="false">IF(AND(L988&gt;L_rampe,G989&gt;0),ATAN2(G989,H989),$M$4)</f>
        <v>-1.47186170064805</v>
      </c>
      <c r="N989" s="397" t="n">
        <f aca="false">DEGREES(Beta)</f>
        <v>-84.3314634740813</v>
      </c>
      <c r="P989" s="399" t="n">
        <f aca="false">MATCH(t-pas/2-T_ini,CdP_t)</f>
        <v>23</v>
      </c>
      <c r="Q989" s="397" t="n">
        <f aca="false">(INDEX(CdP,2,i_P+1)-INDEX(CdP,2,i_P+0))/(INDEX(CdP,1,i_P+1)-INDEX(CdP,1,i_P+0))*(t-pas/2-T_ini-INDEX(CdP,1,i_P+0))+INDEX(CdP,2,i_P+0)</f>
        <v>0</v>
      </c>
      <c r="R989" s="396" t="n">
        <f aca="false">Poussee/(g*ISP)</f>
        <v>0</v>
      </c>
      <c r="S989" s="398" t="n">
        <f aca="false">S988-Débit*pas</f>
        <v>8.45</v>
      </c>
      <c r="T989" s="397" t="n">
        <f aca="false">m*g</f>
        <v>82.8945</v>
      </c>
      <c r="U989" s="400" t="n">
        <f aca="false">IF(pos_xz&lt;L_rampe,Poids*COS(Beta),0)</f>
        <v>0</v>
      </c>
      <c r="V989" s="396" t="n">
        <f aca="false">Rho_moyen*(20000-Alt_rampe-pos_z)/(20000+Alt_rampe+pos_z)</f>
        <v>1.22673960442928</v>
      </c>
      <c r="W989" s="397" t="n">
        <f aca="false">1/2*Rho*Sref*Cx*vit_xz^2</f>
        <v>62.1627235035111</v>
      </c>
      <c r="Y989" s="408" t="str">
        <f aca="false">IF(AND(pos_z&lt;=0,K988&gt;0),"Impact balistique","") &amp; IF(AND(H990&lt;0,vit_z&gt;=0),"Apogée","") &amp; IF(AND(Poussee=0,Q988&gt;0),"Fin de propulsion","") &amp; IF(AND(L990&gt;L_rampe,pos_xz&lt;=L_rampe),"Sortie de rampe","")</f>
        <v/>
      </c>
      <c r="Z989" s="402" t="str">
        <f aca="false">IF(ABS(t-T_para)&lt;pas/2,"Para","")</f>
        <v/>
      </c>
      <c r="AA989" s="403" t="str">
        <f aca="false">IF(ABS(t-T_satellite)&lt;pas/2,"Satellite","")</f>
        <v/>
      </c>
      <c r="AC989" s="399" t="e">
        <f aca="false">IF(ABS(t-ROUND(t,0))&lt;0.001,t,NA())</f>
        <v>#N/A</v>
      </c>
      <c r="AD989" s="404" t="e">
        <f aca="false">IF(ABS(t-ROUND(t,0))&lt;0.001,pos_x,NA())</f>
        <v>#N/A</v>
      </c>
      <c r="AE989" s="405" t="e">
        <f aca="false">IF(t&lt;T_para, pos_z, NA())</f>
        <v>#N/A</v>
      </c>
      <c r="AG989" s="396" t="n">
        <f aca="false">IF(AND(L988&lt;L_rampe,Poussee&lt;Poids*SIN(M988)),0,(-W988+Poussee)/m-Poids*SIN(M988)/m)</f>
        <v>2.4055315718064</v>
      </c>
      <c r="AH989" s="397" t="n">
        <f aca="false">IF(AND(L988&lt;L_rampe,Poussee&lt;Poids*SIN(M988)), g*SIN(M988), (-W988+Poussee)/m)</f>
        <v>-7.35649633155011</v>
      </c>
    </row>
    <row r="990" customFormat="false" ht="12.75" hidden="false" customHeight="false" outlineLevel="0" collapsed="false">
      <c r="A990" s="396" t="n">
        <f aca="false">IF(B989+0.01&lt;=T_ini+ROUNDUP(Temps_fin_propu,0), 0.01, IF(K989&gt;0, 0.1, 0.0001))</f>
        <v>0.0001</v>
      </c>
      <c r="B990" s="397" t="n">
        <f aca="false">B989+pas</f>
        <v>32.1485000000018</v>
      </c>
      <c r="D990" s="396" t="n">
        <f aca="false">IF(AND(L989&lt;L_rampe,Poussee&lt;Poids*SIN(M989)),0,(-W989+Poussee)/m*COS(M989)-U989/m*SIN(M989))</f>
        <v>-0.726629335213794</v>
      </c>
      <c r="E990" s="398" t="n">
        <f aca="false">IF(AND(L989&lt;L_rampe,Poussee&lt;Poids*SIN(M989)),0,(-W989+Poussee)/m*SIN(M989)+U989/m*COS(M989)-Poids/m)</f>
        <v>-2.48943842251002</v>
      </c>
      <c r="F990" s="397" t="n">
        <f aca="false">SQRT(acc_x^2+acc_z^2)</f>
        <v>2.59331715188529</v>
      </c>
      <c r="G990" s="396" t="n">
        <f aca="false">G989+acc_x*pas</f>
        <v>11.4620394626551</v>
      </c>
      <c r="H990" s="398" t="n">
        <f aca="false">H989+acc_z*pas</f>
        <v>-115.477416678583</v>
      </c>
      <c r="I990" s="397" t="n">
        <f aca="false">SQRT(vit_x^2+vit_z^2)</f>
        <v>116.044871112008</v>
      </c>
      <c r="J990" s="396" t="n">
        <f aca="false">J989+0.5*(vit_x+G989)*pas*(K989&gt;=0)</f>
        <v>690.928492655337</v>
      </c>
      <c r="K990" s="398" t="n">
        <f aca="false">K989+0.5*(vit_z+H989)*pas</f>
        <v>-14.2023241570279</v>
      </c>
      <c r="L990" s="397" t="n">
        <f aca="false">SQRT(pos_x^2+pos_z^2)</f>
        <v>691.074444596555</v>
      </c>
      <c r="M990" s="396" t="n">
        <f aca="false">IF(AND(L989&gt;L_rampe,G990&gt;0),ATAN2(G990,H990),$M$4)</f>
        <v>-1.47186253564072</v>
      </c>
      <c r="N990" s="397" t="n">
        <f aca="false">DEGREES(Beta)</f>
        <v>-84.3315113156368</v>
      </c>
      <c r="P990" s="399" t="n">
        <f aca="false">MATCH(t-pas/2-T_ini,CdP_t)</f>
        <v>23</v>
      </c>
      <c r="Q990" s="397" t="n">
        <f aca="false">(INDEX(CdP,2,i_P+1)-INDEX(CdP,2,i_P+0))/(INDEX(CdP,1,i_P+1)-INDEX(CdP,1,i_P+0))*(t-pas/2-T_ini-INDEX(CdP,1,i_P+0))+INDEX(CdP,2,i_P+0)</f>
        <v>0</v>
      </c>
      <c r="R990" s="396" t="n">
        <f aca="false">Poussee/(g*ISP)</f>
        <v>0</v>
      </c>
      <c r="S990" s="398" t="n">
        <f aca="false">S989-Débit*pas</f>
        <v>8.45</v>
      </c>
      <c r="T990" s="397" t="n">
        <f aca="false">m*g</f>
        <v>82.8945</v>
      </c>
      <c r="U990" s="400" t="n">
        <f aca="false">IF(pos_xz&lt;L_rampe,Poids*COS(Beta),0)</f>
        <v>0</v>
      </c>
      <c r="V990" s="396" t="n">
        <f aca="false">Rho_moyen*(20000-Alt_rampe-pos_z)/(20000+Alt_rampe+pos_z)</f>
        <v>1.22674102103649</v>
      </c>
      <c r="W990" s="397" t="n">
        <f aca="false">1/2*Rho*Sref*Cx*vit_xz^2</f>
        <v>62.1630530027</v>
      </c>
      <c r="Y990" s="408" t="str">
        <f aca="false">IF(AND(pos_z&lt;=0,K989&gt;0),"Impact balistique","") &amp; IF(AND(H991&lt;0,vit_z&gt;=0),"Apogée","") &amp; IF(AND(Poussee=0,Q989&gt;0),"Fin de propulsion","") &amp; IF(AND(L991&gt;L_rampe,pos_xz&lt;=L_rampe),"Sortie de rampe","")</f>
        <v/>
      </c>
      <c r="Z990" s="402" t="str">
        <f aca="false">IF(ABS(t-T_para)&lt;pas/2,"Para","")</f>
        <v/>
      </c>
      <c r="AA990" s="403" t="str">
        <f aca="false">IF(ABS(t-T_satellite)&lt;pas/2,"Satellite","")</f>
        <v/>
      </c>
      <c r="AC990" s="399" t="e">
        <f aca="false">IF(ABS(t-ROUND(t,0))&lt;0.001,t,NA())</f>
        <v>#N/A</v>
      </c>
      <c r="AD990" s="404" t="e">
        <f aca="false">IF(ABS(t-ROUND(t,0))&lt;0.001,pos_x,NA())</f>
        <v>#N/A</v>
      </c>
      <c r="AE990" s="405" t="e">
        <f aca="false">IF(t&lt;T_para, pos_z, NA())</f>
        <v>#N/A</v>
      </c>
      <c r="AG990" s="396" t="n">
        <f aca="false">IF(AND(L989&lt;L_rampe,Poussee&lt;Poids*SIN(M989)),0,(-W989+Poussee)/m-Poids*SIN(M989)/m)</f>
        <v>2.40549338658872</v>
      </c>
      <c r="AH990" s="397" t="n">
        <f aca="false">IF(AND(L989&lt;L_rampe,Poussee&lt;Poids*SIN(M989)), g*SIN(M989), (-W989+Poussee)/m)</f>
        <v>-7.3565353258593</v>
      </c>
    </row>
    <row r="991" customFormat="false" ht="12.75" hidden="false" customHeight="false" outlineLevel="0" collapsed="false">
      <c r="A991" s="396" t="n">
        <f aca="false">IF(B990+0.01&lt;=T_ini+ROUNDUP(Temps_fin_propu,0), 0.01, IF(K990&gt;0, 0.1, 0.0001))</f>
        <v>0.0001</v>
      </c>
      <c r="B991" s="397" t="n">
        <f aca="false">B990+pas</f>
        <v>32.1486000000018</v>
      </c>
      <c r="D991" s="396" t="n">
        <f aca="false">IF(AND(L990&lt;L_rampe,Poussee&lt;Poids*SIN(M990)),0,(-W990+Poussee)/m*COS(M990)-U990/m*SIN(M990))</f>
        <v>-0.726627074131041</v>
      </c>
      <c r="E991" s="398" t="n">
        <f aca="false">IF(AND(L990&lt;L_rampe,Poussee&lt;Poids*SIN(M990)),0,(-W990+Poussee)/m*SIN(M990)+U990/m*COS(M990)-Poids/m)</f>
        <v>-2.48939901247448</v>
      </c>
      <c r="F991" s="397" t="n">
        <f aca="false">SQRT(acc_x^2+acc_z^2)</f>
        <v>2.59327868694615</v>
      </c>
      <c r="G991" s="396" t="n">
        <f aca="false">G990+acc_x*pas</f>
        <v>11.4619667999477</v>
      </c>
      <c r="H991" s="398" t="n">
        <f aca="false">H990+acc_z*pas</f>
        <v>-115.477665618484</v>
      </c>
      <c r="I991" s="397" t="n">
        <f aca="false">SQRT(vit_x^2+vit_z^2)</f>
        <v>116.045111657568</v>
      </c>
      <c r="J991" s="396" t="n">
        <f aca="false">J990+0.5*(vit_x+G990)*pas*(K990&gt;=0)</f>
        <v>690.928492655337</v>
      </c>
      <c r="K991" s="398" t="n">
        <f aca="false">K990+0.5*(vit_z+H990)*pas</f>
        <v>-14.2138719111427</v>
      </c>
      <c r="L991" s="397" t="n">
        <f aca="false">SQRT(pos_x^2+pos_z^2)</f>
        <v>691.074682011779</v>
      </c>
      <c r="M991" s="396" t="n">
        <f aca="false">IF(AND(L990&gt;L_rampe,G991&gt;0),ATAN2(G991,H991),$M$4)</f>
        <v>-1.47186337062463</v>
      </c>
      <c r="N991" s="397" t="n">
        <f aca="false">DEGREES(Beta)</f>
        <v>-84.3315591566907</v>
      </c>
      <c r="P991" s="399" t="n">
        <f aca="false">MATCH(t-pas/2-T_ini,CdP_t)</f>
        <v>23</v>
      </c>
      <c r="Q991" s="397" t="n">
        <f aca="false">(INDEX(CdP,2,i_P+1)-INDEX(CdP,2,i_P+0))/(INDEX(CdP,1,i_P+1)-INDEX(CdP,1,i_P+0))*(t-pas/2-T_ini-INDEX(CdP,1,i_P+0))+INDEX(CdP,2,i_P+0)</f>
        <v>0</v>
      </c>
      <c r="R991" s="396" t="n">
        <f aca="false">Poussee/(g*ISP)</f>
        <v>0</v>
      </c>
      <c r="S991" s="398" t="n">
        <f aca="false">S990-Débit*pas</f>
        <v>8.45</v>
      </c>
      <c r="T991" s="397" t="n">
        <f aca="false">m*g</f>
        <v>82.8945</v>
      </c>
      <c r="U991" s="400" t="n">
        <f aca="false">IF(pos_xz&lt;L_rampe,Poids*COS(Beta),0)</f>
        <v>0</v>
      </c>
      <c r="V991" s="396" t="n">
        <f aca="false">Rho_moyen*(20000-Alt_rampe-pos_z)/(20000+Alt_rampe+pos_z)</f>
        <v>1.22674243764839</v>
      </c>
      <c r="W991" s="397" t="n">
        <f aca="false">1/2*Rho*Sref*Cx*vit_xz^2</f>
        <v>62.1633824991649</v>
      </c>
      <c r="Y991" s="408" t="str">
        <f aca="false">IF(AND(pos_z&lt;=0,K990&gt;0),"Impact balistique","") &amp; IF(AND(H992&lt;0,vit_z&gt;=0),"Apogée","") &amp; IF(AND(Poussee=0,Q990&gt;0),"Fin de propulsion","") &amp; IF(AND(L992&gt;L_rampe,pos_xz&lt;=L_rampe),"Sortie de rampe","")</f>
        <v/>
      </c>
      <c r="Z991" s="402" t="str">
        <f aca="false">IF(ABS(t-T_para)&lt;pas/2,"Para","")</f>
        <v/>
      </c>
      <c r="AA991" s="403" t="str">
        <f aca="false">IF(ABS(t-T_satellite)&lt;pas/2,"Satellite","")</f>
        <v/>
      </c>
      <c r="AC991" s="399" t="e">
        <f aca="false">IF(ABS(t-ROUND(t,0))&lt;0.001,t,NA())</f>
        <v>#N/A</v>
      </c>
      <c r="AD991" s="404" t="e">
        <f aca="false">IF(ABS(t-ROUND(t,0))&lt;0.001,pos_x,NA())</f>
        <v>#N/A</v>
      </c>
      <c r="AE991" s="405" t="e">
        <f aca="false">IF(t&lt;T_para, pos_z, NA())</f>
        <v>#N/A</v>
      </c>
      <c r="AG991" s="396" t="n">
        <f aca="false">IF(AND(L990&lt;L_rampe,Poussee&lt;Poids*SIN(M990)),0,(-W990+Poussee)/m-Poids*SIN(M990)/m)</f>
        <v>2.40545520167811</v>
      </c>
      <c r="AH991" s="397" t="n">
        <f aca="false">IF(AND(L990&lt;L_rampe,Poussee&lt;Poids*SIN(M990)), g*SIN(M990), (-W990+Poussee)/m)</f>
        <v>-7.35657431984615</v>
      </c>
    </row>
    <row r="992" customFormat="false" ht="12.75" hidden="false" customHeight="false" outlineLevel="0" collapsed="false">
      <c r="A992" s="396" t="n">
        <f aca="false">IF(B991+0.01&lt;=T_ini+ROUNDUP(Temps_fin_propu,0), 0.01, IF(K991&gt;0, 0.1, 0.0001))</f>
        <v>0.0001</v>
      </c>
      <c r="B992" s="397" t="n">
        <f aca="false">B991+pas</f>
        <v>32.1487000000018</v>
      </c>
      <c r="D992" s="396" t="n">
        <f aca="false">IF(AND(L991&lt;L_rampe,Poussee&lt;Poids*SIN(M991)),0,(-W991+Poussee)/m*COS(M991)-U991/m*SIN(M991))</f>
        <v>-0.726624813015232</v>
      </c>
      <c r="E992" s="398" t="n">
        <f aca="false">IF(AND(L991&lt;L_rampe,Poussee&lt;Poids*SIN(M991)),0,(-W991+Poussee)/m*SIN(M991)+U991/m*COS(M991)-Poids/m)</f>
        <v>-2.48935960276475</v>
      </c>
      <c r="F992" s="397" t="n">
        <f aca="false">SQRT(acc_x^2+acc_z^2)</f>
        <v>2.59324022234087</v>
      </c>
      <c r="G992" s="396" t="n">
        <f aca="false">G991+acc_x*pas</f>
        <v>11.4618941374664</v>
      </c>
      <c r="H992" s="398" t="n">
        <f aca="false">H991+acc_z*pas</f>
        <v>-115.477914554444</v>
      </c>
      <c r="I992" s="397" t="n">
        <f aca="false">SQRT(vit_x^2+vit_z^2)</f>
        <v>116.04535219931</v>
      </c>
      <c r="J992" s="396" t="n">
        <f aca="false">J991+0.5*(vit_x+G991)*pas*(K991&gt;=0)</f>
        <v>690.928492655337</v>
      </c>
      <c r="K992" s="398" t="n">
        <f aca="false">K991+0.5*(vit_z+H991)*pas</f>
        <v>-14.2254196901514</v>
      </c>
      <c r="L992" s="397" t="n">
        <f aca="false">SQRT(pos_x^2+pos_z^2)</f>
        <v>691.074919620396</v>
      </c>
      <c r="M992" s="396" t="n">
        <f aca="false">IF(AND(L991&gt;L_rampe,G992&gt;0),ATAN2(G992,H992),$M$4)</f>
        <v>-1.47186420559978</v>
      </c>
      <c r="N992" s="397" t="n">
        <f aca="false">DEGREES(Beta)</f>
        <v>-84.3316069972429</v>
      </c>
      <c r="P992" s="399" t="n">
        <f aca="false">MATCH(t-pas/2-T_ini,CdP_t)</f>
        <v>23</v>
      </c>
      <c r="Q992" s="397" t="n">
        <f aca="false">(INDEX(CdP,2,i_P+1)-INDEX(CdP,2,i_P+0))/(INDEX(CdP,1,i_P+1)-INDEX(CdP,1,i_P+0))*(t-pas/2-T_ini-INDEX(CdP,1,i_P+0))+INDEX(CdP,2,i_P+0)</f>
        <v>0</v>
      </c>
      <c r="R992" s="396" t="n">
        <f aca="false">Poussee/(g*ISP)</f>
        <v>0</v>
      </c>
      <c r="S992" s="398" t="n">
        <f aca="false">S991-Débit*pas</f>
        <v>8.45</v>
      </c>
      <c r="T992" s="397" t="n">
        <f aca="false">m*g</f>
        <v>82.8945</v>
      </c>
      <c r="U992" s="400" t="n">
        <f aca="false">IF(pos_xz&lt;L_rampe,Poids*COS(Beta),0)</f>
        <v>0</v>
      </c>
      <c r="V992" s="396" t="n">
        <f aca="false">Rho_moyen*(20000-Alt_rampe-pos_z)/(20000+Alt_rampe+pos_z)</f>
        <v>1.22674385426498</v>
      </c>
      <c r="W992" s="397" t="n">
        <f aca="false">1/2*Rho*Sref*Cx*vit_xz^2</f>
        <v>62.163711992906</v>
      </c>
      <c r="Y992" s="408" t="str">
        <f aca="false">IF(AND(pos_z&lt;=0,K991&gt;0),"Impact balistique","") &amp; IF(AND(H993&lt;0,vit_z&gt;=0),"Apogée","") &amp; IF(AND(Poussee=0,Q991&gt;0),"Fin de propulsion","") &amp; IF(AND(L993&gt;L_rampe,pos_xz&lt;=L_rampe),"Sortie de rampe","")</f>
        <v/>
      </c>
      <c r="Z992" s="402" t="str">
        <f aca="false">IF(ABS(t-T_para)&lt;pas/2,"Para","")</f>
        <v/>
      </c>
      <c r="AA992" s="403" t="str">
        <f aca="false">IF(ABS(t-T_satellite)&lt;pas/2,"Satellite","")</f>
        <v/>
      </c>
      <c r="AC992" s="399" t="e">
        <f aca="false">IF(ABS(t-ROUND(t,0))&lt;0.001,t,NA())</f>
        <v>#N/A</v>
      </c>
      <c r="AD992" s="404" t="e">
        <f aca="false">IF(ABS(t-ROUND(t,0))&lt;0.001,pos_x,NA())</f>
        <v>#N/A</v>
      </c>
      <c r="AE992" s="405" t="e">
        <f aca="false">IF(t&lt;T_para, pos_z, NA())</f>
        <v>#N/A</v>
      </c>
      <c r="AG992" s="396" t="n">
        <f aca="false">IF(AND(L991&lt;L_rampe,Poussee&lt;Poids*SIN(M991)),0,(-W991+Poussee)/m-Poids*SIN(M991)/m)</f>
        <v>2.40541701707455</v>
      </c>
      <c r="AH992" s="397" t="n">
        <f aca="false">IF(AND(L991&lt;L_rampe,Poussee&lt;Poids*SIN(M991)), g*SIN(M991), (-W991+Poussee)/m)</f>
        <v>-7.35661331351064</v>
      </c>
    </row>
    <row r="993" customFormat="false" ht="12.75" hidden="false" customHeight="false" outlineLevel="0" collapsed="false">
      <c r="A993" s="396" t="n">
        <f aca="false">IF(B992+0.01&lt;=T_ini+ROUNDUP(Temps_fin_propu,0), 0.01, IF(K992&gt;0, 0.1, 0.0001))</f>
        <v>0.0001</v>
      </c>
      <c r="B993" s="397" t="n">
        <f aca="false">B992+pas</f>
        <v>32.1488000000018</v>
      </c>
      <c r="D993" s="396" t="n">
        <f aca="false">IF(AND(L992&lt;L_rampe,Poussee&lt;Poids*SIN(M992)),0,(-W992+Poussee)/m*COS(M992)-U992/m*SIN(M992))</f>
        <v>-0.726622551866371</v>
      </c>
      <c r="E993" s="398" t="n">
        <f aca="false">IF(AND(L992&lt;L_rampe,Poussee&lt;Poids*SIN(M992)),0,(-W992+Poussee)/m*SIN(M992)+U992/m*COS(M992)-Poids/m)</f>
        <v>-2.48932019338083</v>
      </c>
      <c r="F993" s="397" t="n">
        <f aca="false">SQRT(acc_x^2+acc_z^2)</f>
        <v>2.59320175806943</v>
      </c>
      <c r="G993" s="396" t="n">
        <f aca="false">G992+acc_x*pas</f>
        <v>11.4618214752112</v>
      </c>
      <c r="H993" s="398" t="n">
        <f aca="false">H992+acc_z*pas</f>
        <v>-115.478163486464</v>
      </c>
      <c r="I993" s="397" t="n">
        <f aca="false">SQRT(vit_x^2+vit_z^2)</f>
        <v>116.045592737234</v>
      </c>
      <c r="J993" s="396" t="n">
        <f aca="false">J992+0.5*(vit_x+G992)*pas*(K992&gt;=0)</f>
        <v>690.928492655337</v>
      </c>
      <c r="K993" s="398" t="n">
        <f aca="false">K992+0.5*(vit_z+H992)*pas</f>
        <v>-14.2369674940534</v>
      </c>
      <c r="L993" s="397" t="n">
        <f aca="false">SQRT(pos_x^2+pos_z^2)</f>
        <v>691.075157422406</v>
      </c>
      <c r="M993" s="396" t="n">
        <f aca="false">IF(AND(L992&gt;L_rampe,G993&gt;0),ATAN2(G993,H993),$M$4)</f>
        <v>-1.47186504056618</v>
      </c>
      <c r="N993" s="397" t="n">
        <f aca="false">DEGREES(Beta)</f>
        <v>-84.3316548372936</v>
      </c>
      <c r="P993" s="399" t="n">
        <f aca="false">MATCH(t-pas/2-T_ini,CdP_t)</f>
        <v>23</v>
      </c>
      <c r="Q993" s="397" t="n">
        <f aca="false">(INDEX(CdP,2,i_P+1)-INDEX(CdP,2,i_P+0))/(INDEX(CdP,1,i_P+1)-INDEX(CdP,1,i_P+0))*(t-pas/2-T_ini-INDEX(CdP,1,i_P+0))+INDEX(CdP,2,i_P+0)</f>
        <v>0</v>
      </c>
      <c r="R993" s="396" t="n">
        <f aca="false">Poussee/(g*ISP)</f>
        <v>0</v>
      </c>
      <c r="S993" s="398" t="n">
        <f aca="false">S992-Débit*pas</f>
        <v>8.45</v>
      </c>
      <c r="T993" s="397" t="n">
        <f aca="false">m*g</f>
        <v>82.8945</v>
      </c>
      <c r="U993" s="400" t="n">
        <f aca="false">IF(pos_xz&lt;L_rampe,Poids*COS(Beta),0)</f>
        <v>0</v>
      </c>
      <c r="V993" s="396" t="n">
        <f aca="false">Rho_moyen*(20000-Alt_rampe-pos_z)/(20000+Alt_rampe+pos_z)</f>
        <v>1.22674527088627</v>
      </c>
      <c r="W993" s="397" t="n">
        <f aca="false">1/2*Rho*Sref*Cx*vit_xz^2</f>
        <v>62.1640414839233</v>
      </c>
      <c r="Y993" s="408" t="str">
        <f aca="false">IF(AND(pos_z&lt;=0,K992&gt;0),"Impact balistique","") &amp; IF(AND(H994&lt;0,vit_z&gt;=0),"Apogée","") &amp; IF(AND(Poussee=0,Q992&gt;0),"Fin de propulsion","") &amp; IF(AND(L994&gt;L_rampe,pos_xz&lt;=L_rampe),"Sortie de rampe","")</f>
        <v/>
      </c>
      <c r="Z993" s="402" t="str">
        <f aca="false">IF(ABS(t-T_para)&lt;pas/2,"Para","")</f>
        <v/>
      </c>
      <c r="AA993" s="403" t="str">
        <f aca="false">IF(ABS(t-T_satellite)&lt;pas/2,"Satellite","")</f>
        <v/>
      </c>
      <c r="AC993" s="399" t="e">
        <f aca="false">IF(ABS(t-ROUND(t,0))&lt;0.001,t,NA())</f>
        <v>#N/A</v>
      </c>
      <c r="AD993" s="404" t="e">
        <f aca="false">IF(ABS(t-ROUND(t,0))&lt;0.001,pos_x,NA())</f>
        <v>#N/A</v>
      </c>
      <c r="AE993" s="405" t="e">
        <f aca="false">IF(t&lt;T_para, pos_z, NA())</f>
        <v>#N/A</v>
      </c>
      <c r="AG993" s="396" t="n">
        <f aca="false">IF(AND(L992&lt;L_rampe,Poussee&lt;Poids*SIN(M992)),0,(-W992+Poussee)/m-Poids*SIN(M992)/m)</f>
        <v>2.40537883277806</v>
      </c>
      <c r="AH993" s="397" t="n">
        <f aca="false">IF(AND(L992&lt;L_rampe,Poussee&lt;Poids*SIN(M992)), g*SIN(M992), (-W992+Poussee)/m)</f>
        <v>-7.35665230685279</v>
      </c>
    </row>
    <row r="994" customFormat="false" ht="12.75" hidden="false" customHeight="false" outlineLevel="0" collapsed="false">
      <c r="A994" s="396" t="n">
        <f aca="false">IF(B993+0.01&lt;=T_ini+ROUNDUP(Temps_fin_propu,0), 0.01, IF(K993&gt;0, 0.1, 0.0001))</f>
        <v>0.0001</v>
      </c>
      <c r="B994" s="397" t="n">
        <f aca="false">B993+pas</f>
        <v>32.1489000000018</v>
      </c>
      <c r="D994" s="396" t="n">
        <f aca="false">IF(AND(L993&lt;L_rampe,Poussee&lt;Poids*SIN(M993)),0,(-W993+Poussee)/m*COS(M993)-U993/m*SIN(M993))</f>
        <v>-0.726620290684455</v>
      </c>
      <c r="E994" s="398" t="n">
        <f aca="false">IF(AND(L993&lt;L_rampe,Poussee&lt;Poids*SIN(M993)),0,(-W993+Poussee)/m*SIN(M993)+U993/m*COS(M993)-Poids/m)</f>
        <v>-2.48928078432273</v>
      </c>
      <c r="F994" s="397" t="n">
        <f aca="false">SQRT(acc_x^2+acc_z^2)</f>
        <v>2.59316329413185</v>
      </c>
      <c r="G994" s="396" t="n">
        <f aca="false">G993+acc_x*pas</f>
        <v>11.4617488131821</v>
      </c>
      <c r="H994" s="398" t="n">
        <f aca="false">H993+acc_z*pas</f>
        <v>-115.478412414542</v>
      </c>
      <c r="I994" s="397" t="n">
        <f aca="false">SQRT(vit_x^2+vit_z^2)</f>
        <v>116.045833271339</v>
      </c>
      <c r="J994" s="396" t="n">
        <f aca="false">J993+0.5*(vit_x+G993)*pas*(K993&gt;=0)</f>
        <v>690.928492655337</v>
      </c>
      <c r="K994" s="398" t="n">
        <f aca="false">K993+0.5*(vit_z+H993)*pas</f>
        <v>-14.2485153228485</v>
      </c>
      <c r="L994" s="397" t="n">
        <f aca="false">SQRT(pos_x^2+pos_z^2)</f>
        <v>691.075395417809</v>
      </c>
      <c r="M994" s="396" t="n">
        <f aca="false">IF(AND(L993&gt;L_rampe,G994&gt;0),ATAN2(G994,H994),$M$4)</f>
        <v>-1.47186587552382</v>
      </c>
      <c r="N994" s="397" t="n">
        <f aca="false">DEGREES(Beta)</f>
        <v>-84.3317026768426</v>
      </c>
      <c r="P994" s="399" t="n">
        <f aca="false">MATCH(t-pas/2-T_ini,CdP_t)</f>
        <v>23</v>
      </c>
      <c r="Q994" s="397" t="n">
        <f aca="false">(INDEX(CdP,2,i_P+1)-INDEX(CdP,2,i_P+0))/(INDEX(CdP,1,i_P+1)-INDEX(CdP,1,i_P+0))*(t-pas/2-T_ini-INDEX(CdP,1,i_P+0))+INDEX(CdP,2,i_P+0)</f>
        <v>0</v>
      </c>
      <c r="R994" s="396" t="n">
        <f aca="false">Poussee/(g*ISP)</f>
        <v>0</v>
      </c>
      <c r="S994" s="398" t="n">
        <f aca="false">S993-Débit*pas</f>
        <v>8.45</v>
      </c>
      <c r="T994" s="397" t="n">
        <f aca="false">m*g</f>
        <v>82.8945</v>
      </c>
      <c r="U994" s="400" t="n">
        <f aca="false">IF(pos_xz&lt;L_rampe,Poids*COS(Beta),0)</f>
        <v>0</v>
      </c>
      <c r="V994" s="396" t="n">
        <f aca="false">Rho_moyen*(20000-Alt_rampe-pos_z)/(20000+Alt_rampe+pos_z)</f>
        <v>1.22674668751224</v>
      </c>
      <c r="W994" s="397" t="n">
        <f aca="false">1/2*Rho*Sref*Cx*vit_xz^2</f>
        <v>62.1643709722166</v>
      </c>
      <c r="Y994" s="408" t="str">
        <f aca="false">IF(AND(pos_z&lt;=0,K993&gt;0),"Impact balistique","") &amp; IF(AND(H995&lt;0,vit_z&gt;=0),"Apogée","") &amp; IF(AND(Poussee=0,Q993&gt;0),"Fin de propulsion","") &amp; IF(AND(L995&gt;L_rampe,pos_xz&lt;=L_rampe),"Sortie de rampe","")</f>
        <v/>
      </c>
      <c r="Z994" s="402" t="str">
        <f aca="false">IF(ABS(t-T_para)&lt;pas/2,"Para","")</f>
        <v/>
      </c>
      <c r="AA994" s="403" t="str">
        <f aca="false">IF(ABS(t-T_satellite)&lt;pas/2,"Satellite","")</f>
        <v/>
      </c>
      <c r="AC994" s="399" t="e">
        <f aca="false">IF(ABS(t-ROUND(t,0))&lt;0.001,t,NA())</f>
        <v>#N/A</v>
      </c>
      <c r="AD994" s="404" t="e">
        <f aca="false">IF(ABS(t-ROUND(t,0))&lt;0.001,pos_x,NA())</f>
        <v>#N/A</v>
      </c>
      <c r="AE994" s="405" t="e">
        <f aca="false">IF(t&lt;T_para, pos_z, NA())</f>
        <v>#N/A</v>
      </c>
      <c r="AG994" s="396" t="n">
        <f aca="false">IF(AND(L993&lt;L_rampe,Poussee&lt;Poids*SIN(M993)),0,(-W993+Poussee)/m-Poids*SIN(M993)/m)</f>
        <v>2.40534064878864</v>
      </c>
      <c r="AH994" s="397" t="n">
        <f aca="false">IF(AND(L993&lt;L_rampe,Poussee&lt;Poids*SIN(M993)), g*SIN(M993), (-W993+Poussee)/m)</f>
        <v>-7.35669129987258</v>
      </c>
    </row>
    <row r="995" customFormat="false" ht="12.75" hidden="false" customHeight="false" outlineLevel="0" collapsed="false">
      <c r="A995" s="396" t="n">
        <f aca="false">IF(B994+0.01&lt;=T_ini+ROUNDUP(Temps_fin_propu,0), 0.01, IF(K994&gt;0, 0.1, 0.0001))</f>
        <v>0.0001</v>
      </c>
      <c r="B995" s="397" t="n">
        <f aca="false">B994+pas</f>
        <v>32.1490000000018</v>
      </c>
      <c r="D995" s="396" t="n">
        <f aca="false">IF(AND(L994&lt;L_rampe,Poussee&lt;Poids*SIN(M994)),0,(-W994+Poussee)/m*COS(M994)-U994/m*SIN(M994))</f>
        <v>-0.726618029469488</v>
      </c>
      <c r="E995" s="398" t="n">
        <f aca="false">IF(AND(L994&lt;L_rampe,Poussee&lt;Poids*SIN(M994)),0,(-W994+Poussee)/m*SIN(M994)+U994/m*COS(M994)-Poids/m)</f>
        <v>-2.48924137559043</v>
      </c>
      <c r="F995" s="397" t="n">
        <f aca="false">SQRT(acc_x^2+acc_z^2)</f>
        <v>2.59312483052811</v>
      </c>
      <c r="G995" s="396" t="n">
        <f aca="false">G994+acc_x*pas</f>
        <v>11.4616761513792</v>
      </c>
      <c r="H995" s="398" t="n">
        <f aca="false">H994+acc_z*pas</f>
        <v>-115.47866133868</v>
      </c>
      <c r="I995" s="397" t="n">
        <f aca="false">SQRT(vit_x^2+vit_z^2)</f>
        <v>116.046073801626</v>
      </c>
      <c r="J995" s="396" t="n">
        <f aca="false">J994+0.5*(vit_x+G994)*pas*(K994&gt;=0)</f>
        <v>690.928492655337</v>
      </c>
      <c r="K995" s="398" t="n">
        <f aca="false">K994+0.5*(vit_z+H994)*pas</f>
        <v>-14.2600631765361</v>
      </c>
      <c r="L995" s="397" t="n">
        <f aca="false">SQRT(pos_x^2+pos_z^2)</f>
        <v>691.075633606608</v>
      </c>
      <c r="M995" s="396" t="n">
        <f aca="false">IF(AND(L994&gt;L_rampe,G995&gt;0),ATAN2(G995,H995),$M$4)</f>
        <v>-1.47186671047271</v>
      </c>
      <c r="N995" s="397" t="n">
        <f aca="false">DEGREES(Beta)</f>
        <v>-84.33175051589</v>
      </c>
      <c r="P995" s="399" t="n">
        <f aca="false">MATCH(t-pas/2-T_ini,CdP_t)</f>
        <v>23</v>
      </c>
      <c r="Q995" s="397" t="n">
        <f aca="false">(INDEX(CdP,2,i_P+1)-INDEX(CdP,2,i_P+0))/(INDEX(CdP,1,i_P+1)-INDEX(CdP,1,i_P+0))*(t-pas/2-T_ini-INDEX(CdP,1,i_P+0))+INDEX(CdP,2,i_P+0)</f>
        <v>0</v>
      </c>
      <c r="R995" s="396" t="n">
        <f aca="false">Poussee/(g*ISP)</f>
        <v>0</v>
      </c>
      <c r="S995" s="398" t="n">
        <f aca="false">S994-Débit*pas</f>
        <v>8.45</v>
      </c>
      <c r="T995" s="397" t="n">
        <f aca="false">m*g</f>
        <v>82.8945</v>
      </c>
      <c r="U995" s="400" t="n">
        <f aca="false">IF(pos_xz&lt;L_rampe,Poids*COS(Beta),0)</f>
        <v>0</v>
      </c>
      <c r="V995" s="396" t="n">
        <f aca="false">Rho_moyen*(20000-Alt_rampe-pos_z)/(20000+Alt_rampe+pos_z)</f>
        <v>1.2267481041429</v>
      </c>
      <c r="W995" s="397" t="n">
        <f aca="false">1/2*Rho*Sref*Cx*vit_xz^2</f>
        <v>62.1647004577861</v>
      </c>
      <c r="Y995" s="408" t="str">
        <f aca="false">IF(AND(pos_z&lt;=0,K994&gt;0),"Impact balistique","") &amp; IF(AND(H996&lt;0,vit_z&gt;=0),"Apogée","") &amp; IF(AND(Poussee=0,Q994&gt;0),"Fin de propulsion","") &amp; IF(AND(L996&gt;L_rampe,pos_xz&lt;=L_rampe),"Sortie de rampe","")</f>
        <v/>
      </c>
      <c r="Z995" s="402" t="str">
        <f aca="false">IF(ABS(t-T_para)&lt;pas/2,"Para","")</f>
        <v/>
      </c>
      <c r="AA995" s="403" t="str">
        <f aca="false">IF(ABS(t-T_satellite)&lt;pas/2,"Satellite","")</f>
        <v/>
      </c>
      <c r="AC995" s="399" t="e">
        <f aca="false">IF(ABS(t-ROUND(t,0))&lt;0.001,t,NA())</f>
        <v>#N/A</v>
      </c>
      <c r="AD995" s="404" t="e">
        <f aca="false">IF(ABS(t-ROUND(t,0))&lt;0.001,pos_x,NA())</f>
        <v>#N/A</v>
      </c>
      <c r="AE995" s="405" t="e">
        <f aca="false">IF(t&lt;T_para, pos_z, NA())</f>
        <v>#N/A</v>
      </c>
      <c r="AG995" s="396" t="n">
        <f aca="false">IF(AND(L994&lt;L_rampe,Poussee&lt;Poids*SIN(M994)),0,(-W994+Poussee)/m-Poids*SIN(M994)/m)</f>
        <v>2.40530246510628</v>
      </c>
      <c r="AH995" s="397" t="n">
        <f aca="false">IF(AND(L994&lt;L_rampe,Poussee&lt;Poids*SIN(M994)), g*SIN(M994), (-W994+Poussee)/m)</f>
        <v>-7.35673029257001</v>
      </c>
    </row>
    <row r="996" customFormat="false" ht="12.75" hidden="false" customHeight="false" outlineLevel="0" collapsed="false">
      <c r="A996" s="396" t="n">
        <f aca="false">IF(B995+0.01&lt;=T_ini+ROUNDUP(Temps_fin_propu,0), 0.01, IF(K995&gt;0, 0.1, 0.0001))</f>
        <v>0.0001</v>
      </c>
      <c r="B996" s="397" t="n">
        <f aca="false">B995+pas</f>
        <v>32.1491000000018</v>
      </c>
      <c r="D996" s="396" t="n">
        <f aca="false">IF(AND(L995&lt;L_rampe,Poussee&lt;Poids*SIN(M995)),0,(-W995+Poussee)/m*COS(M995)-U995/m*SIN(M995))</f>
        <v>-0.72661576822147</v>
      </c>
      <c r="E996" s="398" t="n">
        <f aca="false">IF(AND(L995&lt;L_rampe,Poussee&lt;Poids*SIN(M995)),0,(-W995+Poussee)/m*SIN(M995)+U995/m*COS(M995)-Poids/m)</f>
        <v>-2.48920196718394</v>
      </c>
      <c r="F996" s="397" t="n">
        <f aca="false">SQRT(acc_x^2+acc_z^2)</f>
        <v>2.59308636725823</v>
      </c>
      <c r="G996" s="396" t="n">
        <f aca="false">G995+acc_x*pas</f>
        <v>11.4616034898024</v>
      </c>
      <c r="H996" s="398" t="n">
        <f aca="false">H995+acc_z*pas</f>
        <v>-115.478910258876</v>
      </c>
      <c r="I996" s="397" t="n">
        <f aca="false">SQRT(vit_x^2+vit_z^2)</f>
        <v>116.046314328095</v>
      </c>
      <c r="J996" s="396" t="n">
        <f aca="false">J995+0.5*(vit_x+G995)*pas*(K995&gt;=0)</f>
        <v>690.928492655337</v>
      </c>
      <c r="K996" s="398" t="n">
        <f aca="false">K995+0.5*(vit_z+H995)*pas</f>
        <v>-14.271611055116</v>
      </c>
      <c r="L996" s="397" t="n">
        <f aca="false">SQRT(pos_x^2+pos_z^2)</f>
        <v>691.075871988803</v>
      </c>
      <c r="M996" s="396" t="n">
        <f aca="false">IF(AND(L995&gt;L_rampe,G996&gt;0),ATAN2(G996,H996),$M$4)</f>
        <v>-1.47186754541284</v>
      </c>
      <c r="N996" s="397" t="n">
        <f aca="false">DEGREES(Beta)</f>
        <v>-84.3317983544359</v>
      </c>
      <c r="P996" s="399" t="n">
        <f aca="false">MATCH(t-pas/2-T_ini,CdP_t)</f>
        <v>23</v>
      </c>
      <c r="Q996" s="397" t="n">
        <f aca="false">(INDEX(CdP,2,i_P+1)-INDEX(CdP,2,i_P+0))/(INDEX(CdP,1,i_P+1)-INDEX(CdP,1,i_P+0))*(t-pas/2-T_ini-INDEX(CdP,1,i_P+0))+INDEX(CdP,2,i_P+0)</f>
        <v>0</v>
      </c>
      <c r="R996" s="396" t="n">
        <f aca="false">Poussee/(g*ISP)</f>
        <v>0</v>
      </c>
      <c r="S996" s="398" t="n">
        <f aca="false">S995-Débit*pas</f>
        <v>8.45</v>
      </c>
      <c r="T996" s="397" t="n">
        <f aca="false">m*g</f>
        <v>82.8945</v>
      </c>
      <c r="U996" s="400" t="n">
        <f aca="false">IF(pos_xz&lt;L_rampe,Poids*COS(Beta),0)</f>
        <v>0</v>
      </c>
      <c r="V996" s="396" t="n">
        <f aca="false">Rho_moyen*(20000-Alt_rampe-pos_z)/(20000+Alt_rampe+pos_z)</f>
        <v>1.22674952077826</v>
      </c>
      <c r="W996" s="397" t="n">
        <f aca="false">1/2*Rho*Sref*Cx*vit_xz^2</f>
        <v>62.1650299406316</v>
      </c>
      <c r="Y996" s="408" t="str">
        <f aca="false">IF(AND(pos_z&lt;=0,K995&gt;0),"Impact balistique","") &amp; IF(AND(H997&lt;0,vit_z&gt;=0),"Apogée","") &amp; IF(AND(Poussee=0,Q995&gt;0),"Fin de propulsion","") &amp; IF(AND(L997&gt;L_rampe,pos_xz&lt;=L_rampe),"Sortie de rampe","")</f>
        <v/>
      </c>
      <c r="Z996" s="402" t="str">
        <f aca="false">IF(ABS(t-T_para)&lt;pas/2,"Para","")</f>
        <v/>
      </c>
      <c r="AA996" s="403" t="str">
        <f aca="false">IF(ABS(t-T_satellite)&lt;pas/2,"Satellite","")</f>
        <v/>
      </c>
      <c r="AC996" s="399" t="e">
        <f aca="false">IF(ABS(t-ROUND(t,0))&lt;0.001,t,NA())</f>
        <v>#N/A</v>
      </c>
      <c r="AD996" s="404" t="e">
        <f aca="false">IF(ABS(t-ROUND(t,0))&lt;0.001,pos_x,NA())</f>
        <v>#N/A</v>
      </c>
      <c r="AE996" s="405" t="e">
        <f aca="false">IF(t&lt;T_para, pos_z, NA())</f>
        <v>#N/A</v>
      </c>
      <c r="AG996" s="396" t="n">
        <f aca="false">IF(AND(L995&lt;L_rampe,Poussee&lt;Poids*SIN(M995)),0,(-W995+Poussee)/m-Poids*SIN(M995)/m)</f>
        <v>2.40526428173098</v>
      </c>
      <c r="AH996" s="397" t="n">
        <f aca="false">IF(AND(L995&lt;L_rampe,Poussee&lt;Poids*SIN(M995)), g*SIN(M995), (-W995+Poussee)/m)</f>
        <v>-7.3567692849451</v>
      </c>
    </row>
    <row r="997" customFormat="false" ht="12.75" hidden="false" customHeight="false" outlineLevel="0" collapsed="false">
      <c r="A997" s="396" t="n">
        <f aca="false">IF(B996+0.01&lt;=T_ini+ROUNDUP(Temps_fin_propu,0), 0.01, IF(K996&gt;0, 0.1, 0.0001))</f>
        <v>0.0001</v>
      </c>
      <c r="B997" s="397" t="n">
        <f aca="false">B996+pas</f>
        <v>32.1492000000018</v>
      </c>
      <c r="D997" s="396" t="n">
        <f aca="false">IF(AND(L996&lt;L_rampe,Poussee&lt;Poids*SIN(M996)),0,(-W996+Poussee)/m*COS(M996)-U996/m*SIN(M996))</f>
        <v>-0.726613506940402</v>
      </c>
      <c r="E997" s="398" t="n">
        <f aca="false">IF(AND(L996&lt;L_rampe,Poussee&lt;Poids*SIN(M996)),0,(-W996+Poussee)/m*SIN(M996)+U996/m*COS(M996)-Poids/m)</f>
        <v>-2.48916255910326</v>
      </c>
      <c r="F997" s="397" t="n">
        <f aca="false">SQRT(acc_x^2+acc_z^2)</f>
        <v>2.5930479043222</v>
      </c>
      <c r="G997" s="396" t="n">
        <f aca="false">G996+acc_x*pas</f>
        <v>11.4615308284517</v>
      </c>
      <c r="H997" s="398" t="n">
        <f aca="false">H996+acc_z*pas</f>
        <v>-115.479159175132</v>
      </c>
      <c r="I997" s="397" t="n">
        <f aca="false">SQRT(vit_x^2+vit_z^2)</f>
        <v>116.046554850745</v>
      </c>
      <c r="J997" s="396" t="n">
        <f aca="false">J996+0.5*(vit_x+G996)*pas*(K996&gt;=0)</f>
        <v>690.928492655337</v>
      </c>
      <c r="K997" s="398" t="n">
        <f aca="false">K996+0.5*(vit_z+H996)*pas</f>
        <v>-14.2831589585877</v>
      </c>
      <c r="L997" s="397" t="n">
        <f aca="false">SQRT(pos_x^2+pos_z^2)</f>
        <v>691.076110564395</v>
      </c>
      <c r="M997" s="396" t="n">
        <f aca="false">IF(AND(L996&gt;L_rampe,G997&gt;0),ATAN2(G997,H997),$M$4)</f>
        <v>-1.47186838034422</v>
      </c>
      <c r="N997" s="397" t="n">
        <f aca="false">DEGREES(Beta)</f>
        <v>-84.3318461924802</v>
      </c>
      <c r="P997" s="399" t="n">
        <f aca="false">MATCH(t-pas/2-T_ini,CdP_t)</f>
        <v>23</v>
      </c>
      <c r="Q997" s="397" t="n">
        <f aca="false">(INDEX(CdP,2,i_P+1)-INDEX(CdP,2,i_P+0))/(INDEX(CdP,1,i_P+1)-INDEX(CdP,1,i_P+0))*(t-pas/2-T_ini-INDEX(CdP,1,i_P+0))+INDEX(CdP,2,i_P+0)</f>
        <v>0</v>
      </c>
      <c r="R997" s="396" t="n">
        <f aca="false">Poussee/(g*ISP)</f>
        <v>0</v>
      </c>
      <c r="S997" s="398" t="n">
        <f aca="false">S996-Débit*pas</f>
        <v>8.45</v>
      </c>
      <c r="T997" s="397" t="n">
        <f aca="false">m*g</f>
        <v>82.8945</v>
      </c>
      <c r="U997" s="400" t="n">
        <f aca="false">IF(pos_xz&lt;L_rampe,Poids*COS(Beta),0)</f>
        <v>0</v>
      </c>
      <c r="V997" s="396" t="n">
        <f aca="false">Rho_moyen*(20000-Alt_rampe-pos_z)/(20000+Alt_rampe+pos_z)</f>
        <v>1.2267509374183</v>
      </c>
      <c r="W997" s="397" t="n">
        <f aca="false">1/2*Rho*Sref*Cx*vit_xz^2</f>
        <v>62.1653594207533</v>
      </c>
      <c r="Y997" s="408" t="str">
        <f aca="false">IF(AND(pos_z&lt;=0,K996&gt;0),"Impact balistique","") &amp; IF(AND(H998&lt;0,vit_z&gt;=0),"Apogée","") &amp; IF(AND(Poussee=0,Q996&gt;0),"Fin de propulsion","") &amp; IF(AND(L998&gt;L_rampe,pos_xz&lt;=L_rampe),"Sortie de rampe","")</f>
        <v/>
      </c>
      <c r="Z997" s="402" t="str">
        <f aca="false">IF(ABS(t-T_para)&lt;pas/2,"Para","")</f>
        <v/>
      </c>
      <c r="AA997" s="403" t="str">
        <f aca="false">IF(ABS(t-T_satellite)&lt;pas/2,"Satellite","")</f>
        <v/>
      </c>
      <c r="AC997" s="399" t="e">
        <f aca="false">IF(ABS(t-ROUND(t,0))&lt;0.001,t,NA())</f>
        <v>#N/A</v>
      </c>
      <c r="AD997" s="404" t="e">
        <f aca="false">IF(ABS(t-ROUND(t,0))&lt;0.001,pos_x,NA())</f>
        <v>#N/A</v>
      </c>
      <c r="AE997" s="405" t="e">
        <f aca="false">IF(t&lt;T_para, pos_z, NA())</f>
        <v>#N/A</v>
      </c>
      <c r="AG997" s="396" t="n">
        <f aca="false">IF(AND(L996&lt;L_rampe,Poussee&lt;Poids*SIN(M996)),0,(-W996+Poussee)/m-Poids*SIN(M996)/m)</f>
        <v>2.40522609866275</v>
      </c>
      <c r="AH997" s="397" t="n">
        <f aca="false">IF(AND(L996&lt;L_rampe,Poussee&lt;Poids*SIN(M996)), g*SIN(M996), (-W996+Poussee)/m)</f>
        <v>-7.35680827699783</v>
      </c>
    </row>
    <row r="998" customFormat="false" ht="12.75" hidden="false" customHeight="false" outlineLevel="0" collapsed="false">
      <c r="A998" s="396" t="n">
        <f aca="false">IF(B997+0.01&lt;=T_ini+ROUNDUP(Temps_fin_propu,0), 0.01, IF(K997&gt;0, 0.1, 0.0001))</f>
        <v>0.0001</v>
      </c>
      <c r="B998" s="397" t="n">
        <f aca="false">B997+pas</f>
        <v>32.1493000000018</v>
      </c>
      <c r="D998" s="396" t="n">
        <f aca="false">IF(AND(L997&lt;L_rampe,Poussee&lt;Poids*SIN(M997)),0,(-W997+Poussee)/m*COS(M997)-U997/m*SIN(M997))</f>
        <v>-0.726611245626282</v>
      </c>
      <c r="E998" s="398" t="n">
        <f aca="false">IF(AND(L997&lt;L_rampe,Poussee&lt;Poids*SIN(M997)),0,(-W997+Poussee)/m*SIN(M997)+U997/m*COS(M997)-Poids/m)</f>
        <v>-2.4891231513484</v>
      </c>
      <c r="F998" s="397" t="n">
        <f aca="false">SQRT(acc_x^2+acc_z^2)</f>
        <v>2.59300944172002</v>
      </c>
      <c r="G998" s="396" t="n">
        <f aca="false">G997+acc_x*pas</f>
        <v>11.4614581673271</v>
      </c>
      <c r="H998" s="398" t="n">
        <f aca="false">H997+acc_z*pas</f>
        <v>-115.479408087447</v>
      </c>
      <c r="I998" s="397" t="n">
        <f aca="false">SQRT(vit_x^2+vit_z^2)</f>
        <v>116.046795369577</v>
      </c>
      <c r="J998" s="396" t="n">
        <f aca="false">J997+0.5*(vit_x+G997)*pas*(K997&gt;=0)</f>
        <v>690.928492655337</v>
      </c>
      <c r="K998" s="398" t="n">
        <f aca="false">K997+0.5*(vit_z+H997)*pas</f>
        <v>-14.2947068869509</v>
      </c>
      <c r="L998" s="397" t="n">
        <f aca="false">SQRT(pos_x^2+pos_z^2)</f>
        <v>691.076349333386</v>
      </c>
      <c r="M998" s="396" t="n">
        <f aca="false">IF(AND(L997&gt;L_rampe,G998&gt;0),ATAN2(G998,H998),$M$4)</f>
        <v>-1.47186921526685</v>
      </c>
      <c r="N998" s="397" t="n">
        <f aca="false">DEGREES(Beta)</f>
        <v>-84.3318940300229</v>
      </c>
      <c r="P998" s="399" t="n">
        <f aca="false">MATCH(t-pas/2-T_ini,CdP_t)</f>
        <v>23</v>
      </c>
      <c r="Q998" s="397" t="n">
        <f aca="false">(INDEX(CdP,2,i_P+1)-INDEX(CdP,2,i_P+0))/(INDEX(CdP,1,i_P+1)-INDEX(CdP,1,i_P+0))*(t-pas/2-T_ini-INDEX(CdP,1,i_P+0))+INDEX(CdP,2,i_P+0)</f>
        <v>0</v>
      </c>
      <c r="R998" s="396" t="n">
        <f aca="false">Poussee/(g*ISP)</f>
        <v>0</v>
      </c>
      <c r="S998" s="398" t="n">
        <f aca="false">S997-Débit*pas</f>
        <v>8.45</v>
      </c>
      <c r="T998" s="397" t="n">
        <f aca="false">m*g</f>
        <v>82.8945</v>
      </c>
      <c r="U998" s="400" t="n">
        <f aca="false">IF(pos_xz&lt;L_rampe,Poids*COS(Beta),0)</f>
        <v>0</v>
      </c>
      <c r="V998" s="396" t="n">
        <f aca="false">Rho_moyen*(20000-Alt_rampe-pos_z)/(20000+Alt_rampe+pos_z)</f>
        <v>1.22675235406304</v>
      </c>
      <c r="W998" s="397" t="n">
        <f aca="false">1/2*Rho*Sref*Cx*vit_xz^2</f>
        <v>62.1656888981511</v>
      </c>
      <c r="Y998" s="408" t="str">
        <f aca="false">IF(AND(pos_z&lt;=0,K997&gt;0),"Impact balistique","") &amp; IF(AND(H999&lt;0,vit_z&gt;=0),"Apogée","") &amp; IF(AND(Poussee=0,Q997&gt;0),"Fin de propulsion","") &amp; IF(AND(L999&gt;L_rampe,pos_xz&lt;=L_rampe),"Sortie de rampe","")</f>
        <v/>
      </c>
      <c r="Z998" s="402" t="str">
        <f aca="false">IF(ABS(t-T_para)&lt;pas/2,"Para","")</f>
        <v/>
      </c>
      <c r="AA998" s="403" t="str">
        <f aca="false">IF(ABS(t-T_satellite)&lt;pas/2,"Satellite","")</f>
        <v/>
      </c>
      <c r="AC998" s="399" t="e">
        <f aca="false">IF(ABS(t-ROUND(t,0))&lt;0.001,t,NA())</f>
        <v>#N/A</v>
      </c>
      <c r="AD998" s="404" t="e">
        <f aca="false">IF(ABS(t-ROUND(t,0))&lt;0.001,pos_x,NA())</f>
        <v>#N/A</v>
      </c>
      <c r="AE998" s="405" t="e">
        <f aca="false">IF(t&lt;T_para, pos_z, NA())</f>
        <v>#N/A</v>
      </c>
      <c r="AG998" s="396" t="n">
        <f aca="false">IF(AND(L997&lt;L_rampe,Poussee&lt;Poids*SIN(M997)),0,(-W997+Poussee)/m-Poids*SIN(M997)/m)</f>
        <v>2.40518791590158</v>
      </c>
      <c r="AH998" s="397" t="n">
        <f aca="false">IF(AND(L997&lt;L_rampe,Poussee&lt;Poids*SIN(M997)), g*SIN(M997), (-W997+Poussee)/m)</f>
        <v>-7.3568472687282</v>
      </c>
    </row>
    <row r="999" customFormat="false" ht="12.75" hidden="false" customHeight="false" outlineLevel="0" collapsed="false">
      <c r="A999" s="396" t="n">
        <f aca="false">IF(B998+0.01&lt;=T_ini+ROUNDUP(Temps_fin_propu,0), 0.01, IF(K998&gt;0, 0.1, 0.0001))</f>
        <v>0.0001</v>
      </c>
      <c r="B999" s="397" t="n">
        <f aca="false">B998+pas</f>
        <v>32.1494000000018</v>
      </c>
      <c r="D999" s="396" t="n">
        <f aca="false">IF(AND(L998&lt;L_rampe,Poussee&lt;Poids*SIN(M998)),0,(-W998+Poussee)/m*COS(M998)-U998/m*SIN(M998))</f>
        <v>-0.726608984279116</v>
      </c>
      <c r="E999" s="398" t="n">
        <f aca="false">IF(AND(L998&lt;L_rampe,Poussee&lt;Poids*SIN(M998)),0,(-W998+Poussee)/m*SIN(M998)+U998/m*COS(M998)-Poids/m)</f>
        <v>-2.48908374391934</v>
      </c>
      <c r="F999" s="397" t="n">
        <f aca="false">SQRT(acc_x^2+acc_z^2)</f>
        <v>2.59297097945169</v>
      </c>
      <c r="G999" s="396" t="n">
        <f aca="false">G998+acc_x*pas</f>
        <v>11.4613855064287</v>
      </c>
      <c r="H999" s="398" t="n">
        <f aca="false">H998+acc_z*pas</f>
        <v>-115.479656995822</v>
      </c>
      <c r="I999" s="397" t="n">
        <f aca="false">SQRT(vit_x^2+vit_z^2)</f>
        <v>116.047035884591</v>
      </c>
      <c r="J999" s="396" t="n">
        <f aca="false">J998+0.5*(vit_x+G998)*pas*(K998&gt;=0)</f>
        <v>690.928492655337</v>
      </c>
      <c r="K999" s="398" t="n">
        <f aca="false">K998+0.5*(vit_z+H998)*pas</f>
        <v>-14.306254840205</v>
      </c>
      <c r="L999" s="397" t="n">
        <f aca="false">SQRT(pos_x^2+pos_z^2)</f>
        <v>691.076588295775</v>
      </c>
      <c r="M999" s="396" t="n">
        <f aca="false">IF(AND(L998&gt;L_rampe,G999&gt;0),ATAN2(G999,H999),$M$4)</f>
        <v>-1.47187005018072</v>
      </c>
      <c r="N999" s="397" t="n">
        <f aca="false">DEGREES(Beta)</f>
        <v>-84.331941867064</v>
      </c>
      <c r="P999" s="399" t="n">
        <f aca="false">MATCH(t-pas/2-T_ini,CdP_t)</f>
        <v>23</v>
      </c>
      <c r="Q999" s="397" t="n">
        <f aca="false">(INDEX(CdP,2,i_P+1)-INDEX(CdP,2,i_P+0))/(INDEX(CdP,1,i_P+1)-INDEX(CdP,1,i_P+0))*(t-pas/2-T_ini-INDEX(CdP,1,i_P+0))+INDEX(CdP,2,i_P+0)</f>
        <v>0</v>
      </c>
      <c r="R999" s="396" t="n">
        <f aca="false">Poussee/(g*ISP)</f>
        <v>0</v>
      </c>
      <c r="S999" s="398" t="n">
        <f aca="false">S998-Débit*pas</f>
        <v>8.45</v>
      </c>
      <c r="T999" s="397" t="n">
        <f aca="false">m*g</f>
        <v>82.8945</v>
      </c>
      <c r="U999" s="400" t="n">
        <f aca="false">IF(pos_xz&lt;L_rampe,Poids*COS(Beta),0)</f>
        <v>0</v>
      </c>
      <c r="V999" s="396" t="n">
        <f aca="false">Rho_moyen*(20000-Alt_rampe-pos_z)/(20000+Alt_rampe+pos_z)</f>
        <v>1.22675377071246</v>
      </c>
      <c r="W999" s="397" t="n">
        <f aca="false">1/2*Rho*Sref*Cx*vit_xz^2</f>
        <v>62.1660183728249</v>
      </c>
      <c r="Y999" s="408" t="str">
        <f aca="false">IF(AND(pos_z&lt;=0,K998&gt;0),"Impact balistique","") &amp; IF(AND(H1000&lt;0,vit_z&gt;=0),"Apogée","") &amp; IF(AND(Poussee=0,Q998&gt;0),"Fin de propulsion","") &amp; IF(AND(L1000&gt;L_rampe,pos_xz&lt;=L_rampe),"Sortie de rampe","")</f>
        <v/>
      </c>
      <c r="Z999" s="402" t="str">
        <f aca="false">IF(ABS(t-T_para)&lt;pas/2,"Para","")</f>
        <v/>
      </c>
      <c r="AA999" s="403" t="str">
        <f aca="false">IF(ABS(t-T_satellite)&lt;pas/2,"Satellite","")</f>
        <v/>
      </c>
      <c r="AC999" s="399" t="e">
        <f aca="false">IF(ABS(t-ROUND(t,0))&lt;0.001,t,NA())</f>
        <v>#N/A</v>
      </c>
      <c r="AD999" s="404" t="e">
        <f aca="false">IF(ABS(t-ROUND(t,0))&lt;0.001,pos_x,NA())</f>
        <v>#N/A</v>
      </c>
      <c r="AE999" s="405" t="e">
        <f aca="false">IF(t&lt;T_para, pos_z, NA())</f>
        <v>#N/A</v>
      </c>
      <c r="AG999" s="396" t="n">
        <f aca="false">IF(AND(L998&lt;L_rampe,Poussee&lt;Poids*SIN(M998)),0,(-W998+Poussee)/m-Poids*SIN(M998)/m)</f>
        <v>2.40514973344749</v>
      </c>
      <c r="AH999" s="397" t="n">
        <f aca="false">IF(AND(L998&lt;L_rampe,Poussee&lt;Poids*SIN(M998)), g*SIN(M998), (-W998+Poussee)/m)</f>
        <v>-7.35688626013622</v>
      </c>
    </row>
    <row r="1000" customFormat="false" ht="12.75" hidden="false" customHeight="false" outlineLevel="0" collapsed="false">
      <c r="A1000" s="396" t="n">
        <f aca="false">IF(B999+0.01&lt;=T_ini+ROUNDUP(Temps_fin_propu,0), 0.01, IF(K999&gt;0, 0.1, 0.0001))</f>
        <v>0.0001</v>
      </c>
      <c r="B1000" s="397" t="n">
        <f aca="false">B999+pas</f>
        <v>32.1495000000018</v>
      </c>
      <c r="D1000" s="396" t="n">
        <f aca="false">IF(AND(L999&lt;L_rampe,Poussee&lt;Poids*SIN(M999)),0,(-W999+Poussee)/m*COS(M999)-U999/m*SIN(M999))</f>
        <v>-0.726606722898899</v>
      </c>
      <c r="E1000" s="398" t="n">
        <f aca="false">IF(AND(L999&lt;L_rampe,Poussee&lt;Poids*SIN(M999)),0,(-W999+Poussee)/m*SIN(M999)+U999/m*COS(M999)-Poids/m)</f>
        <v>-2.48904433681611</v>
      </c>
      <c r="F1000" s="397" t="n">
        <f aca="false">SQRT(acc_x^2+acc_z^2)</f>
        <v>2.59293251751723</v>
      </c>
      <c r="G1000" s="396" t="n">
        <f aca="false">G999+acc_x*pas</f>
        <v>11.4613128457564</v>
      </c>
      <c r="H1000" s="398" t="n">
        <f aca="false">H999+acc_z*pas</f>
        <v>-115.479905900255</v>
      </c>
      <c r="I1000" s="397" t="n">
        <f aca="false">SQRT(vit_x^2+vit_z^2)</f>
        <v>116.047276395787</v>
      </c>
      <c r="J1000" s="396" t="n">
        <f aca="false">J999+0.5*(vit_x+G999)*pas*(K999&gt;=0)</f>
        <v>690.928492655337</v>
      </c>
      <c r="K1000" s="398" t="n">
        <f aca="false">K999+0.5*(vit_z+H999)*pas</f>
        <v>-14.3178028183498</v>
      </c>
      <c r="L1000" s="397" t="n">
        <f aca="false">SQRT(pos_x^2+pos_z^2)</f>
        <v>691.076827451566</v>
      </c>
      <c r="M1000" s="396" t="n">
        <f aca="false">IF(AND(L999&gt;L_rampe,G1000&gt;0),ATAN2(G1000,H1000),$M$4)</f>
        <v>-1.47187088508584</v>
      </c>
      <c r="N1000" s="397" t="n">
        <f aca="false">DEGREES(Beta)</f>
        <v>-84.3319897036036</v>
      </c>
      <c r="P1000" s="399" t="n">
        <f aca="false">MATCH(t-pas/2-T_ini,CdP_t)</f>
        <v>23</v>
      </c>
      <c r="Q1000" s="397" t="n">
        <f aca="false">(INDEX(CdP,2,i_P+1)-INDEX(CdP,2,i_P+0))/(INDEX(CdP,1,i_P+1)-INDEX(CdP,1,i_P+0))*(t-pas/2-T_ini-INDEX(CdP,1,i_P+0))+INDEX(CdP,2,i_P+0)</f>
        <v>0</v>
      </c>
      <c r="R1000" s="396" t="n">
        <f aca="false">Poussee/(g*ISP)</f>
        <v>0</v>
      </c>
      <c r="S1000" s="398" t="n">
        <f aca="false">S999-Débit*pas</f>
        <v>8.45</v>
      </c>
      <c r="T1000" s="397" t="n">
        <f aca="false">m*g</f>
        <v>82.8945</v>
      </c>
      <c r="U1000" s="400" t="n">
        <f aca="false">IF(pos_xz&lt;L_rampe,Poids*COS(Beta),0)</f>
        <v>0</v>
      </c>
      <c r="V1000" s="396" t="n">
        <f aca="false">Rho_moyen*(20000-Alt_rampe-pos_z)/(20000+Alt_rampe+pos_z)</f>
        <v>1.22675518736658</v>
      </c>
      <c r="W1000" s="397" t="n">
        <f aca="false">1/2*Rho*Sref*Cx*vit_xz^2</f>
        <v>62.1663478447749</v>
      </c>
      <c r="Y1000" s="408" t="str">
        <f aca="false">IF(AND(pos_z&lt;=0,K999&gt;0),"Impact balistique","") &amp; IF(AND(H1001&lt;0,vit_z&gt;=0),"Apogée","") &amp; IF(AND(Poussee=0,Q999&gt;0),"Fin de propulsion","") &amp; IF(AND(L1001&gt;L_rampe,pos_xz&lt;=L_rampe),"Sortie de rampe","")</f>
        <v/>
      </c>
      <c r="Z1000" s="402" t="str">
        <f aca="false">IF(ABS(t-T_para)&lt;pas/2,"Para","")</f>
        <v/>
      </c>
      <c r="AA1000" s="403" t="str">
        <f aca="false">IF(ABS(t-T_satellite)&lt;pas/2,"Satellite","")</f>
        <v/>
      </c>
      <c r="AC1000" s="399" t="e">
        <f aca="false">IF(ABS(t-ROUND(t,0))&lt;0.001,t,NA())</f>
        <v>#N/A</v>
      </c>
      <c r="AD1000" s="404" t="e">
        <f aca="false">IF(ABS(t-ROUND(t,0))&lt;0.001,pos_x,NA())</f>
        <v>#N/A</v>
      </c>
      <c r="AE1000" s="405" t="e">
        <f aca="false">IF(t&lt;T_para, pos_z, NA())</f>
        <v>#N/A</v>
      </c>
      <c r="AG1000" s="396" t="n">
        <f aca="false">IF(AND(L999&lt;L_rampe,Poussee&lt;Poids*SIN(M999)),0,(-W999+Poussee)/m-Poids*SIN(M999)/m)</f>
        <v>2.40511155130046</v>
      </c>
      <c r="AH1000" s="397" t="n">
        <f aca="false">IF(AND(L999&lt;L_rampe,Poussee&lt;Poids*SIN(M999)), g*SIN(M999), (-W999+Poussee)/m)</f>
        <v>-7.35692525122188</v>
      </c>
    </row>
    <row r="1001" customFormat="false" ht="12.75" hidden="false" customHeight="false" outlineLevel="0" collapsed="false">
      <c r="A1001" s="396" t="n">
        <f aca="false">IF(B1000+0.01&lt;=T_ini+ROUNDUP(Temps_fin_propu,0), 0.01, IF(K1000&gt;0, 0.1, 0.0001))</f>
        <v>0.0001</v>
      </c>
      <c r="B1001" s="397" t="n">
        <f aca="false">B1000+pas</f>
        <v>32.1496000000018</v>
      </c>
      <c r="D1001" s="396" t="n">
        <f aca="false">IF(AND(L1000&lt;L_rampe,Poussee&lt;Poids*SIN(M1000)),0,(-W1000+Poussee)/m*COS(M1000)-U1000/m*SIN(M1000))</f>
        <v>-0.726604461485636</v>
      </c>
      <c r="E1001" s="398" t="n">
        <f aca="false">IF(AND(L1000&lt;L_rampe,Poussee&lt;Poids*SIN(M1000)),0,(-W1000+Poussee)/m*SIN(M1000)+U1000/m*COS(M1000)-Poids/m)</f>
        <v>-2.48900493003868</v>
      </c>
      <c r="F1001" s="397" t="n">
        <f aca="false">SQRT(acc_x^2+acc_z^2)</f>
        <v>2.59289405591661</v>
      </c>
      <c r="G1001" s="396" t="n">
        <f aca="false">G1000+acc_x*pas</f>
        <v>11.4612401853103</v>
      </c>
      <c r="H1001" s="398" t="n">
        <f aca="false">H1000+acc_z*pas</f>
        <v>-115.480154800748</v>
      </c>
      <c r="I1001" s="397" t="n">
        <f aca="false">SQRT(vit_x^2+vit_z^2)</f>
        <v>116.047516903164</v>
      </c>
      <c r="J1001" s="396" t="n">
        <f aca="false">J1000+0.5*(vit_x+G1000)*pas*(K1000&gt;=0)</f>
        <v>690.928492655337</v>
      </c>
      <c r="K1001" s="398" t="n">
        <f aca="false">K1000+0.5*(vit_z+H1000)*pas</f>
        <v>-14.3293508213849</v>
      </c>
      <c r="L1001" s="397" t="n">
        <f aca="false">SQRT(pos_x^2+pos_z^2)</f>
        <v>691.077066800757</v>
      </c>
      <c r="M1001" s="396" t="n">
        <f aca="false">IF(AND(L1000&gt;L_rampe,G1001&gt;0),ATAN2(G1001,H1001),$M$4)</f>
        <v>-1.4718717199822</v>
      </c>
      <c r="N1001" s="397" t="n">
        <f aca="false">DEGREES(Beta)</f>
        <v>-84.3320375396417</v>
      </c>
      <c r="P1001" s="399" t="n">
        <f aca="false">MATCH(t-pas/2-T_ini,CdP_t)</f>
        <v>23</v>
      </c>
      <c r="Q1001" s="397" t="n">
        <f aca="false">(INDEX(CdP,2,i_P+1)-INDEX(CdP,2,i_P+0))/(INDEX(CdP,1,i_P+1)-INDEX(CdP,1,i_P+0))*(t-pas/2-T_ini-INDEX(CdP,1,i_P+0))+INDEX(CdP,2,i_P+0)</f>
        <v>0</v>
      </c>
      <c r="R1001" s="396" t="n">
        <f aca="false">Poussee/(g*ISP)</f>
        <v>0</v>
      </c>
      <c r="S1001" s="398" t="n">
        <f aca="false">S1000-Débit*pas</f>
        <v>8.45</v>
      </c>
      <c r="T1001" s="397" t="n">
        <f aca="false">m*g</f>
        <v>82.8945</v>
      </c>
      <c r="U1001" s="400" t="n">
        <f aca="false">IF(pos_xz&lt;L_rampe,Poids*COS(Beta),0)</f>
        <v>0</v>
      </c>
      <c r="V1001" s="396" t="n">
        <f aca="false">Rho_moyen*(20000-Alt_rampe-pos_z)/(20000+Alt_rampe+pos_z)</f>
        <v>1.22675660402539</v>
      </c>
      <c r="W1001" s="397" t="n">
        <f aca="false">1/2*Rho*Sref*Cx*vit_xz^2</f>
        <v>62.1666773140009</v>
      </c>
      <c r="Y1001" s="408" t="str">
        <f aca="false">IF(AND(pos_z&lt;=0,K1000&gt;0),"Impact balistique","") &amp; IF(AND(H1002&lt;0,vit_z&gt;=0),"Apogée","") &amp; IF(AND(Poussee=0,Q1000&gt;0),"Fin de propulsion","") &amp; IF(AND(L1002&gt;L_rampe,pos_xz&lt;=L_rampe),"Sortie de rampe","")</f>
        <v/>
      </c>
      <c r="Z1001" s="402" t="str">
        <f aca="false">IF(ABS(t-T_para)&lt;pas/2,"Para","")</f>
        <v/>
      </c>
      <c r="AA1001" s="403" t="str">
        <f aca="false">IF(ABS(t-T_satellite)&lt;pas/2,"Satellite","")</f>
        <v/>
      </c>
      <c r="AC1001" s="399" t="e">
        <f aca="false">IF(ABS(t-ROUND(t,0))&lt;0.001,t,NA())</f>
        <v>#N/A</v>
      </c>
      <c r="AD1001" s="404" t="e">
        <f aca="false">IF(ABS(t-ROUND(t,0))&lt;0.001,pos_x,NA())</f>
        <v>#N/A</v>
      </c>
      <c r="AE1001" s="405" t="e">
        <f aca="false">IF(t&lt;T_para, pos_z, NA())</f>
        <v>#N/A</v>
      </c>
      <c r="AG1001" s="396" t="n">
        <f aca="false">IF(AND(L1000&lt;L_rampe,Poussee&lt;Poids*SIN(M1000)),0,(-W1000+Poussee)/m-Poids*SIN(M1000)/m)</f>
        <v>2.4050733694605</v>
      </c>
      <c r="AH1001" s="397" t="n">
        <f aca="false">IF(AND(L1000&lt;L_rampe,Poussee&lt;Poids*SIN(M1000)), g*SIN(M1000), (-W1000+Poussee)/m)</f>
        <v>-7.35696424198519</v>
      </c>
    </row>
    <row r="1002" customFormat="false" ht="12.75" hidden="false" customHeight="false" outlineLevel="0" collapsed="false">
      <c r="A1002" s="396" t="n">
        <f aca="false">IF(B1001+0.01&lt;=T_ini+ROUNDUP(Temps_fin_propu,0), 0.01, IF(K1001&gt;0, 0.1, 0.0001))</f>
        <v>0.0001</v>
      </c>
      <c r="B1002" s="397" t="n">
        <f aca="false">B1001+pas</f>
        <v>32.1497000000018</v>
      </c>
      <c r="D1002" s="396" t="n">
        <f aca="false">IF(AND(L1001&lt;L_rampe,Poussee&lt;Poids*SIN(M1001)),0,(-W1001+Poussee)/m*COS(M1001)-U1001/m*SIN(M1001))</f>
        <v>-0.726602200039326</v>
      </c>
      <c r="E1002" s="398" t="n">
        <f aca="false">IF(AND(L1001&lt;L_rampe,Poussee&lt;Poids*SIN(M1001)),0,(-W1001+Poussee)/m*SIN(M1001)+U1001/m*COS(M1001)-Poids/m)</f>
        <v>-2.48896552358707</v>
      </c>
      <c r="F1002" s="397" t="n">
        <f aca="false">SQRT(acc_x^2+acc_z^2)</f>
        <v>2.59285559464985</v>
      </c>
      <c r="G1002" s="396" t="n">
        <f aca="false">G1001+acc_x*pas</f>
        <v>11.4611675250903</v>
      </c>
      <c r="H1002" s="398" t="n">
        <f aca="false">H1001+acc_z*pas</f>
        <v>-115.480403697301</v>
      </c>
      <c r="I1002" s="397" t="n">
        <f aca="false">SQRT(vit_x^2+vit_z^2)</f>
        <v>116.047757406723</v>
      </c>
      <c r="J1002" s="396" t="n">
        <f aca="false">J1001+0.5*(vit_x+G1001)*pas*(K1001&gt;=0)</f>
        <v>690.928492655337</v>
      </c>
      <c r="K1002" s="398" t="n">
        <f aca="false">K1001+0.5*(vit_z+H1001)*pas</f>
        <v>-14.3408988493098</v>
      </c>
      <c r="L1002" s="397" t="n">
        <f aca="false">SQRT(pos_x^2+pos_z^2)</f>
        <v>691.077306343351</v>
      </c>
      <c r="M1002" s="396" t="n">
        <f aca="false">IF(AND(L1001&gt;L_rampe,G1002&gt;0),ATAN2(G1002,H1002),$M$4)</f>
        <v>-1.47187255486982</v>
      </c>
      <c r="N1002" s="397" t="n">
        <f aca="false">DEGREES(Beta)</f>
        <v>-84.3320853751782</v>
      </c>
      <c r="P1002" s="399" t="n">
        <f aca="false">MATCH(t-pas/2-T_ini,CdP_t)</f>
        <v>23</v>
      </c>
      <c r="Q1002" s="397" t="n">
        <f aca="false">(INDEX(CdP,2,i_P+1)-INDEX(CdP,2,i_P+0))/(INDEX(CdP,1,i_P+1)-INDEX(CdP,1,i_P+0))*(t-pas/2-T_ini-INDEX(CdP,1,i_P+0))+INDEX(CdP,2,i_P+0)</f>
        <v>0</v>
      </c>
      <c r="R1002" s="396" t="n">
        <f aca="false">Poussee/(g*ISP)</f>
        <v>0</v>
      </c>
      <c r="S1002" s="398" t="n">
        <f aca="false">S1001-Débit*pas</f>
        <v>8.45</v>
      </c>
      <c r="T1002" s="397" t="n">
        <f aca="false">m*g</f>
        <v>82.8945</v>
      </c>
      <c r="U1002" s="400" t="n">
        <f aca="false">IF(pos_xz&lt;L_rampe,Poids*COS(Beta),0)</f>
        <v>0</v>
      </c>
      <c r="V1002" s="396" t="n">
        <f aca="false">Rho_moyen*(20000-Alt_rampe-pos_z)/(20000+Alt_rampe+pos_z)</f>
        <v>1.22675802068888</v>
      </c>
      <c r="W1002" s="397" t="n">
        <f aca="false">1/2*Rho*Sref*Cx*vit_xz^2</f>
        <v>62.1670067805031</v>
      </c>
      <c r="Y1002" s="408" t="str">
        <f aca="false">IF(AND(pos_z&lt;=0,K1001&gt;0),"Impact balistique","") &amp; IF(AND(H1003&lt;0,vit_z&gt;=0),"Apogée","") &amp; IF(AND(Poussee=0,Q1001&gt;0),"Fin de propulsion","") &amp; IF(AND(L1003&gt;L_rampe,pos_xz&lt;=L_rampe),"Sortie de rampe","")</f>
        <v/>
      </c>
      <c r="Z1002" s="402" t="str">
        <f aca="false">IF(ABS(t-T_para)&lt;pas/2,"Para","")</f>
        <v/>
      </c>
      <c r="AA1002" s="403" t="str">
        <f aca="false">IF(ABS(t-T_satellite)&lt;pas/2,"Satellite","")</f>
        <v/>
      </c>
      <c r="AC1002" s="399" t="e">
        <f aca="false">IF(ABS(t-ROUND(t,0))&lt;0.001,t,NA())</f>
        <v>#N/A</v>
      </c>
      <c r="AD1002" s="404" t="e">
        <f aca="false">IF(ABS(t-ROUND(t,0))&lt;0.001,pos_x,NA())</f>
        <v>#N/A</v>
      </c>
      <c r="AE1002" s="405" t="e">
        <f aca="false">IF(t&lt;T_para, pos_z, NA())</f>
        <v>#N/A</v>
      </c>
      <c r="AG1002" s="396" t="n">
        <f aca="false">IF(AND(L1001&lt;L_rampe,Poussee&lt;Poids*SIN(M1001)),0,(-W1001+Poussee)/m-Poids*SIN(M1001)/m)</f>
        <v>2.40503518792762</v>
      </c>
      <c r="AH1002" s="397" t="n">
        <f aca="false">IF(AND(L1001&lt;L_rampe,Poussee&lt;Poids*SIN(M1001)), g*SIN(M1001), (-W1001+Poussee)/m)</f>
        <v>-7.35700323242615</v>
      </c>
    </row>
    <row r="1003" customFormat="false" ht="12.75" hidden="false" customHeight="false" outlineLevel="0" collapsed="false">
      <c r="A1003" s="396" t="n">
        <f aca="false">IF(B1002+0.01&lt;=T_ini+ROUNDUP(Temps_fin_propu,0), 0.01, IF(K1002&gt;0, 0.1, 0.0001))</f>
        <v>0.0001</v>
      </c>
      <c r="B1003" s="397" t="n">
        <f aca="false">B1002+pas</f>
        <v>32.1498000000018</v>
      </c>
      <c r="D1003" s="396" t="n">
        <f aca="false">IF(AND(L1002&lt;L_rampe,Poussee&lt;Poids*SIN(M1002)),0,(-W1002+Poussee)/m*COS(M1002)-U1002/m*SIN(M1002))</f>
        <v>-0.72659993855997</v>
      </c>
      <c r="E1003" s="398" t="n">
        <f aca="false">IF(AND(L1002&lt;L_rampe,Poussee&lt;Poids*SIN(M1002)),0,(-W1002+Poussee)/m*SIN(M1002)+U1002/m*COS(M1002)-Poids/m)</f>
        <v>-2.48892611746127</v>
      </c>
      <c r="F1003" s="397" t="n">
        <f aca="false">SQRT(acc_x^2+acc_z^2)</f>
        <v>2.59281713371695</v>
      </c>
      <c r="G1003" s="396" t="n">
        <f aca="false">G1002+acc_x*pas</f>
        <v>11.4610948650964</v>
      </c>
      <c r="H1003" s="398" t="n">
        <f aca="false">H1002+acc_z*pas</f>
        <v>-115.480652589912</v>
      </c>
      <c r="I1003" s="397" t="n">
        <f aca="false">SQRT(vit_x^2+vit_z^2)</f>
        <v>116.047997906465</v>
      </c>
      <c r="J1003" s="396" t="n">
        <f aca="false">J1002+0.5*(vit_x+G1002)*pas*(K1002&gt;=0)</f>
        <v>690.928492655337</v>
      </c>
      <c r="K1003" s="398" t="n">
        <f aca="false">K1002+0.5*(vit_z+H1002)*pas</f>
        <v>-14.3524469021241</v>
      </c>
      <c r="L1003" s="397" t="n">
        <f aca="false">SQRT(pos_x^2+pos_z^2)</f>
        <v>691.077546079349</v>
      </c>
      <c r="M1003" s="396" t="n">
        <f aca="false">IF(AND(L1002&gt;L_rampe,G1003&gt;0),ATAN2(G1003,H1003),$M$4)</f>
        <v>-1.47187338974867</v>
      </c>
      <c r="N1003" s="397" t="n">
        <f aca="false">DEGREES(Beta)</f>
        <v>-84.3321332102131</v>
      </c>
      <c r="P1003" s="399" t="n">
        <f aca="false">MATCH(t-pas/2-T_ini,CdP_t)</f>
        <v>23</v>
      </c>
      <c r="Q1003" s="397" t="n">
        <f aca="false">(INDEX(CdP,2,i_P+1)-INDEX(CdP,2,i_P+0))/(INDEX(CdP,1,i_P+1)-INDEX(CdP,1,i_P+0))*(t-pas/2-T_ini-INDEX(CdP,1,i_P+0))+INDEX(CdP,2,i_P+0)</f>
        <v>0</v>
      </c>
      <c r="R1003" s="396" t="n">
        <f aca="false">Poussee/(g*ISP)</f>
        <v>0</v>
      </c>
      <c r="S1003" s="398" t="n">
        <f aca="false">S1002-Débit*pas</f>
        <v>8.45</v>
      </c>
      <c r="T1003" s="397" t="n">
        <f aca="false">m*g</f>
        <v>82.8945</v>
      </c>
      <c r="U1003" s="400" t="n">
        <f aca="false">IF(pos_xz&lt;L_rampe,Poids*COS(Beta),0)</f>
        <v>0</v>
      </c>
      <c r="V1003" s="396" t="n">
        <f aca="false">Rho_moyen*(20000-Alt_rampe-pos_z)/(20000+Alt_rampe+pos_z)</f>
        <v>1.22675943735707</v>
      </c>
      <c r="W1003" s="397" t="n">
        <f aca="false">1/2*Rho*Sref*Cx*vit_xz^2</f>
        <v>62.1673362442813</v>
      </c>
      <c r="Y1003" s="408" t="str">
        <f aca="false">IF(AND(pos_z&lt;=0,K1002&gt;0),"Impact balistique","") &amp; IF(AND(H1004&lt;0,vit_z&gt;=0),"Apogée","") &amp; IF(AND(Poussee=0,Q1002&gt;0),"Fin de propulsion","") &amp; IF(AND(L1004&gt;L_rampe,pos_xz&lt;=L_rampe),"Sortie de rampe","")</f>
        <v/>
      </c>
      <c r="Z1003" s="402" t="str">
        <f aca="false">IF(ABS(t-T_para)&lt;pas/2,"Para","")</f>
        <v/>
      </c>
      <c r="AA1003" s="403" t="str">
        <f aca="false">IF(ABS(t-T_satellite)&lt;pas/2,"Satellite","")</f>
        <v/>
      </c>
      <c r="AC1003" s="399" t="e">
        <f aca="false">IF(ABS(t-ROUND(t,0))&lt;0.001,t,NA())</f>
        <v>#N/A</v>
      </c>
      <c r="AD1003" s="404" t="e">
        <f aca="false">IF(ABS(t-ROUND(t,0))&lt;0.001,pos_x,NA())</f>
        <v>#N/A</v>
      </c>
      <c r="AE1003" s="405" t="e">
        <f aca="false">IF(t&lt;T_para, pos_z, NA())</f>
        <v>#N/A</v>
      </c>
      <c r="AG1003" s="396" t="n">
        <f aca="false">IF(AND(L1002&lt;L_rampe,Poussee&lt;Poids*SIN(M1002)),0,(-W1002+Poussee)/m-Poids*SIN(M1002)/m)</f>
        <v>2.4049970067018</v>
      </c>
      <c r="AH1003" s="397" t="n">
        <f aca="false">IF(AND(L1002&lt;L_rampe,Poussee&lt;Poids*SIN(M1002)), g*SIN(M1002), (-W1002+Poussee)/m)</f>
        <v>-7.35704222254474</v>
      </c>
    </row>
    <row r="1004" customFormat="false" ht="12.75" hidden="false" customHeight="false" outlineLevel="0" collapsed="false">
      <c r="A1004" s="409" t="n">
        <f aca="false">IF(B1003+0.01&lt;=T_ini+ROUNDUP(Temps_fin_propu,0), 0.01, IF(K1003&gt;0, 0.1, 0.0001))</f>
        <v>0.0001</v>
      </c>
      <c r="B1004" s="410" t="n">
        <f aca="false">B1003+pas</f>
        <v>32.1499000000018</v>
      </c>
      <c r="D1004" s="409" t="n">
        <f aca="false">IF(AND(L1003&lt;L_rampe,Poussee&lt;Poids*SIN(M1003)),0,(-W1003+Poussee)/m*COS(M1003)-U1003/m*SIN(M1003))</f>
        <v>-0.72659767704757</v>
      </c>
      <c r="E1004" s="411" t="n">
        <f aca="false">IF(AND(L1003&lt;L_rampe,Poussee&lt;Poids*SIN(M1003)),0,(-W1003+Poussee)/m*SIN(M1003)+U1003/m*COS(M1003)-Poids/m)</f>
        <v>-2.48888671166128</v>
      </c>
      <c r="F1004" s="410" t="n">
        <f aca="false">SQRT(acc_x^2+acc_z^2)</f>
        <v>2.5927786731179</v>
      </c>
      <c r="G1004" s="409" t="n">
        <f aca="false">G1003+acc_x*pas</f>
        <v>11.4610222053287</v>
      </c>
      <c r="H1004" s="411" t="n">
        <f aca="false">H1003+acc_z*pas</f>
        <v>-115.480901478584</v>
      </c>
      <c r="I1004" s="410" t="n">
        <f aca="false">SQRT(vit_x^2+vit_z^2)</f>
        <v>116.048238402388</v>
      </c>
      <c r="J1004" s="409" t="n">
        <f aca="false">J1003+0.5*(vit_x+G1003)*pas*(K1003&gt;=0)</f>
        <v>690.928492655337</v>
      </c>
      <c r="K1004" s="411" t="n">
        <f aca="false">K1003+0.5*(vit_z+H1003)*pas</f>
        <v>-14.3639949798276</v>
      </c>
      <c r="L1004" s="410" t="n">
        <f aca="false">SQRT(pos_x^2+pos_z^2)</f>
        <v>691.07778600875</v>
      </c>
      <c r="M1004" s="409" t="n">
        <f aca="false">IF(AND(L1003&gt;L_rampe,G1004&gt;0),ATAN2(G1004,H1004),$M$4)</f>
        <v>-1.47187422461878</v>
      </c>
      <c r="N1004" s="410" t="n">
        <f aca="false">DEGREES(Beta)</f>
        <v>-84.3321810447466</v>
      </c>
      <c r="P1004" s="412" t="n">
        <f aca="false">MATCH(t-pas/2-T_ini,CdP_t)</f>
        <v>23</v>
      </c>
      <c r="Q1004" s="410" t="n">
        <f aca="false">(INDEX(CdP,2,i_P+1)-INDEX(CdP,2,i_P+0))/(INDEX(CdP,1,i_P+1)-INDEX(CdP,1,i_P+0))*(t-pas/2-T_ini-INDEX(CdP,1,i_P+0))+INDEX(CdP,2,i_P+0)</f>
        <v>0</v>
      </c>
      <c r="R1004" s="409" t="n">
        <f aca="false">Poussee/(g*ISP)</f>
        <v>0</v>
      </c>
      <c r="S1004" s="411" t="n">
        <f aca="false">S1003-Débit*pas</f>
        <v>8.45</v>
      </c>
      <c r="T1004" s="410" t="n">
        <f aca="false">m*g</f>
        <v>82.8945</v>
      </c>
      <c r="U1004" s="413" t="n">
        <f aca="false">IF(pos_xz&lt;L_rampe,Poids*COS(Beta),0)</f>
        <v>0</v>
      </c>
      <c r="V1004" s="409" t="n">
        <f aca="false">Rho_moyen*(20000-Alt_rampe-pos_z)/(20000+Alt_rampe+pos_z)</f>
        <v>1.22676085402995</v>
      </c>
      <c r="W1004" s="410" t="n">
        <f aca="false">1/2*Rho*Sref*Cx*vit_xz^2</f>
        <v>62.1676657053356</v>
      </c>
      <c r="Y1004" s="414" t="str">
        <f aca="false">IF(AND(pos_z&lt;=0,K1003&gt;0),"Impact balistique","") &amp; IF(AND(H1005&lt;0,vit_z&gt;=0),"Apogée","") &amp; IF(AND(Poussee=0,Q1003&gt;0),"Fin de propulsion","") &amp; IF(AND(L1005&gt;L_rampe,pos_xz&lt;=L_rampe),"Sortie de rampe","")</f>
        <v/>
      </c>
      <c r="Z1004" s="415" t="str">
        <f aca="false">IF(ABS(t-T_para)&lt;pas/2,"Para","")</f>
        <v/>
      </c>
      <c r="AA1004" s="416" t="str">
        <f aca="false">IF(ABS(t-T_satellite)&lt;pas/2,"Satellite","")</f>
        <v/>
      </c>
      <c r="AC1004" s="412" t="e">
        <f aca="false">IF(ABS(t-ROUND(t,0))&lt;0.001,t,NA())</f>
        <v>#N/A</v>
      </c>
      <c r="AD1004" s="417" t="e">
        <f aca="false">IF(ABS(t-ROUND(t,0))&lt;0.001,pos_x,NA())</f>
        <v>#N/A</v>
      </c>
      <c r="AE1004" s="418" t="e">
        <f aca="false">IF(t&lt;T_para, pos_z, NA())</f>
        <v>#N/A</v>
      </c>
      <c r="AG1004" s="409" t="n">
        <f aca="false">IF(AND(L1003&lt;L_rampe,Poussee&lt;Poids*SIN(M1003)),0,(-W1003+Poussee)/m-Poids*SIN(M1003)/m)</f>
        <v>2.40495882578306</v>
      </c>
      <c r="AH1004" s="410" t="n">
        <f aca="false">IF(AND(L1003&lt;L_rampe,Poussee&lt;Poids*SIN(M1003)), g*SIN(M1003), (-W1003+Poussee)/m)</f>
        <v>-7.35708121234098</v>
      </c>
    </row>
    <row r="1034" customFormat="false" ht="12.75" hidden="false" customHeight="false" outlineLevel="0" collapsed="false">
      <c r="E1034" s="419" t="s">
        <v>334</v>
      </c>
      <c r="J1034" s="420" t="s">
        <v>335</v>
      </c>
      <c r="T1034" s="419" t="s">
        <v>336</v>
      </c>
      <c r="Y1034" s="421" t="s">
        <v>337</v>
      </c>
    </row>
    <row r="1035" customFormat="false" ht="12.75" hidden="false" customHeight="false" outlineLevel="0" collapsed="false">
      <c r="E1035" s="422" t="s">
        <v>338</v>
      </c>
    </row>
    <row r="1036" customFormat="false" ht="12.75" hidden="false" customHeight="false" outlineLevel="0" collapsed="false">
      <c r="E1036" s="422"/>
      <c r="T1036" s="422" t="s">
        <v>339</v>
      </c>
    </row>
    <row r="1037" customFormat="false" ht="12.75" hidden="false" customHeight="false" outlineLevel="0" collapsed="false">
      <c r="E1037" s="422"/>
      <c r="T1037" s="422" t="s">
        <v>340</v>
      </c>
    </row>
    <row r="1038" customFormat="false" ht="12.75" hidden="false" customHeight="false" outlineLevel="0" collapsed="false">
      <c r="E1038" s="422"/>
      <c r="T1038" s="422" t="s">
        <v>341</v>
      </c>
    </row>
    <row r="1039" customFormat="false" ht="12.75" hidden="false" customHeight="false" outlineLevel="0" collapsed="false">
      <c r="E1039" s="422"/>
      <c r="T1039" s="422" t="s">
        <v>342</v>
      </c>
    </row>
    <row r="1040" customFormat="false" ht="12.75" hidden="false" customHeight="false" outlineLevel="0" collapsed="false">
      <c r="E1040" s="422" t="s">
        <v>343</v>
      </c>
      <c r="T1040" s="422" t="s">
        <v>344</v>
      </c>
    </row>
    <row r="1041" customFormat="false" ht="12.75" hidden="false" customHeight="false" outlineLevel="0" collapsed="false">
      <c r="E1041" s="422"/>
      <c r="T1041" s="422" t="s">
        <v>345</v>
      </c>
    </row>
    <row r="1042" customFormat="false" ht="12.75" hidden="false" customHeight="false" outlineLevel="0" collapsed="false">
      <c r="E1042" s="422"/>
      <c r="T1042" s="422"/>
    </row>
    <row r="1043" customFormat="false" ht="12.75" hidden="false" customHeight="false" outlineLevel="0" collapsed="false">
      <c r="E1043" s="422"/>
    </row>
    <row r="1044" customFormat="false" ht="12.75" hidden="false" customHeight="false" outlineLevel="0" collapsed="false">
      <c r="E1044" s="422"/>
    </row>
    <row r="1045" customFormat="false" ht="12.75" hidden="false" customHeight="false" outlineLevel="0" collapsed="false">
      <c r="E1045" s="422" t="s">
        <v>346</v>
      </c>
      <c r="T1045" s="422"/>
    </row>
    <row r="1046" customFormat="false" ht="12.75" hidden="false" customHeight="false" outlineLevel="0" collapsed="false">
      <c r="E1046" s="422"/>
    </row>
    <row r="1047" customFormat="false" ht="12.75" hidden="false" customHeight="false" outlineLevel="0" collapsed="false">
      <c r="E1047" s="422"/>
    </row>
    <row r="1048" customFormat="false" ht="12.75" hidden="false" customHeight="false" outlineLevel="0" collapsed="false">
      <c r="E1048" s="422"/>
      <c r="T1048" s="423" t="s">
        <v>347</v>
      </c>
    </row>
    <row r="1049" customFormat="false" ht="12.75" hidden="false" customHeight="false" outlineLevel="0" collapsed="false">
      <c r="E1049" s="422"/>
    </row>
    <row r="1050" customFormat="false" ht="12.75" hidden="false" customHeight="false" outlineLevel="0" collapsed="false">
      <c r="E1050" s="422" t="s">
        <v>348</v>
      </c>
    </row>
    <row r="1053" customFormat="false" ht="12.75" hidden="false" customHeight="false" outlineLevel="0" collapsed="false">
      <c r="T1053" s="423" t="s">
        <v>349</v>
      </c>
    </row>
    <row r="1055" customFormat="false" ht="12.75" hidden="false" customHeight="false" outlineLevel="0" collapsed="false">
      <c r="E1055" s="422" t="s">
        <v>350</v>
      </c>
    </row>
    <row r="1058" customFormat="false" ht="12.75" hidden="false" customHeight="false" outlineLevel="0" collapsed="false">
      <c r="T1058" s="422" t="s">
        <v>351</v>
      </c>
    </row>
    <row r="1060" customFormat="false" ht="12.75" hidden="false" customHeight="false" outlineLevel="0" collapsed="false">
      <c r="E1060" s="422" t="s">
        <v>352</v>
      </c>
    </row>
    <row r="1061" customFormat="false" ht="12.75" hidden="false" customHeight="false" outlineLevel="0" collapsed="false">
      <c r="E1061" s="422"/>
    </row>
    <row r="1062" customFormat="false" ht="12.75" hidden="false" customHeight="false" outlineLevel="0" collapsed="false">
      <c r="E1062" s="422"/>
    </row>
    <row r="1063" customFormat="false" ht="12.75" hidden="false" customHeight="false" outlineLevel="0" collapsed="false">
      <c r="E1063" s="422"/>
    </row>
    <row r="1064" customFormat="false" ht="12.75" hidden="false" customHeight="false" outlineLevel="0" collapsed="false">
      <c r="E1064" s="422"/>
    </row>
    <row r="1065" customFormat="false" ht="12.75" hidden="false" customHeight="false" outlineLevel="0" collapsed="false">
      <c r="E1065" s="422" t="s">
        <v>353</v>
      </c>
    </row>
    <row r="1066" customFormat="false" ht="12.75" hidden="false" customHeight="false" outlineLevel="0" collapsed="false">
      <c r="E1066" s="422"/>
    </row>
    <row r="1067" customFormat="false" ht="12.75" hidden="false" customHeight="false" outlineLevel="0" collapsed="false">
      <c r="E1067" s="422"/>
    </row>
    <row r="1068" customFormat="false" ht="12.75" hidden="false" customHeight="false" outlineLevel="0" collapsed="false">
      <c r="E1068" s="422"/>
    </row>
    <row r="1069" customFormat="false" ht="12.75" hidden="false" customHeight="false" outlineLevel="0" collapsed="false">
      <c r="E1069" s="422"/>
    </row>
    <row r="1070" customFormat="false" ht="12.75" hidden="false" customHeight="false" outlineLevel="0" collapsed="false">
      <c r="E1070" s="422" t="s">
        <v>354</v>
      </c>
    </row>
    <row r="1071" customFormat="false" ht="12.75" hidden="false" customHeight="false" outlineLevel="0" collapsed="false">
      <c r="E1071" s="422"/>
    </row>
    <row r="1072" customFormat="false" ht="12.75" hidden="false" customHeight="false" outlineLevel="0" collapsed="false">
      <c r="E1072" s="422"/>
    </row>
    <row r="1073" customFormat="false" ht="12.75" hidden="false" customHeight="false" outlineLevel="0" collapsed="false">
      <c r="E1073" s="422"/>
    </row>
    <row r="1074" customFormat="false" ht="12.75" hidden="false" customHeight="false" outlineLevel="0" collapsed="false">
      <c r="E1074" s="422"/>
    </row>
    <row r="1075" customFormat="false" ht="12.75" hidden="false" customHeight="false" outlineLevel="0" collapsed="false">
      <c r="E1075" s="422" t="s">
        <v>355</v>
      </c>
    </row>
  </sheetData>
  <sheetProtection sheet="true" password="c6ac"/>
  <mergeCells count="5">
    <mergeCell ref="D1:N1"/>
    <mergeCell ref="P1:W1"/>
    <mergeCell ref="AC1:AE1"/>
    <mergeCell ref="AG1:AH1"/>
    <mergeCell ref="Y2:AA2"/>
  </mergeCells>
  <conditionalFormatting sqref="A4:XFD1004">
    <cfRule type="expression" priority="2" aboveAverage="0" equalAverage="0" bottom="0" percent="0" rank="0" text="" dxfId="50">
      <formula>OR($Y4="Sortie de rampe",$Z4="Para")</formula>
    </cfRule>
    <cfRule type="expression" priority="3" aboveAverage="0" equalAverage="0" bottom="0" percent="0" rank="0" text="" dxfId="51">
      <formula>OR($Y4="Fin de propulsion",$Y4="Impact balistique",$AA4="Satellite")</formula>
    </cfRule>
    <cfRule type="expression" priority="4" aboveAverage="0" equalAverage="0" bottom="0" percent="0" rank="0" text="" dxfId="52">
      <formula>$Y4="Apogée"</formula>
    </cfRule>
  </conditionalFormatting>
  <hyperlinks>
    <hyperlink ref="J1034" r:id="rId1" display="Wikipedia"/>
    <hyperlink ref="Y1034" r:id="rId2" display="Le Vol de la Fusée"/>
  </hyperlinks>
  <printOptions headings="false" gridLines="false" gridLinesSet="true" horizontalCentered="false" verticalCentered="false"/>
  <pageMargins left="0.39375" right="0.39375" top="0.39375" bottom="0.39375" header="0.511811023622047" footer="0.511811023622047"/>
  <pageSetup paperSize="9" scale="100" fitToWidth="1" fitToHeight="5" pageOrder="downThenOver" orientation="portrait" blackAndWhite="false" draft="false" cellComments="non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79"/>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B80" activeCellId="0" sqref="B80"/>
    </sheetView>
  </sheetViews>
  <sheetFormatPr defaultColWidth="10.390625" defaultRowHeight="12.75" zeroHeight="false" outlineLevelRow="0" outlineLevelCol="0"/>
  <cols>
    <col collapsed="false" customWidth="true" hidden="false" outlineLevel="0" max="1" min="1" style="0" width="2.22"/>
    <col collapsed="false" customWidth="true" hidden="false" outlineLevel="0" max="2" min="2" style="0" width="16.22"/>
    <col collapsed="false" customWidth="true" hidden="false" outlineLevel="0" max="4" min="3" style="0" width="11.33"/>
  </cols>
  <sheetData>
    <row r="1" customFormat="false" ht="12.75" hidden="false" customHeight="false" outlineLevel="0" collapsed="false">
      <c r="A1" s="146"/>
      <c r="B1" s="147"/>
      <c r="C1" s="148"/>
      <c r="D1" s="147"/>
      <c r="E1" s="424"/>
      <c r="F1" s="424"/>
      <c r="G1" s="424"/>
      <c r="H1" s="424"/>
      <c r="I1" s="424"/>
      <c r="J1" s="424"/>
      <c r="K1" s="424"/>
      <c r="L1" s="424"/>
      <c r="M1" s="425"/>
    </row>
    <row r="2" customFormat="false" ht="12.75" hidden="false" customHeight="true" outlineLevel="0" collapsed="false">
      <c r="A2" s="151"/>
      <c r="B2" s="152"/>
      <c r="C2" s="153" t="s">
        <v>356</v>
      </c>
      <c r="D2" s="153"/>
      <c r="M2" s="426"/>
    </row>
    <row r="3" customFormat="false" ht="12.75" hidden="false" customHeight="true" outlineLevel="0" collapsed="false">
      <c r="A3" s="151"/>
      <c r="B3" s="152"/>
      <c r="C3" s="153"/>
      <c r="D3" s="153"/>
      <c r="M3" s="426"/>
    </row>
    <row r="4" customFormat="false" ht="12.75" hidden="false" customHeight="false" outlineLevel="0" collapsed="false">
      <c r="A4" s="151"/>
      <c r="B4" s="152"/>
      <c r="C4" s="158" t="str">
        <f aca="false">IF(Lang="Français","Abaques de performance",IF(Lang="English","Performance charts",""))</f>
        <v>Abaques de performance</v>
      </c>
      <c r="D4" s="158"/>
      <c r="M4" s="426"/>
    </row>
    <row r="5" customFormat="false" ht="12.75" hidden="false" customHeight="false" outlineLevel="0" collapsed="false">
      <c r="A5" s="151"/>
      <c r="B5" s="152"/>
      <c r="C5" s="158" t="str">
        <f aca="false">IF(Lang="Français","Calcul analytique simple",IF(Lang="English","Analytical computation",""))</f>
        <v>Calcul analytique simple</v>
      </c>
      <c r="D5" s="158"/>
      <c r="M5" s="426"/>
    </row>
    <row r="6" customFormat="false" ht="12.75" hidden="false" customHeight="false" outlineLevel="0" collapsed="false">
      <c r="A6" s="151"/>
      <c r="B6" s="17"/>
      <c r="C6" s="145"/>
      <c r="D6" s="145"/>
      <c r="M6" s="426"/>
    </row>
    <row r="7" customFormat="false" ht="12.75" hidden="false" customHeight="false" outlineLevel="0" collapsed="false">
      <c r="A7" s="165"/>
      <c r="B7" s="160"/>
      <c r="C7" s="161" t="str">
        <f aca="false">IF(Lang="Français","Fusée",IF(Lang="English","Rocket",""))</f>
        <v>Fusée</v>
      </c>
      <c r="D7" s="161"/>
      <c r="M7" s="426"/>
    </row>
    <row r="8" customFormat="false" ht="15" hidden="false" customHeight="false" outlineLevel="0" collapsed="false">
      <c r="A8" s="165"/>
      <c r="B8" s="163" t="str">
        <f aca="false">IF(Lang="Français","Nom",IF(Lang="English","Name",""))</f>
        <v>Nom</v>
      </c>
      <c r="C8" s="164" t="str">
        <f aca="false">Nom</f>
        <v>Hellfire</v>
      </c>
      <c r="D8" s="164"/>
      <c r="M8" s="426"/>
    </row>
    <row r="9" customFormat="false" ht="15" hidden="false" customHeight="false" outlineLevel="0" collapsed="false">
      <c r="A9" s="165"/>
      <c r="B9" s="163" t="s">
        <v>6</v>
      </c>
      <c r="C9" s="164" t="str">
        <f aca="false">Club</f>
        <v>Acelspace</v>
      </c>
      <c r="D9" s="164"/>
      <c r="M9" s="426"/>
    </row>
    <row r="10" customFormat="false" ht="12.75" hidden="false" customHeight="false" outlineLevel="0" collapsed="false">
      <c r="A10" s="165"/>
      <c r="B10" s="163" t="str">
        <f aca="false">IF(Lang="Français","Masse sans propu",IF(Lang="English","Mass without M",""))</f>
        <v>Masse sans propu</v>
      </c>
      <c r="C10" s="427" t="n">
        <f aca="false">MasseSans</f>
        <v>7.8</v>
      </c>
      <c r="D10" s="427"/>
      <c r="M10" s="426"/>
    </row>
    <row r="11" customFormat="false" ht="12.75" hidden="false" customHeight="false" outlineLevel="0" collapsed="false">
      <c r="A11" s="165"/>
      <c r="B11" s="163" t="str">
        <f aca="false">IF(Lang="Français","Masse totale",IF(Lang="English","Total mass",""))</f>
        <v>Masse totale</v>
      </c>
      <c r="C11" s="428" t="str">
        <f aca="false">MassePlein &amp; " kg ±" &amp; MasseSans &amp; " kg"</f>
        <v>9,432 kg ±7,8 kg</v>
      </c>
      <c r="D11" s="428"/>
      <c r="M11" s="426"/>
    </row>
    <row r="12" customFormat="false" ht="12.75" hidden="false" customHeight="false" outlineLevel="0" collapsed="false">
      <c r="A12" s="165"/>
      <c r="B12" s="167" t="str">
        <f aca="false">IF(Lang="Français","Propulseur",IF(Lang="English","Motor",""))</f>
        <v>Propulseur</v>
      </c>
      <c r="C12" s="168" t="str">
        <f aca="false">Propu</f>
        <v>Pro54-5G WT</v>
      </c>
      <c r="D12" s="168"/>
      <c r="M12" s="426"/>
    </row>
    <row r="13" customFormat="false" ht="12.75" hidden="false" customHeight="false" outlineLevel="0" collapsed="false">
      <c r="A13" s="165"/>
      <c r="B13" s="145"/>
      <c r="C13" s="145"/>
      <c r="D13" s="145"/>
      <c r="M13" s="426"/>
    </row>
    <row r="14" customFormat="false" ht="12.75" hidden="false" customHeight="false" outlineLevel="0" collapsed="false">
      <c r="A14" s="227"/>
      <c r="C14" s="161" t="str">
        <f aca="false">IF(Lang="Français","Traînée Aérdynamique",IF(Lang="English","Drag",""))</f>
        <v>Traînée Aérdynamique</v>
      </c>
      <c r="D14" s="161"/>
      <c r="M14" s="426"/>
    </row>
    <row r="15" customFormat="false" ht="12.75" hidden="false" customHeight="false" outlineLevel="0" collapsed="false">
      <c r="A15" s="227"/>
      <c r="B15" s="22" t="str">
        <f aca="false">IF(Lang="Français","Diamètre Ø",IF(Lang="English","Diameter Ø",""))</f>
        <v>Diamètre Ø</v>
      </c>
      <c r="C15" s="429" t="n">
        <f aca="false">D_ref</f>
        <v>100</v>
      </c>
      <c r="D15" s="429"/>
      <c r="M15" s="426"/>
    </row>
    <row r="16" customFormat="false" ht="12.75" hidden="false" customHeight="false" outlineLevel="0" collapsed="false">
      <c r="A16" s="227"/>
      <c r="B16" s="163" t="s">
        <v>159</v>
      </c>
      <c r="C16" s="430" t="n">
        <f aca="false">Cx</f>
        <v>0.85</v>
      </c>
      <c r="D16" s="430"/>
      <c r="M16" s="426"/>
    </row>
    <row r="17" customFormat="false" ht="12.75" hidden="false" customHeight="false" outlineLevel="0" collapsed="false">
      <c r="A17" s="227"/>
      <c r="M17" s="426"/>
    </row>
    <row r="18" customFormat="false" ht="12.75" hidden="false" customHeight="false" outlineLevel="0" collapsed="false">
      <c r="A18" s="227"/>
      <c r="M18" s="426"/>
    </row>
    <row r="19" customFormat="false" ht="12.75" hidden="false" customHeight="false" outlineLevel="0" collapsed="false">
      <c r="A19" s="227"/>
      <c r="M19" s="426"/>
    </row>
    <row r="20" customFormat="false" ht="12.75" hidden="false" customHeight="false" outlineLevel="0" collapsed="false">
      <c r="A20" s="227"/>
      <c r="M20" s="426"/>
    </row>
    <row r="21" customFormat="false" ht="12.75" hidden="false" customHeight="false" outlineLevel="0" collapsed="false">
      <c r="A21" s="227"/>
      <c r="M21" s="426"/>
    </row>
    <row r="22" customFormat="false" ht="12.75" hidden="false" customHeight="false" outlineLevel="0" collapsed="false">
      <c r="A22" s="227"/>
      <c r="M22" s="426"/>
    </row>
    <row r="23" customFormat="false" ht="12.75" hidden="false" customHeight="false" outlineLevel="0" collapsed="false">
      <c r="A23" s="227"/>
      <c r="M23" s="426"/>
    </row>
    <row r="24" customFormat="false" ht="12.75" hidden="false" customHeight="false" outlineLevel="0" collapsed="false">
      <c r="A24" s="227"/>
      <c r="M24" s="426"/>
    </row>
    <row r="25" customFormat="false" ht="12.75" hidden="false" customHeight="false" outlineLevel="0" collapsed="false">
      <c r="A25" s="227"/>
      <c r="M25" s="426"/>
    </row>
    <row r="26" customFormat="false" ht="12.75" hidden="false" customHeight="false" outlineLevel="0" collapsed="false">
      <c r="A26" s="227"/>
      <c r="M26" s="426"/>
    </row>
    <row r="27" customFormat="false" ht="12.75" hidden="false" customHeight="false" outlineLevel="0" collapsed="false">
      <c r="A27" s="227"/>
      <c r="M27" s="426"/>
    </row>
    <row r="28" customFormat="false" ht="12.75" hidden="false" customHeight="false" outlineLevel="0" collapsed="false">
      <c r="A28" s="227"/>
      <c r="M28" s="426"/>
    </row>
    <row r="29" customFormat="false" ht="12.75" hidden="false" customHeight="false" outlineLevel="0" collapsed="false">
      <c r="A29" s="227"/>
      <c r="M29" s="426"/>
    </row>
    <row r="30" customFormat="false" ht="12.75" hidden="false" customHeight="false" outlineLevel="0" collapsed="false">
      <c r="A30" s="227"/>
      <c r="M30" s="426"/>
    </row>
    <row r="31" customFormat="false" ht="12.75" hidden="false" customHeight="false" outlineLevel="0" collapsed="false">
      <c r="A31" s="227"/>
      <c r="M31" s="426"/>
    </row>
    <row r="32" customFormat="false" ht="12.75" hidden="false" customHeight="false" outlineLevel="0" collapsed="false">
      <c r="A32" s="227"/>
      <c r="M32" s="426"/>
    </row>
    <row r="33" customFormat="false" ht="12.75" hidden="false" customHeight="false" outlineLevel="0" collapsed="false">
      <c r="A33" s="227"/>
      <c r="M33" s="426"/>
    </row>
    <row r="34" customFormat="false" ht="12.75" hidden="false" customHeight="false" outlineLevel="0" collapsed="false">
      <c r="A34" s="227"/>
      <c r="M34" s="426"/>
    </row>
    <row r="35" customFormat="false" ht="13.5" hidden="false" customHeight="false" outlineLevel="0" collapsed="false">
      <c r="A35" s="431"/>
      <c r="B35" s="432"/>
      <c r="C35" s="432"/>
      <c r="D35" s="432"/>
      <c r="E35" s="432"/>
      <c r="F35" s="432"/>
      <c r="G35" s="432"/>
      <c r="H35" s="432"/>
      <c r="I35" s="432"/>
      <c r="J35" s="432"/>
      <c r="K35" s="432"/>
      <c r="L35" s="432"/>
      <c r="M35" s="433"/>
    </row>
    <row r="39" customFormat="false" ht="12.75" hidden="false" customHeight="false" outlineLevel="0" collapsed="false">
      <c r="B39" s="237" t="s">
        <v>220</v>
      </c>
      <c r="C39" s="236" t="s">
        <v>357</v>
      </c>
      <c r="D39" s="237" t="s">
        <v>358</v>
      </c>
      <c r="E39" s="237" t="s">
        <v>359</v>
      </c>
      <c r="F39" s="237" t="s">
        <v>360</v>
      </c>
      <c r="G39" s="237" t="s">
        <v>162</v>
      </c>
      <c r="H39" s="237" t="s">
        <v>361</v>
      </c>
      <c r="I39" s="237" t="s">
        <v>362</v>
      </c>
      <c r="J39" s="237" t="s">
        <v>363</v>
      </c>
      <c r="K39" s="237" t="s">
        <v>364</v>
      </c>
      <c r="L39" s="237" t="s">
        <v>365</v>
      </c>
      <c r="M39" s="237" t="s">
        <v>366</v>
      </c>
    </row>
    <row r="40" customFormat="false" ht="12.75" hidden="false" customHeight="false" outlineLevel="0" collapsed="false">
      <c r="B40" s="244" t="s">
        <v>367</v>
      </c>
      <c r="C40" s="236" t="s">
        <v>368</v>
      </c>
      <c r="D40" s="237" t="s">
        <v>369</v>
      </c>
      <c r="E40" s="237" t="s">
        <v>370</v>
      </c>
      <c r="F40" s="237" t="s">
        <v>371</v>
      </c>
      <c r="G40" s="237" t="s">
        <v>372</v>
      </c>
      <c r="H40" s="237" t="s">
        <v>373</v>
      </c>
      <c r="I40" s="237" t="s">
        <v>374</v>
      </c>
      <c r="J40" s="237" t="s">
        <v>375</v>
      </c>
      <c r="K40" s="237" t="s">
        <v>376</v>
      </c>
      <c r="L40" s="237"/>
      <c r="M40" s="237"/>
    </row>
    <row r="41" customFormat="false" ht="12.75" hidden="false" customHeight="false" outlineLevel="0" collapsed="false">
      <c r="B41" s="434" t="n">
        <f aca="false">MAX(D_ref*0.5, Diam_propu)</f>
        <v>54</v>
      </c>
      <c r="C41" s="435" t="n">
        <f aca="false">1/2*Rho_moyen*PI()*D_var^2/4*Cx/10^6</f>
        <v>0.00119234633127561</v>
      </c>
      <c r="D41" s="436" t="n">
        <f aca="false">MpropuPlein+0*MasseSans</f>
        <v>1.632</v>
      </c>
      <c r="E41" s="436" t="n">
        <f aca="false">m_var - 0.5*m_poudre</f>
        <v>1.141</v>
      </c>
      <c r="F41" s="436" t="n">
        <f aca="false">m_var - m_poudre</f>
        <v>0.65</v>
      </c>
      <c r="G41" s="437" t="n">
        <f aca="false">MAX(0, (I_total/Temps_fin_propu)/m_prop-g)</f>
        <v>1020.37141980719</v>
      </c>
      <c r="H41" s="438" t="n">
        <f aca="false">Q_var/m_prop</f>
        <v>0.00104500116676215</v>
      </c>
      <c r="I41" s="435" t="n">
        <f aca="false">Q_var/m_bal</f>
        <v>0.00183437897119325</v>
      </c>
      <c r="J41" s="435" t="n">
        <f aca="false">1/(2*b_prop)*LN(  ((EXP(2*SQRT(a_prop*b_prop)*Temps_fin_propu)+1)^2)  /  (((1+1)^2)*EXP(2*SQRT(a_prop*b_prop)*Temps_fin_propu)))</f>
        <v>1044.71439076782</v>
      </c>
      <c r="K41" s="439" t="n">
        <f aca="false">SQRT(a_prop/b_prop)  *  (EXP(2*SQRT(a_prop*b_prop)*Temps_fin_propu)-1)/(EXP(2*SQRT(a_prop*b_prop)*Temps_fin_propu)+1)</f>
        <v>930.82458067741</v>
      </c>
      <c r="L41" s="440" t="n">
        <f aca="false">alt_prop + 1/(2*b_bal) * LN(1+b_bal/g*V_prop^2)</f>
        <v>2433.15251751396</v>
      </c>
      <c r="M41" s="441" t="n">
        <f aca="false">Temps_fin_propu + ATAN(SQRT(b_bal/g)*V_prop)/SQRT(b_bal*g)</f>
        <v>12.8251109882247</v>
      </c>
    </row>
    <row r="42" customFormat="false" ht="12.75" hidden="false" customHeight="false" outlineLevel="0" collapsed="false">
      <c r="B42" s="442" t="n">
        <f aca="false">MAX(D_ref*0.5, Diam_propu)</f>
        <v>54</v>
      </c>
      <c r="C42" s="443" t="n">
        <f aca="false">1/2*Rho_moyen*PI()*D_var^2/4*Cx/10^6</f>
        <v>0.00119234633127561</v>
      </c>
      <c r="D42" s="444" t="n">
        <f aca="false">MpropuPlein+0.25*MasseSans</f>
        <v>3.582</v>
      </c>
      <c r="E42" s="444" t="n">
        <f aca="false">m_var - 0.5*m_poudre</f>
        <v>3.091</v>
      </c>
      <c r="F42" s="444" t="n">
        <f aca="false">m_var - m_poudre</f>
        <v>2.6</v>
      </c>
      <c r="G42" s="445" t="n">
        <f aca="false">MAX(0, (I_total/Temps_fin_propu)/m_prop-g)</f>
        <v>370.467256551278</v>
      </c>
      <c r="H42" s="443" t="n">
        <f aca="false">Q_var/m_prop</f>
        <v>0.000385747761655002</v>
      </c>
      <c r="I42" s="443" t="n">
        <f aca="false">Q_var/m_bal</f>
        <v>0.000458594742798312</v>
      </c>
      <c r="J42" s="443" t="n">
        <f aca="false">1/(2*b_prop)*LN(  ((EXP(2*SQRT(a_prop*b_prop)*Temps_fin_propu)+1)^2)  /  (((1+1)^2)*EXP(2*SQRT(a_prop*b_prop)*Temps_fin_propu)))</f>
        <v>502.086124608139</v>
      </c>
      <c r="K42" s="446" t="n">
        <f aca="false">SQRT(a_prop/b_prop)  *  (EXP(2*SQRT(a_prop*b_prop)*Temps_fin_propu)-1)/(EXP(2*SQRT(a_prop*b_prop)*Temps_fin_propu)+1)</f>
        <v>555.364529325985</v>
      </c>
      <c r="L42" s="447" t="n">
        <f aca="false">alt_prop + 1/(2*b_bal) * LN(1+b_bal/g*V_prop^2)</f>
        <v>3484.63234346392</v>
      </c>
      <c r="M42" s="448" t="n">
        <f aca="false">Temps_fin_propu + ATAN(SQRT(b_bal/g)*V_prop)/SQRT(b_bal*g)</f>
        <v>21.2799230391538</v>
      </c>
    </row>
    <row r="43" customFormat="false" ht="12.75" hidden="false" customHeight="false" outlineLevel="0" collapsed="false">
      <c r="B43" s="442" t="n">
        <f aca="false">MAX(D_ref*0.5, Diam_propu)</f>
        <v>54</v>
      </c>
      <c r="C43" s="443" t="n">
        <f aca="false">1/2*Rho_moyen*PI()*D_var^2/4*Cx/10^6</f>
        <v>0.00119234633127561</v>
      </c>
      <c r="D43" s="444" t="n">
        <f aca="false">MpropuPlein+0.5*MasseSans</f>
        <v>5.532</v>
      </c>
      <c r="E43" s="444" t="n">
        <f aca="false">m_var - 0.5*m_poudre</f>
        <v>5.041</v>
      </c>
      <c r="F43" s="444" t="n">
        <f aca="false">m_var - m_poudre</f>
        <v>4.55</v>
      </c>
      <c r="G43" s="445" t="n">
        <f aca="false">MAX(0, (I_total/Temps_fin_propu)/m_prop-g)</f>
        <v>223.365362031343</v>
      </c>
      <c r="H43" s="443" t="n">
        <f aca="false">Q_var/m_prop</f>
        <v>0.000236529722530373</v>
      </c>
      <c r="I43" s="443" t="n">
        <f aca="false">Q_var/m_bal</f>
        <v>0.000262054138741893</v>
      </c>
      <c r="J43" s="443" t="n">
        <f aca="false">1/(2*b_prop)*LN(  ((EXP(2*SQRT(a_prop*b_prop)*Temps_fin_propu)+1)^2)  /  (((1+1)^2)*EXP(2*SQRT(a_prop*b_prop)*Temps_fin_propu)))</f>
        <v>314.869035536517</v>
      </c>
      <c r="K43" s="446" t="n">
        <f aca="false">SQRT(a_prop/b_prop)  *  (EXP(2*SQRT(a_prop*b_prop)*Temps_fin_propu)-1)/(EXP(2*SQRT(a_prop*b_prop)*Temps_fin_propu)+1)</f>
        <v>361.506706159126</v>
      </c>
      <c r="L43" s="447" t="n">
        <f aca="false">alt_prop + 1/(2*b_bal) * LN(1+b_bal/g*V_prop^2)</f>
        <v>3180.849595039</v>
      </c>
      <c r="M43" s="448" t="n">
        <f aca="false">Temps_fin_propu + ATAN(SQRT(b_bal/g)*V_prop)/SQRT(b_bal*g)</f>
        <v>22.9884767176161</v>
      </c>
    </row>
    <row r="44" customFormat="false" ht="12.75" hidden="false" customHeight="false" outlineLevel="0" collapsed="false">
      <c r="B44" s="442" t="n">
        <f aca="false">MAX(D_ref*0.5, Diam_propu)</f>
        <v>54</v>
      </c>
      <c r="C44" s="443" t="n">
        <f aca="false">1/2*Rho_moyen*PI()*D_var^2/4*Cx/10^6</f>
        <v>0.00119234633127561</v>
      </c>
      <c r="D44" s="444" t="n">
        <f aca="false">MpropuPlein+0.75*MasseSans</f>
        <v>7.482</v>
      </c>
      <c r="E44" s="444" t="n">
        <f aca="false">m_var - 0.5*m_poudre</f>
        <v>6.991</v>
      </c>
      <c r="F44" s="444" t="n">
        <f aca="false">m_var - m_poudre</f>
        <v>6.5</v>
      </c>
      <c r="G44" s="445" t="n">
        <f aca="false">MAX(0, (I_total/Temps_fin_propu)/m_prop-g)</f>
        <v>158.32574595909</v>
      </c>
      <c r="H44" s="443" t="n">
        <f aca="false">Q_var/m_prop</f>
        <v>0.000170554474506596</v>
      </c>
      <c r="I44" s="443" t="n">
        <f aca="false">Q_var/m_bal</f>
        <v>0.000183437897119325</v>
      </c>
      <c r="J44" s="443" t="n">
        <f aca="false">1/(2*b_prop)*LN(  ((EXP(2*SQRT(a_prop*b_prop)*Temps_fin_propu)+1)^2)  /  (((1+1)^2)*EXP(2*SQRT(a_prop*b_prop)*Temps_fin_propu)))</f>
        <v>225.865554719212</v>
      </c>
      <c r="K44" s="446" t="n">
        <f aca="false">SQRT(a_prop/b_prop)  *  (EXP(2*SQRT(a_prop*b_prop)*Temps_fin_propu)-1)/(EXP(2*SQRT(a_prop*b_prop)*Temps_fin_propu)+1)</f>
        <v>262.364122894646</v>
      </c>
      <c r="L44" s="447" t="n">
        <f aca="false">alt_prop + 1/(2*b_bal) * LN(1+b_bal/g*V_prop^2)</f>
        <v>2480.8691283882</v>
      </c>
      <c r="M44" s="448" t="n">
        <f aca="false">Temps_fin_propu + ATAN(SQRT(b_bal/g)*V_prop)/SQRT(b_bal*g)</f>
        <v>21.6981711340561</v>
      </c>
    </row>
    <row r="45" customFormat="false" ht="12.75" hidden="false" customHeight="false" outlineLevel="0" collapsed="false">
      <c r="B45" s="442" t="n">
        <f aca="false">MAX(D_ref*0.5, Diam_propu)</f>
        <v>54</v>
      </c>
      <c r="C45" s="443" t="n">
        <f aca="false">1/2*Rho_moyen*PI()*D_var^2/4*Cx/10^6</f>
        <v>0.00119234633127561</v>
      </c>
      <c r="D45" s="444" t="n">
        <f aca="false">MpropuPlein+1*MasseSans</f>
        <v>9.432</v>
      </c>
      <c r="E45" s="444" t="n">
        <f aca="false">m_var - 0.5*m_poudre</f>
        <v>8.941</v>
      </c>
      <c r="F45" s="444" t="n">
        <f aca="false">m_var - m_poudre</f>
        <v>8.45</v>
      </c>
      <c r="G45" s="445" t="n">
        <f aca="false">MAX(0, (I_total/Temps_fin_propu)/m_prop-g)</f>
        <v>121.655943406778</v>
      </c>
      <c r="H45" s="443" t="n">
        <f aca="false">Q_var/m_prop</f>
        <v>0.000133357155941797</v>
      </c>
      <c r="I45" s="443" t="n">
        <f aca="false">Q_var/m_bal</f>
        <v>0.000141106074707173</v>
      </c>
      <c r="J45" s="443" t="n">
        <f aca="false">1/(2*b_prop)*LN(  ((EXP(2*SQRT(a_prop*b_prop)*Temps_fin_propu)+1)^2)  /  (((1+1)^2)*EXP(2*SQRT(a_prop*b_prop)*Temps_fin_propu)))</f>
        <v>174.436055596309</v>
      </c>
      <c r="K45" s="446" t="n">
        <f aca="false">SQRT(a_prop/b_prop)  *  (EXP(2*SQRT(a_prop*b_prop)*Temps_fin_propu)-1)/(EXP(2*SQRT(a_prop*b_prop)*Temps_fin_propu)+1)</f>
        <v>203.642318375903</v>
      </c>
      <c r="L45" s="447" t="n">
        <f aca="false">alt_prop + 1/(2*b_bal) * LN(1+b_bal/g*V_prop^2)</f>
        <v>1832.11001004812</v>
      </c>
      <c r="M45" s="448" t="n">
        <f aca="false">Temps_fin_propu + ATAN(SQRT(b_bal/g)*V_prop)/SQRT(b_bal*g)</f>
        <v>19.3759716867269</v>
      </c>
    </row>
    <row r="46" customFormat="false" ht="12.75" hidden="false" customHeight="false" outlineLevel="0" collapsed="false">
      <c r="B46" s="442" t="n">
        <f aca="false">MAX(D_ref*0.5, Diam_propu)</f>
        <v>54</v>
      </c>
      <c r="C46" s="443" t="n">
        <f aca="false">1/2*Rho_moyen*PI()*D_var^2/4*Cx/10^6</f>
        <v>0.00119234633127561</v>
      </c>
      <c r="D46" s="444" t="n">
        <f aca="false">MpropuPlein+1.25*MasseSans</f>
        <v>11.382</v>
      </c>
      <c r="E46" s="444" t="n">
        <f aca="false">m_var - 0.5*m_poudre</f>
        <v>10.891</v>
      </c>
      <c r="F46" s="444" t="n">
        <f aca="false">m_var - m_poudre</f>
        <v>10.4</v>
      </c>
      <c r="G46" s="445" t="n">
        <f aca="false">MAX(0, (I_total/Temps_fin_propu)/m_prop-g)</f>
        <v>98.1173712239464</v>
      </c>
      <c r="H46" s="443" t="n">
        <f aca="false">Q_var/m_prop</f>
        <v>0.000109479967980499</v>
      </c>
      <c r="I46" s="443" t="n">
        <f aca="false">Q_var/m_bal</f>
        <v>0.000114648685699578</v>
      </c>
      <c r="J46" s="443" t="n">
        <f aca="false">1/(2*b_prop)*LN(  ((EXP(2*SQRT(a_prop*b_prop)*Temps_fin_propu)+1)^2)  /  (((1+1)^2)*EXP(2*SQRT(a_prop*b_prop)*Temps_fin_propu)))</f>
        <v>141.052048648071</v>
      </c>
      <c r="K46" s="446" t="n">
        <f aca="false">SQRT(a_prop/b_prop)  *  (EXP(2*SQRT(a_prop*b_prop)*Temps_fin_propu)-1)/(EXP(2*SQRT(a_prop*b_prop)*Temps_fin_propu)+1)</f>
        <v>165.094654009021</v>
      </c>
      <c r="L46" s="447" t="n">
        <f aca="false">alt_prop + 1/(2*b_bal) * LN(1+b_bal/g*V_prop^2)</f>
        <v>1347.02419078856</v>
      </c>
      <c r="M46" s="448" t="n">
        <f aca="false">Temps_fin_propu + ATAN(SQRT(b_bal/g)*V_prop)/SQRT(b_bal*g)</f>
        <v>17.0214009596573</v>
      </c>
    </row>
    <row r="47" customFormat="false" ht="12.75" hidden="false" customHeight="false" outlineLevel="0" collapsed="false">
      <c r="B47" s="442" t="n">
        <f aca="false">MAX(D_ref*0.5, Diam_propu)</f>
        <v>54</v>
      </c>
      <c r="C47" s="443" t="n">
        <f aca="false">1/2*Rho_moyen*PI()*D_var^2/4*Cx/10^6</f>
        <v>0.00119234633127561</v>
      </c>
      <c r="D47" s="444" t="n">
        <f aca="false">MpropuPlein+1.5*MasseSans</f>
        <v>13.332</v>
      </c>
      <c r="E47" s="444" t="n">
        <f aca="false">m_var - 0.5*m_poudre</f>
        <v>12.841</v>
      </c>
      <c r="F47" s="444" t="n">
        <f aca="false">m_var - m_poudre</f>
        <v>12.35</v>
      </c>
      <c r="G47" s="445" t="n">
        <f aca="false">MAX(0, (I_total/Temps_fin_propu)/m_prop-g)</f>
        <v>81.7278085818861</v>
      </c>
      <c r="H47" s="443" t="n">
        <f aca="false">Q_var/m_prop</f>
        <v>9.28546321373422E-005</v>
      </c>
      <c r="I47" s="443" t="n">
        <f aca="false">Q_var/m_bal</f>
        <v>9.65462616417499E-005</v>
      </c>
      <c r="J47" s="443" t="n">
        <f aca="false">1/(2*b_prop)*LN(  ((EXP(2*SQRT(a_prop*b_prop)*Temps_fin_propu)+1)^2)  /  (((1+1)^2)*EXP(2*SQRT(a_prop*b_prop)*Temps_fin_propu)))</f>
        <v>117.66751552209</v>
      </c>
      <c r="K47" s="446" t="n">
        <f aca="false">SQRT(a_prop/b_prop)  *  (EXP(2*SQRT(a_prop*b_prop)*Temps_fin_propu)-1)/(EXP(2*SQRT(a_prop*b_prop)*Temps_fin_propu)+1)</f>
        <v>137.930398836715</v>
      </c>
      <c r="L47" s="447" t="n">
        <f aca="false">alt_prop + 1/(2*b_bal) * LN(1+b_bal/g*V_prop^2)</f>
        <v>1006.49974319547</v>
      </c>
      <c r="M47" s="448" t="n">
        <f aca="false">Temps_fin_propu + ATAN(SQRT(b_bal/g)*V_prop)/SQRT(b_bal*g)</f>
        <v>14.9697280376081</v>
      </c>
    </row>
    <row r="48" customFormat="false" ht="12.75" hidden="false" customHeight="false" outlineLevel="0" collapsed="false">
      <c r="B48" s="442" t="n">
        <f aca="false">MAX(D_ref*0.5, Diam_propu)</f>
        <v>54</v>
      </c>
      <c r="C48" s="443" t="n">
        <f aca="false">1/2*Rho_moyen*PI()*D_var^2/4*Cx/10^6</f>
        <v>0.00119234633127561</v>
      </c>
      <c r="D48" s="444" t="n">
        <f aca="false">MpropuPlein+1.75*MasseSans</f>
        <v>15.282</v>
      </c>
      <c r="E48" s="444" t="n">
        <f aca="false">m_var - 0.5*m_poudre</f>
        <v>14.791</v>
      </c>
      <c r="F48" s="444" t="n">
        <f aca="false">m_var - m_poudre</f>
        <v>14.3</v>
      </c>
      <c r="G48" s="445" t="n">
        <f aca="false">MAX(0, (I_total/Temps_fin_propu)/m_prop-g)</f>
        <v>69.6597451152728</v>
      </c>
      <c r="H48" s="443" t="n">
        <f aca="false">Q_var/m_prop</f>
        <v>8.06129626986418E-005</v>
      </c>
      <c r="I48" s="443" t="n">
        <f aca="false">Q_var/m_bal</f>
        <v>8.33808623269658E-005</v>
      </c>
      <c r="J48" s="443" t="n">
        <f aca="false">1/(2*b_prop)*LN(  ((EXP(2*SQRT(a_prop*b_prop)*Temps_fin_propu)+1)^2)  /  (((1+1)^2)*EXP(2*SQRT(a_prop*b_prop)*Temps_fin_propu)))</f>
        <v>100.387244638326</v>
      </c>
      <c r="K48" s="446" t="n">
        <f aca="false">SQRT(a_prop/b_prop)  *  (EXP(2*SQRT(a_prop*b_prop)*Temps_fin_propu)-1)/(EXP(2*SQRT(a_prop*b_prop)*Temps_fin_propu)+1)</f>
        <v>117.785087427997</v>
      </c>
      <c r="L48" s="447" t="n">
        <f aca="false">alt_prop + 1/(2*b_bal) * LN(1+b_bal/g*V_prop^2)</f>
        <v>768.811092959007</v>
      </c>
      <c r="M48" s="448" t="n">
        <f aca="false">Temps_fin_propu + ATAN(SQRT(b_bal/g)*V_prop)/SQRT(b_bal*g)</f>
        <v>13.2655166303664</v>
      </c>
    </row>
    <row r="49" customFormat="false" ht="12.75" hidden="false" customHeight="false" outlineLevel="0" collapsed="false">
      <c r="B49" s="449" t="n">
        <f aca="false">MAX(D_ref*0.5, Diam_propu)</f>
        <v>54</v>
      </c>
      <c r="C49" s="450" t="n">
        <f aca="false">1/2*Rho_moyen*PI()*D_var^2/4*Cx/10^6</f>
        <v>0.00119234633127561</v>
      </c>
      <c r="D49" s="451" t="n">
        <f aca="false">MpropuPlein+2*MasseSans</f>
        <v>17.232</v>
      </c>
      <c r="E49" s="451" t="n">
        <f aca="false">m_var - 0.5*m_poudre</f>
        <v>16.741</v>
      </c>
      <c r="F49" s="451" t="n">
        <f aca="false">m_var - m_poudre</f>
        <v>16.25</v>
      </c>
      <c r="G49" s="452" t="n">
        <f aca="false">MAX(0, (I_total/Temps_fin_propu)/m_prop-g)</f>
        <v>60.4030697090974</v>
      </c>
      <c r="H49" s="450" t="n">
        <f aca="false">Q_var/m_prop</f>
        <v>7.12231247401954E-005</v>
      </c>
      <c r="I49" s="450" t="n">
        <f aca="false">Q_var/m_bal</f>
        <v>7.33751588477299E-005</v>
      </c>
      <c r="J49" s="450" t="n">
        <f aca="false">1/(2*b_prop)*LN(  ((EXP(2*SQRT(a_prop*b_prop)*Temps_fin_propu)+1)^2)  /  (((1+1)^2)*EXP(2*SQRT(a_prop*b_prop)*Temps_fin_propu)))</f>
        <v>87.102168565614</v>
      </c>
      <c r="K49" s="453" t="n">
        <f aca="false">SQRT(a_prop/b_prop)  *  (EXP(2*SQRT(a_prop*b_prop)*Temps_fin_propu)-1)/(EXP(2*SQRT(a_prop*b_prop)*Temps_fin_propu)+1)</f>
        <v>102.26176065335</v>
      </c>
      <c r="L49" s="454" t="n">
        <f aca="false">alt_prop + 1/(2*b_bal) * LN(1+b_bal/g*V_prop^2)</f>
        <v>600.284409751177</v>
      </c>
      <c r="M49" s="455" t="n">
        <f aca="false">Temps_fin_propu + ATAN(SQRT(b_bal/g)*V_prop)/SQRT(b_bal*g)</f>
        <v>11.8645323176843</v>
      </c>
    </row>
    <row r="50" customFormat="false" ht="12.75" hidden="false" customHeight="false" outlineLevel="0" collapsed="false">
      <c r="B50" s="434" t="n">
        <f aca="false">D_ref</f>
        <v>100</v>
      </c>
      <c r="C50" s="435" t="n">
        <f aca="false">1/2*Rho_moyen*PI()*D_var^2/4*Cx/10^6</f>
        <v>0.00408897918818797</v>
      </c>
      <c r="D50" s="436" t="n">
        <f aca="false">MpropuPlein+0*MasseSans</f>
        <v>1.632</v>
      </c>
      <c r="E50" s="436" t="n">
        <f aca="false">m_var - 0.5*m_poudre</f>
        <v>1.141</v>
      </c>
      <c r="F50" s="436" t="n">
        <f aca="false">m_var - m_poudre</f>
        <v>0.65</v>
      </c>
      <c r="G50" s="437" t="n">
        <f aca="false">MAX(0, (I_total/Temps_fin_propu)/m_prop-g)</f>
        <v>1020.37141980719</v>
      </c>
      <c r="H50" s="435" t="n">
        <f aca="false">Q_var/m_prop</f>
        <v>0.00358368027010339</v>
      </c>
      <c r="I50" s="435" t="n">
        <f aca="false">Q_var/m_bal</f>
        <v>0.00629073721259687</v>
      </c>
      <c r="J50" s="435" t="n">
        <f aca="false">1/(2*b_prop)*LN(  ((EXP(2*SQRT(a_prop*b_prop)*Temps_fin_propu)+1)^2)  /  (((1+1)^2)*EXP(2*SQRT(a_prop*b_prop)*Temps_fin_propu)))</f>
        <v>714.118100237185</v>
      </c>
      <c r="K50" s="439" t="n">
        <f aca="false">SQRT(a_prop/b_prop)  *  (EXP(2*SQRT(a_prop*b_prop)*Temps_fin_propu)-1)/(EXP(2*SQRT(a_prop*b_prop)*Temps_fin_propu)+1)</f>
        <v>531.998954360462</v>
      </c>
      <c r="L50" s="440" t="n">
        <f aca="false">alt_prop + 1/(2*b_bal) * LN(1+b_bal/g*V_prop^2)</f>
        <v>1127.95660521648</v>
      </c>
      <c r="M50" s="441" t="n">
        <f aca="false">Temps_fin_propu + ATAN(SQRT(b_bal/g)*V_prop)/SQRT(b_bal*g)</f>
        <v>7.72490838188493</v>
      </c>
    </row>
    <row r="51" customFormat="false" ht="12.75" hidden="false" customHeight="false" outlineLevel="0" collapsed="false">
      <c r="B51" s="442" t="n">
        <f aca="false">D_ref</f>
        <v>100</v>
      </c>
      <c r="C51" s="443" t="n">
        <f aca="false">1/2*Rho_moyen*PI()*D_var^2/4*Cx/10^6</f>
        <v>0.00408897918818797</v>
      </c>
      <c r="D51" s="444" t="n">
        <f aca="false">MpropuPlein+0.25*MasseSans</f>
        <v>3.582</v>
      </c>
      <c r="E51" s="444" t="n">
        <f aca="false">m_var - 0.5*m_poudre</f>
        <v>3.091</v>
      </c>
      <c r="F51" s="444" t="n">
        <f aca="false">m_var - m_poudre</f>
        <v>2.6</v>
      </c>
      <c r="G51" s="445" t="n">
        <f aca="false">MAX(0, (I_total/Temps_fin_propu)/m_prop-g)</f>
        <v>370.467256551278</v>
      </c>
      <c r="H51" s="443" t="n">
        <f aca="false">Q_var/m_prop</f>
        <v>0.00132286612364541</v>
      </c>
      <c r="I51" s="443" t="n">
        <f aca="false">Q_var/m_bal</f>
        <v>0.00157268430314922</v>
      </c>
      <c r="J51" s="443" t="n">
        <f aca="false">1/(2*b_prop)*LN(  ((EXP(2*SQRT(a_prop*b_prop)*Temps_fin_propu)+1)^2)  /  (((1+1)^2)*EXP(2*SQRT(a_prop*b_prop)*Temps_fin_propu)))</f>
        <v>442.559534650919</v>
      </c>
      <c r="K51" s="446" t="n">
        <f aca="false">SQRT(a_prop/b_prop)  *  (EXP(2*SQRT(a_prop*b_prop)*Temps_fin_propu)-1)/(EXP(2*SQRT(a_prop*b_prop)*Temps_fin_propu)+1)</f>
        <v>439.555093520236</v>
      </c>
      <c r="L51" s="447" t="n">
        <f aca="false">alt_prop + 1/(2*b_bal) * LN(1+b_bal/g*V_prop^2)</f>
        <v>1544.15610733488</v>
      </c>
      <c r="M51" s="448" t="n">
        <f aca="false">Temps_fin_propu + ATAN(SQRT(b_bal/g)*V_prop)/SQRT(b_bal*g)</f>
        <v>12.9150165536945</v>
      </c>
    </row>
    <row r="52" customFormat="false" ht="12.75" hidden="false" customHeight="false" outlineLevel="0" collapsed="false">
      <c r="B52" s="442" t="n">
        <f aca="false">D_ref</f>
        <v>100</v>
      </c>
      <c r="C52" s="443" t="n">
        <f aca="false">1/2*Rho_moyen*PI()*D_var^2/4*Cx/10^6</f>
        <v>0.00408897918818797</v>
      </c>
      <c r="D52" s="444" t="n">
        <f aca="false">MpropuPlein+0.5*MasseSans</f>
        <v>5.532</v>
      </c>
      <c r="E52" s="444" t="n">
        <f aca="false">m_var - 0.5*m_poudre</f>
        <v>5.041</v>
      </c>
      <c r="F52" s="444" t="n">
        <f aca="false">m_var - m_poudre</f>
        <v>4.55</v>
      </c>
      <c r="G52" s="445" t="n">
        <f aca="false">MAX(0, (I_total/Temps_fin_propu)/m_prop-g)</f>
        <v>223.365362031343</v>
      </c>
      <c r="H52" s="443" t="n">
        <f aca="false">Q_var/m_prop</f>
        <v>0.000811144453121993</v>
      </c>
      <c r="I52" s="443" t="n">
        <f aca="false">Q_var/m_bal</f>
        <v>0.000898676744656696</v>
      </c>
      <c r="J52" s="443" t="n">
        <f aca="false">1/(2*b_prop)*LN(  ((EXP(2*SQRT(a_prop*b_prop)*Temps_fin_propu)+1)^2)  /  (((1+1)^2)*EXP(2*SQRT(a_prop*b_prop)*Temps_fin_propu)))</f>
        <v>297.993781584289</v>
      </c>
      <c r="K52" s="446" t="n">
        <f aca="false">SQRT(a_prop/b_prop)  *  (EXP(2*SQRT(a_prop*b_prop)*Temps_fin_propu)-1)/(EXP(2*SQRT(a_prop*b_prop)*Temps_fin_propu)+1)</f>
        <v>324.8994497945</v>
      </c>
      <c r="L52" s="447" t="n">
        <f aca="false">alt_prop + 1/(2*b_bal) * LN(1+b_bal/g*V_prop^2)</f>
        <v>1615.17960249282</v>
      </c>
      <c r="M52" s="448" t="n">
        <f aca="false">Temps_fin_propu + ATAN(SQRT(b_bal/g)*V_prop)/SQRT(b_bal*g)</f>
        <v>15.1158618097237</v>
      </c>
    </row>
    <row r="53" customFormat="false" ht="12.75" hidden="false" customHeight="false" outlineLevel="0" collapsed="false">
      <c r="B53" s="442" t="n">
        <f aca="false">D_ref</f>
        <v>100</v>
      </c>
      <c r="C53" s="443" t="n">
        <f aca="false">1/2*Rho_moyen*PI()*D_var^2/4*Cx/10^6</f>
        <v>0.00408897918818797</v>
      </c>
      <c r="D53" s="444" t="n">
        <f aca="false">MpropuPlein+0.75*MasseSans</f>
        <v>7.482</v>
      </c>
      <c r="E53" s="444" t="n">
        <f aca="false">m_var - 0.5*m_poudre</f>
        <v>6.991</v>
      </c>
      <c r="F53" s="444" t="n">
        <f aca="false">m_var - m_poudre</f>
        <v>6.5</v>
      </c>
      <c r="G53" s="445" t="n">
        <f aca="false">MAX(0, (I_total/Temps_fin_propu)/m_prop-g)</f>
        <v>158.32574595909</v>
      </c>
      <c r="H53" s="443" t="n">
        <f aca="false">Q_var/m_prop</f>
        <v>0.000584891887882701</v>
      </c>
      <c r="I53" s="443" t="n">
        <f aca="false">Q_var/m_bal</f>
        <v>0.000629073721259687</v>
      </c>
      <c r="J53" s="443" t="n">
        <f aca="false">1/(2*b_prop)*LN(  ((EXP(2*SQRT(a_prop*b_prop)*Temps_fin_propu)+1)^2)  /  (((1+1)^2)*EXP(2*SQRT(a_prop*b_prop)*Temps_fin_propu)))</f>
        <v>219.249973378465</v>
      </c>
      <c r="K53" s="446" t="n">
        <f aca="false">SQRT(a_prop/b_prop)  *  (EXP(2*SQRT(a_prop*b_prop)*Temps_fin_propu)-1)/(EXP(2*SQRT(a_prop*b_prop)*Temps_fin_propu)+1)</f>
        <v>247.462246676001</v>
      </c>
      <c r="L53" s="447" t="n">
        <f aca="false">alt_prop + 1/(2*b_bal) * LN(1+b_bal/g*V_prop^2)</f>
        <v>1486.75728539124</v>
      </c>
      <c r="M53" s="448" t="n">
        <f aca="false">Temps_fin_propu + ATAN(SQRT(b_bal/g)*V_prop)/SQRT(b_bal*g)</f>
        <v>15.7464759857346</v>
      </c>
    </row>
    <row r="54" customFormat="false" ht="12.75" hidden="false" customHeight="false" outlineLevel="0" collapsed="false">
      <c r="B54" s="442" t="n">
        <f aca="false">D_ref</f>
        <v>100</v>
      </c>
      <c r="C54" s="443" t="n">
        <f aca="false">1/2*Rho_moyen*PI()*D_var^2/4*Cx/10^6</f>
        <v>0.00408897918818797</v>
      </c>
      <c r="D54" s="444" t="n">
        <f aca="false">MpropuPlein+1*MasseSans</f>
        <v>9.432</v>
      </c>
      <c r="E54" s="444" t="n">
        <f aca="false">m_var - 0.5*m_poudre</f>
        <v>8.941</v>
      </c>
      <c r="F54" s="444" t="n">
        <f aca="false">m_var - m_poudre</f>
        <v>8.45</v>
      </c>
      <c r="G54" s="445" t="n">
        <f aca="false">MAX(0, (I_total/Temps_fin_propu)/m_prop-g)</f>
        <v>121.655943406778</v>
      </c>
      <c r="H54" s="443" t="n">
        <f aca="false">Q_var/m_prop</f>
        <v>0.000457329067015766</v>
      </c>
      <c r="I54" s="443" t="n">
        <f aca="false">Q_var/m_bal</f>
        <v>0.000483902862507452</v>
      </c>
      <c r="J54" s="443" t="n">
        <f aca="false">1/(2*b_prop)*LN(  ((EXP(2*SQRT(a_prop*b_prop)*Temps_fin_propu)+1)^2)  /  (((1+1)^2)*EXP(2*SQRT(a_prop*b_prop)*Temps_fin_propu)))</f>
        <v>171.274494877262</v>
      </c>
      <c r="K54" s="446" t="n">
        <f aca="false">SQRT(a_prop/b_prop)  *  (EXP(2*SQRT(a_prop*b_prop)*Temps_fin_propu)-1)/(EXP(2*SQRT(a_prop*b_prop)*Temps_fin_propu)+1)</f>
        <v>196.399839837278</v>
      </c>
      <c r="L54" s="447" t="n">
        <f aca="false">alt_prop + 1/(2*b_bal) * LN(1+b_bal/g*V_prop^2)</f>
        <v>1272.36638506643</v>
      </c>
      <c r="M54" s="448" t="n">
        <f aca="false">Temps_fin_propu + ATAN(SQRT(b_bal/g)*V_prop)/SQRT(b_bal*g)</f>
        <v>15.3941409742516</v>
      </c>
    </row>
    <row r="55" customFormat="false" ht="12.75" hidden="false" customHeight="false" outlineLevel="0" collapsed="false">
      <c r="B55" s="442" t="n">
        <f aca="false">D_ref</f>
        <v>100</v>
      </c>
      <c r="C55" s="443" t="n">
        <f aca="false">1/2*Rho_moyen*PI()*D_var^2/4*Cx/10^6</f>
        <v>0.00408897918818797</v>
      </c>
      <c r="D55" s="444" t="n">
        <f aca="false">MpropuPlein+1.25*MasseSans</f>
        <v>11.382</v>
      </c>
      <c r="E55" s="444" t="n">
        <f aca="false">m_var - 0.5*m_poudre</f>
        <v>10.891</v>
      </c>
      <c r="F55" s="444" t="n">
        <f aca="false">m_var - m_poudre</f>
        <v>10.4</v>
      </c>
      <c r="G55" s="445" t="n">
        <f aca="false">MAX(0, (I_total/Temps_fin_propu)/m_prop-g)</f>
        <v>98.1173712239464</v>
      </c>
      <c r="H55" s="443" t="n">
        <f aca="false">Q_var/m_prop</f>
        <v>0.000375445706380311</v>
      </c>
      <c r="I55" s="443" t="n">
        <f aca="false">Q_var/m_bal</f>
        <v>0.000393171075787304</v>
      </c>
      <c r="J55" s="443" t="n">
        <f aca="false">1/(2*b_prop)*LN(  ((EXP(2*SQRT(a_prop*b_prop)*Temps_fin_propu)+1)^2)  /  (((1+1)^2)*EXP(2*SQRT(a_prop*b_prop)*Temps_fin_propu)))</f>
        <v>139.333120668089</v>
      </c>
      <c r="K55" s="446" t="n">
        <f aca="false">SQRT(a_prop/b_prop)  *  (EXP(2*SQRT(a_prop*b_prop)*Temps_fin_propu)-1)/(EXP(2*SQRT(a_prop*b_prop)*Temps_fin_propu)+1)</f>
        <v>161.121965315549</v>
      </c>
      <c r="L55" s="447" t="n">
        <f aca="false">alt_prop + 1/(2*b_bal) * LN(1+b_bal/g*V_prop^2)</f>
        <v>1046.28101451533</v>
      </c>
      <c r="M55" s="448" t="n">
        <f aca="false">Temps_fin_propu + ATAN(SQRT(b_bal/g)*V_prop)/SQRT(b_bal*g)</f>
        <v>14.5059523906201</v>
      </c>
    </row>
    <row r="56" customFormat="false" ht="12.75" hidden="false" customHeight="false" outlineLevel="0" collapsed="false">
      <c r="B56" s="442" t="n">
        <f aca="false">D_ref</f>
        <v>100</v>
      </c>
      <c r="C56" s="443" t="n">
        <f aca="false">1/2*Rho_moyen*PI()*D_var^2/4*Cx/10^6</f>
        <v>0.00408897918818797</v>
      </c>
      <c r="D56" s="444" t="n">
        <f aca="false">MpropuPlein+1.5*MasseSans</f>
        <v>13.332</v>
      </c>
      <c r="E56" s="444" t="n">
        <f aca="false">m_var - 0.5*m_poudre</f>
        <v>12.841</v>
      </c>
      <c r="F56" s="444" t="n">
        <f aca="false">m_var - m_poudre</f>
        <v>12.35</v>
      </c>
      <c r="G56" s="445" t="n">
        <f aca="false">MAX(0, (I_total/Temps_fin_propu)/m_prop-g)</f>
        <v>81.7278085818861</v>
      </c>
      <c r="H56" s="443" t="n">
        <f aca="false">Q_var/m_prop</f>
        <v>0.00031843152310474</v>
      </c>
      <c r="I56" s="443" t="n">
        <f aca="false">Q_var/m_bal</f>
        <v>0.000331091432241941</v>
      </c>
      <c r="J56" s="443" t="n">
        <f aca="false">1/(2*b_prop)*LN(  ((EXP(2*SQRT(a_prop*b_prop)*Temps_fin_propu)+1)^2)  /  (((1+1)^2)*EXP(2*SQRT(a_prop*b_prop)*Temps_fin_propu)))</f>
        <v>116.645342722721</v>
      </c>
      <c r="K56" s="446" t="n">
        <f aca="false">SQRT(a_prop/b_prop)  *  (EXP(2*SQRT(a_prop*b_prop)*Temps_fin_propu)-1)/(EXP(2*SQRT(a_prop*b_prop)*Temps_fin_propu)+1)</f>
        <v>135.555747121355</v>
      </c>
      <c r="L56" s="447" t="n">
        <f aca="false">alt_prop + 1/(2*b_bal) * LN(1+b_bal/g*V_prop^2)</f>
        <v>845.348362002318</v>
      </c>
      <c r="M56" s="448" t="n">
        <f aca="false">Temps_fin_propu + ATAN(SQRT(b_bal/g)*V_prop)/SQRT(b_bal*g)</f>
        <v>13.4049474650323</v>
      </c>
    </row>
    <row r="57" customFormat="false" ht="12.75" hidden="false" customHeight="false" outlineLevel="0" collapsed="false">
      <c r="B57" s="442" t="n">
        <f aca="false">D_ref</f>
        <v>100</v>
      </c>
      <c r="C57" s="443" t="n">
        <f aca="false">1/2*Rho_moyen*PI()*D_var^2/4*Cx/10^6</f>
        <v>0.00408897918818797</v>
      </c>
      <c r="D57" s="444" t="n">
        <f aca="false">MpropuPlein+1.75*MasseSans</f>
        <v>15.282</v>
      </c>
      <c r="E57" s="444" t="n">
        <f aca="false">m_var - 0.5*m_poudre</f>
        <v>14.791</v>
      </c>
      <c r="F57" s="444" t="n">
        <f aca="false">m_var - m_poudre</f>
        <v>14.3</v>
      </c>
      <c r="G57" s="445" t="n">
        <f aca="false">MAX(0, (I_total/Temps_fin_propu)/m_prop-g)</f>
        <v>69.6597451152728</v>
      </c>
      <c r="H57" s="443" t="n">
        <f aca="false">Q_var/m_prop</f>
        <v>0.000276450489364341</v>
      </c>
      <c r="I57" s="443" t="n">
        <f aca="false">Q_var/m_bal</f>
        <v>0.000285942600572585</v>
      </c>
      <c r="J57" s="443" t="n">
        <f aca="false">1/(2*b_prop)*LN(  ((EXP(2*SQRT(a_prop*b_prop)*Temps_fin_propu)+1)^2)  /  (((1+1)^2)*EXP(2*SQRT(a_prop*b_prop)*Temps_fin_propu)))</f>
        <v>99.7382838342011</v>
      </c>
      <c r="K57" s="446" t="n">
        <f aca="false">SQRT(a_prop/b_prop)  *  (EXP(2*SQRT(a_prop*b_prop)*Temps_fin_propu)-1)/(EXP(2*SQRT(a_prop*b_prop)*Temps_fin_propu)+1)</f>
        <v>116.2725139635</v>
      </c>
      <c r="L57" s="447" t="n">
        <f aca="false">alt_prop + 1/(2*b_bal) * LN(1+b_bal/g*V_prop^2)</f>
        <v>680.661538369413</v>
      </c>
      <c r="M57" s="448" t="n">
        <f aca="false">Temps_fin_propu + ATAN(SQRT(b_bal/g)*V_prop)/SQRT(b_bal*g)</f>
        <v>12.2841387641819</v>
      </c>
    </row>
    <row r="58" customFormat="false" ht="12.75" hidden="false" customHeight="false" outlineLevel="0" collapsed="false">
      <c r="B58" s="449" t="n">
        <f aca="false">D_ref</f>
        <v>100</v>
      </c>
      <c r="C58" s="450" t="n">
        <f aca="false">1/2*Rho_moyen*PI()*D_var^2/4*Cx/10^6</f>
        <v>0.00408897918818797</v>
      </c>
      <c r="D58" s="451" t="n">
        <f aca="false">MpropuPlein+2*MasseSans</f>
        <v>17.232</v>
      </c>
      <c r="E58" s="451" t="n">
        <f aca="false">m_var - 0.5*m_poudre</f>
        <v>16.741</v>
      </c>
      <c r="F58" s="451" t="n">
        <f aca="false">m_var - m_poudre</f>
        <v>16.25</v>
      </c>
      <c r="G58" s="452" t="n">
        <f aca="false">MAX(0, (I_total/Temps_fin_propu)/m_prop-g)</f>
        <v>60.4030697090974</v>
      </c>
      <c r="H58" s="450" t="n">
        <f aca="false">Q_var/m_prop</f>
        <v>0.000244249398971863</v>
      </c>
      <c r="I58" s="450" t="n">
        <f aca="false">Q_var/m_bal</f>
        <v>0.000251629488503875</v>
      </c>
      <c r="J58" s="450" t="n">
        <f aca="false">1/(2*b_prop)*LN(  ((EXP(2*SQRT(a_prop*b_prop)*Temps_fin_propu)+1)^2)  /  (((1+1)^2)*EXP(2*SQRT(a_prop*b_prop)*Temps_fin_propu)))</f>
        <v>86.6691490562106</v>
      </c>
      <c r="K58" s="453" t="n">
        <f aca="false">SQRT(a_prop/b_prop)  *  (EXP(2*SQRT(a_prop*b_prop)*Temps_fin_propu)-1)/(EXP(2*SQRT(a_prop*b_prop)*Temps_fin_propu)+1)</f>
        <v>101.250277345017</v>
      </c>
      <c r="L58" s="454" t="n">
        <f aca="false">alt_prop + 1/(2*b_bal) * LN(1+b_bal/g*V_prop^2)</f>
        <v>550.557365168864</v>
      </c>
      <c r="M58" s="455" t="n">
        <f aca="false">Temps_fin_propu + ATAN(SQRT(b_bal/g)*V_prop)/SQRT(b_bal*g)</f>
        <v>11.2368996512308</v>
      </c>
    </row>
    <row r="59" customFormat="false" ht="12.75" hidden="false" customHeight="false" outlineLevel="0" collapsed="false">
      <c r="B59" s="434" t="n">
        <f aca="false">D_ref*1.5</f>
        <v>150</v>
      </c>
      <c r="C59" s="435" t="n">
        <f aca="false">1/2*Rho_moyen*PI()*D_var^2/4*Cx/10^6</f>
        <v>0.00920020317342292</v>
      </c>
      <c r="D59" s="436" t="n">
        <f aca="false">MpropuPlein+0*MasseSans</f>
        <v>1.632</v>
      </c>
      <c r="E59" s="436" t="n">
        <f aca="false">m_var - 0.5*m_poudre</f>
        <v>1.141</v>
      </c>
      <c r="F59" s="436" t="n">
        <f aca="false">m_var - m_poudre</f>
        <v>0.65</v>
      </c>
      <c r="G59" s="437" t="n">
        <f aca="false">MAX(0, (I_total/Temps_fin_propu)/m_prop-g)</f>
        <v>1020.37141980719</v>
      </c>
      <c r="H59" s="435" t="n">
        <f aca="false">Q_var/m_prop</f>
        <v>0.00806328060773262</v>
      </c>
      <c r="I59" s="435" t="n">
        <f aca="false">Q_var/m_bal</f>
        <v>0.014154158728343</v>
      </c>
      <c r="J59" s="435" t="n">
        <f aca="false">1/(2*b_prop)*LN(  ((EXP(2*SQRT(a_prop*b_prop)*Temps_fin_propu)+1)^2)  /  (((1+1)^2)*EXP(2*SQRT(a_prop*b_prop)*Temps_fin_propu)))</f>
        <v>518.788639540197</v>
      </c>
      <c r="K59" s="439" t="n">
        <f aca="false">SQRT(a_prop/b_prop)  *  (EXP(2*SQRT(a_prop*b_prop)*Temps_fin_propu)-1)/(EXP(2*SQRT(a_prop*b_prop)*Temps_fin_propu)+1)</f>
        <v>355.690893163258</v>
      </c>
      <c r="L59" s="440" t="n">
        <f aca="false">alt_prop + 1/(2*b_bal) * LN(1+b_bal/g*V_prop^2)</f>
        <v>702.919623673218</v>
      </c>
      <c r="M59" s="441" t="n">
        <f aca="false">Temps_fin_propu + ATAN(SQRT(b_bal/g)*V_prop)/SQRT(b_bal*g)</f>
        <v>5.71717645585819</v>
      </c>
    </row>
    <row r="60" customFormat="false" ht="12.75" hidden="false" customHeight="false" outlineLevel="0" collapsed="false">
      <c r="B60" s="442" t="n">
        <f aca="false">D_ref*1.5</f>
        <v>150</v>
      </c>
      <c r="C60" s="443" t="n">
        <f aca="false">1/2*Rho_moyen*PI()*D_var^2/4*Cx/10^6</f>
        <v>0.00920020317342292</v>
      </c>
      <c r="D60" s="444" t="n">
        <f aca="false">MpropuPlein+0.25*MasseSans</f>
        <v>3.582</v>
      </c>
      <c r="E60" s="444" t="n">
        <f aca="false">m_var - 0.5*m_poudre</f>
        <v>3.091</v>
      </c>
      <c r="F60" s="444" t="n">
        <f aca="false">m_var - m_poudre</f>
        <v>2.6</v>
      </c>
      <c r="G60" s="445" t="n">
        <f aca="false">MAX(0, (I_total/Temps_fin_propu)/m_prop-g)</f>
        <v>370.467256551278</v>
      </c>
      <c r="H60" s="443" t="n">
        <f aca="false">Q_var/m_prop</f>
        <v>0.00297644877820218</v>
      </c>
      <c r="I60" s="443" t="n">
        <f aca="false">Q_var/m_bal</f>
        <v>0.00353853968208574</v>
      </c>
      <c r="J60" s="443" t="n">
        <f aca="false">1/(2*b_prop)*LN(  ((EXP(2*SQRT(a_prop*b_prop)*Temps_fin_propu)+1)^2)  /  (((1+1)^2)*EXP(2*SQRT(a_prop*b_prop)*Temps_fin_propu)))</f>
        <v>376.204987132321</v>
      </c>
      <c r="K60" s="446" t="n">
        <f aca="false">SQRT(a_prop/b_prop)  *  (EXP(2*SQRT(a_prop*b_prop)*Temps_fin_propu)-1)/(EXP(2*SQRT(a_prop*b_prop)*Temps_fin_propu)+1)</f>
        <v>333.480453892705</v>
      </c>
      <c r="L60" s="447" t="n">
        <f aca="false">alt_prop + 1/(2*b_bal) * LN(1+b_bal/g*V_prop^2)</f>
        <v>901.329574782959</v>
      </c>
      <c r="M60" s="448" t="n">
        <f aca="false">Temps_fin_propu + ATAN(SQRT(b_bal/g)*V_prop)/SQRT(b_bal*g)</f>
        <v>9.29039340423545</v>
      </c>
    </row>
    <row r="61" customFormat="false" ht="12.75" hidden="false" customHeight="false" outlineLevel="0" collapsed="false">
      <c r="B61" s="442" t="n">
        <f aca="false">D_ref*1.5</f>
        <v>150</v>
      </c>
      <c r="C61" s="443" t="n">
        <f aca="false">1/2*Rho_moyen*PI()*D_var^2/4*Cx/10^6</f>
        <v>0.00920020317342292</v>
      </c>
      <c r="D61" s="444" t="n">
        <f aca="false">MpropuPlein+0.5*MasseSans</f>
        <v>5.532</v>
      </c>
      <c r="E61" s="444" t="n">
        <f aca="false">m_var - 0.5*m_poudre</f>
        <v>5.041</v>
      </c>
      <c r="F61" s="444" t="n">
        <f aca="false">m_var - m_poudre</f>
        <v>4.55</v>
      </c>
      <c r="G61" s="445" t="n">
        <f aca="false">MAX(0, (I_total/Temps_fin_propu)/m_prop-g)</f>
        <v>223.365362031343</v>
      </c>
      <c r="H61" s="443" t="n">
        <f aca="false">Q_var/m_prop</f>
        <v>0.00182507501952448</v>
      </c>
      <c r="I61" s="443" t="n">
        <f aca="false">Q_var/m_bal</f>
        <v>0.00202202267547757</v>
      </c>
      <c r="J61" s="443" t="n">
        <f aca="false">1/(2*b_prop)*LN(  ((EXP(2*SQRT(a_prop*b_prop)*Temps_fin_propu)+1)^2)  /  (((1+1)^2)*EXP(2*SQRT(a_prop*b_prop)*Temps_fin_propu)))</f>
        <v>274.12686820577</v>
      </c>
      <c r="K61" s="446" t="n">
        <f aca="false">SQRT(a_prop/b_prop)  *  (EXP(2*SQRT(a_prop*b_prop)*Temps_fin_propu)-1)/(EXP(2*SQRT(a_prop*b_prop)*Temps_fin_propu)+1)</f>
        <v>278.191482889776</v>
      </c>
      <c r="L61" s="447" t="n">
        <f aca="false">alt_prop + 1/(2*b_bal) * LN(1+b_bal/g*V_prop^2)</f>
        <v>974.010992700865</v>
      </c>
      <c r="M61" s="448" t="n">
        <f aca="false">Temps_fin_propu + ATAN(SQRT(b_bal/g)*V_prop)/SQRT(b_bal*g)</f>
        <v>11.1110802766018</v>
      </c>
    </row>
    <row r="62" customFormat="false" ht="12.75" hidden="false" customHeight="false" outlineLevel="0" collapsed="false">
      <c r="B62" s="442" t="n">
        <f aca="false">D_ref*1.5</f>
        <v>150</v>
      </c>
      <c r="C62" s="443" t="n">
        <f aca="false">1/2*Rho_moyen*PI()*D_var^2/4*Cx/10^6</f>
        <v>0.00920020317342292</v>
      </c>
      <c r="D62" s="444" t="n">
        <f aca="false">MpropuPlein+0.75*MasseSans</f>
        <v>7.482</v>
      </c>
      <c r="E62" s="444" t="n">
        <f aca="false">m_var - 0.5*m_poudre</f>
        <v>6.991</v>
      </c>
      <c r="F62" s="444" t="n">
        <f aca="false">m_var - m_poudre</f>
        <v>6.5</v>
      </c>
      <c r="G62" s="445" t="n">
        <f aca="false">MAX(0, (I_total/Temps_fin_propu)/m_prop-g)</f>
        <v>158.32574595909</v>
      </c>
      <c r="H62" s="443" t="n">
        <f aca="false">Q_var/m_prop</f>
        <v>0.00131600674773608</v>
      </c>
      <c r="I62" s="443" t="n">
        <f aca="false">Q_var/m_bal</f>
        <v>0.0014154158728343</v>
      </c>
      <c r="J62" s="443" t="n">
        <f aca="false">1/(2*b_prop)*LN(  ((EXP(2*SQRT(a_prop*b_prop)*Temps_fin_propu)+1)^2)  /  (((1+1)^2)*EXP(2*SQRT(a_prop*b_prop)*Temps_fin_propu)))</f>
        <v>208.942802983387</v>
      </c>
      <c r="K62" s="446" t="n">
        <f aca="false">SQRT(a_prop/b_prop)  *  (EXP(2*SQRT(a_prop*b_prop)*Temps_fin_propu)-1)/(EXP(2*SQRT(a_prop*b_prop)*Temps_fin_propu)+1)</f>
        <v>225.592663962405</v>
      </c>
      <c r="L62" s="447" t="n">
        <f aca="false">alt_prop + 1/(2*b_bal) * LN(1+b_bal/g*V_prop^2)</f>
        <v>958.335833254065</v>
      </c>
      <c r="M62" s="448" t="n">
        <f aca="false">Temps_fin_propu + ATAN(SQRT(b_bal/g)*V_prop)/SQRT(b_bal*g)</f>
        <v>12.03020130393</v>
      </c>
    </row>
    <row r="63" customFormat="false" ht="12.75" hidden="false" customHeight="false" outlineLevel="0" collapsed="false">
      <c r="B63" s="442" t="n">
        <f aca="false">D_ref*1.5</f>
        <v>150</v>
      </c>
      <c r="C63" s="443" t="n">
        <f aca="false">1/2*Rho_moyen*PI()*D_var^2/4*Cx/10^6</f>
        <v>0.00920020317342292</v>
      </c>
      <c r="D63" s="444" t="n">
        <f aca="false">MpropuPlein+1*MasseSans</f>
        <v>9.432</v>
      </c>
      <c r="E63" s="444" t="n">
        <f aca="false">m_var - 0.5*m_poudre</f>
        <v>8.941</v>
      </c>
      <c r="F63" s="444" t="n">
        <f aca="false">m_var - m_poudre</f>
        <v>8.45</v>
      </c>
      <c r="G63" s="445" t="n">
        <f aca="false">MAX(0, (I_total/Temps_fin_propu)/m_prop-g)</f>
        <v>121.655943406778</v>
      </c>
      <c r="H63" s="443" t="n">
        <f aca="false">Q_var/m_prop</f>
        <v>0.00102899040078547</v>
      </c>
      <c r="I63" s="443" t="n">
        <f aca="false">Q_var/m_bal</f>
        <v>0.00108878144064177</v>
      </c>
      <c r="J63" s="443" t="n">
        <f aca="false">1/(2*b_prop)*LN(  ((EXP(2*SQRT(a_prop*b_prop)*Temps_fin_propu)+1)^2)  /  (((1+1)^2)*EXP(2*SQRT(a_prop*b_prop)*Temps_fin_propu)))</f>
        <v>166.115195757905</v>
      </c>
      <c r="K63" s="446" t="n">
        <f aca="false">SQRT(a_prop/b_prop)  *  (EXP(2*SQRT(a_prop*b_prop)*Temps_fin_propu)-1)/(EXP(2*SQRT(a_prop*b_prop)*Temps_fin_propu)+1)</f>
        <v>185.022926801101</v>
      </c>
      <c r="L63" s="447" t="n">
        <f aca="false">alt_prop + 1/(2*b_bal) * LN(1+b_bal/g*V_prop^2)</f>
        <v>886.418200160436</v>
      </c>
      <c r="M63" s="448" t="n">
        <f aca="false">Temps_fin_propu + ATAN(SQRT(b_bal/g)*V_prop)/SQRT(b_bal*g)</f>
        <v>12.3124550259484</v>
      </c>
    </row>
    <row r="64" customFormat="false" ht="12.75" hidden="false" customHeight="false" outlineLevel="0" collapsed="false">
      <c r="B64" s="442" t="n">
        <f aca="false">D_ref*1.5</f>
        <v>150</v>
      </c>
      <c r="C64" s="443" t="n">
        <f aca="false">1/2*Rho_moyen*PI()*D_var^2/4*Cx/10^6</f>
        <v>0.00920020317342292</v>
      </c>
      <c r="D64" s="444" t="n">
        <f aca="false">MpropuPlein+1.25*MasseSans</f>
        <v>11.382</v>
      </c>
      <c r="E64" s="444" t="n">
        <f aca="false">m_var - 0.5*m_poudre</f>
        <v>10.891</v>
      </c>
      <c r="F64" s="444" t="n">
        <f aca="false">m_var - m_poudre</f>
        <v>10.4</v>
      </c>
      <c r="G64" s="445" t="n">
        <f aca="false">MAX(0, (I_total/Temps_fin_propu)/m_prop-g)</f>
        <v>98.1173712239464</v>
      </c>
      <c r="H64" s="443" t="n">
        <f aca="false">Q_var/m_prop</f>
        <v>0.0008447528393557</v>
      </c>
      <c r="I64" s="443" t="n">
        <f aca="false">Q_var/m_bal</f>
        <v>0.000884634920521435</v>
      </c>
      <c r="J64" s="443" t="n">
        <f aca="false">1/(2*b_prop)*LN(  ((EXP(2*SQRT(a_prop*b_prop)*Temps_fin_propu)+1)^2)  /  (((1+1)^2)*EXP(2*SQRT(a_prop*b_prop)*Temps_fin_propu)))</f>
        <v>136.456503453049</v>
      </c>
      <c r="K64" s="446" t="n">
        <f aca="false">SQRT(a_prop/b_prop)  *  (EXP(2*SQRT(a_prop*b_prop)*Temps_fin_propu)-1)/(EXP(2*SQRT(a_prop*b_prop)*Temps_fin_propu)+1)</f>
        <v>154.644597032073</v>
      </c>
      <c r="L64" s="447" t="n">
        <f aca="false">alt_prop + 1/(2*b_bal) * LN(1+b_bal/g*V_prop^2)</f>
        <v>786.152533094931</v>
      </c>
      <c r="M64" s="448" t="n">
        <f aca="false">Temps_fin_propu + ATAN(SQRT(b_bal/g)*V_prop)/SQRT(b_bal*g)</f>
        <v>12.1443608371533</v>
      </c>
    </row>
    <row r="65" customFormat="false" ht="12.75" hidden="false" customHeight="false" outlineLevel="0" collapsed="false">
      <c r="B65" s="442" t="n">
        <f aca="false">D_ref*1.5</f>
        <v>150</v>
      </c>
      <c r="C65" s="443" t="n">
        <f aca="false">1/2*Rho_moyen*PI()*D_var^2/4*Cx/10^6</f>
        <v>0.00920020317342292</v>
      </c>
      <c r="D65" s="444" t="n">
        <f aca="false">MpropuPlein+1.5*MasseSans</f>
        <v>13.332</v>
      </c>
      <c r="E65" s="444" t="n">
        <f aca="false">m_var - 0.5*m_poudre</f>
        <v>12.841</v>
      </c>
      <c r="F65" s="444" t="n">
        <f aca="false">m_var - m_poudre</f>
        <v>12.35</v>
      </c>
      <c r="G65" s="445" t="n">
        <f aca="false">MAX(0, (I_total/Temps_fin_propu)/m_prop-g)</f>
        <v>81.7278085818861</v>
      </c>
      <c r="H65" s="443" t="n">
        <f aca="false">Q_var/m_prop</f>
        <v>0.000716470926985665</v>
      </c>
      <c r="I65" s="443" t="n">
        <f aca="false">Q_var/m_bal</f>
        <v>0.000744955722544366</v>
      </c>
      <c r="J65" s="443" t="n">
        <f aca="false">1/(2*b_prop)*LN(  ((EXP(2*SQRT(a_prop*b_prop)*Temps_fin_propu)+1)^2)  /  (((1+1)^2)*EXP(2*SQRT(a_prop*b_prop)*Temps_fin_propu)))</f>
        <v>114.908840425034</v>
      </c>
      <c r="K65" s="446" t="n">
        <f aca="false">SQRT(a_prop/b_prop)  *  (EXP(2*SQRT(a_prop*b_prop)*Temps_fin_propu)-1)/(EXP(2*SQRT(a_prop*b_prop)*Temps_fin_propu)+1)</f>
        <v>131.596523018972</v>
      </c>
      <c r="L65" s="447" t="n">
        <f aca="false">alt_prop + 1/(2*b_bal) * LN(1+b_bal/g*V_prop^2)</f>
        <v>678.326065286988</v>
      </c>
      <c r="M65" s="448" t="n">
        <f aca="false">Temps_fin_propu + ATAN(SQRT(b_bal/g)*V_prop)/SQRT(b_bal*g)</f>
        <v>11.685835191489</v>
      </c>
    </row>
    <row r="66" customFormat="false" ht="12.75" hidden="false" customHeight="false" outlineLevel="0" collapsed="false">
      <c r="B66" s="442" t="n">
        <f aca="false">D_ref*1.5</f>
        <v>150</v>
      </c>
      <c r="C66" s="443" t="n">
        <f aca="false">1/2*Rho_moyen*PI()*D_var^2/4*Cx/10^6</f>
        <v>0.00920020317342292</v>
      </c>
      <c r="D66" s="444" t="n">
        <f aca="false">MpropuPlein+1.75*MasseSans</f>
        <v>15.282</v>
      </c>
      <c r="E66" s="444" t="n">
        <f aca="false">m_var - 0.5*m_poudre</f>
        <v>14.791</v>
      </c>
      <c r="F66" s="444" t="n">
        <f aca="false">m_var - m_poudre</f>
        <v>14.3</v>
      </c>
      <c r="G66" s="445" t="n">
        <f aca="false">MAX(0, (I_total/Temps_fin_propu)/m_prop-g)</f>
        <v>69.6597451152728</v>
      </c>
      <c r="H66" s="443" t="n">
        <f aca="false">Q_var/m_prop</f>
        <v>0.000622013601069767</v>
      </c>
      <c r="I66" s="443" t="n">
        <f aca="false">Q_var/m_bal</f>
        <v>0.000643370851288316</v>
      </c>
      <c r="J66" s="443" t="n">
        <f aca="false">1/(2*b_prop)*LN(  ((EXP(2*SQRT(a_prop*b_prop)*Temps_fin_propu)+1)^2)  /  (((1+1)^2)*EXP(2*SQRT(a_prop*b_prop)*Temps_fin_propu)))</f>
        <v>98.6251507496763</v>
      </c>
      <c r="K66" s="446" t="n">
        <f aca="false">SQRT(a_prop/b_prop)  *  (EXP(2*SQRT(a_prop*b_prop)*Temps_fin_propu)-1)/(EXP(2*SQRT(a_prop*b_prop)*Temps_fin_propu)+1)</f>
        <v>113.714227862773</v>
      </c>
      <c r="L66" s="447" t="n">
        <f aca="false">alt_prop + 1/(2*b_bal) * LN(1+b_bal/g*V_prop^2)</f>
        <v>575.901659531776</v>
      </c>
      <c r="M66" s="448" t="n">
        <f aca="false">Temps_fin_propu + ATAN(SQRT(b_bal/g)*V_prop)/SQRT(b_bal*g)</f>
        <v>11.0680339863294</v>
      </c>
    </row>
    <row r="67" customFormat="false" ht="12.75" hidden="false" customHeight="false" outlineLevel="0" collapsed="false">
      <c r="B67" s="449" t="n">
        <f aca="false">D_ref*1.5</f>
        <v>150</v>
      </c>
      <c r="C67" s="450" t="n">
        <f aca="false">1/2*Rho_moyen*PI()*D_var^2/4*Cx/10^6</f>
        <v>0.00920020317342292</v>
      </c>
      <c r="D67" s="451" t="n">
        <f aca="false">MpropuPlein+2*MasseSans</f>
        <v>17.232</v>
      </c>
      <c r="E67" s="451" t="n">
        <f aca="false">m_var - 0.5*m_poudre</f>
        <v>16.741</v>
      </c>
      <c r="F67" s="451" t="n">
        <f aca="false">m_var - m_poudre</f>
        <v>16.25</v>
      </c>
      <c r="G67" s="452" t="n">
        <f aca="false">MAX(0, (I_total/Temps_fin_propu)/m_prop-g)</f>
        <v>60.4030697090974</v>
      </c>
      <c r="H67" s="450" t="n">
        <f aca="false">Q_var/m_prop</f>
        <v>0.000549561147686693</v>
      </c>
      <c r="I67" s="450" t="n">
        <f aca="false">Q_var/m_bal</f>
        <v>0.000566166349133718</v>
      </c>
      <c r="J67" s="450" t="n">
        <f aca="false">1/(2*b_prop)*LN(  ((EXP(2*SQRT(a_prop*b_prop)*Temps_fin_propu)+1)^2)  /  (((1+1)^2)*EXP(2*SQRT(a_prop*b_prop)*Temps_fin_propu)))</f>
        <v>85.9215692126939</v>
      </c>
      <c r="K67" s="453" t="n">
        <f aca="false">SQRT(a_prop/b_prop)  *  (EXP(2*SQRT(a_prop*b_prop)*Temps_fin_propu)-1)/(EXP(2*SQRT(a_prop*b_prop)*Temps_fin_propu)+1)</f>
        <v>99.5228447096186</v>
      </c>
      <c r="L67" s="454" t="n">
        <f aca="false">alt_prop + 1/(2*b_bal) * LN(1+b_bal/g*V_prop^2)</f>
        <v>485.20173095535</v>
      </c>
      <c r="M67" s="455" t="n">
        <f aca="false">Temps_fin_propu + ATAN(SQRT(b_bal/g)*V_prop)/SQRT(b_bal*g)</f>
        <v>10.3865607853585</v>
      </c>
    </row>
    <row r="71" customFormat="false" ht="12.75" hidden="false" customHeight="false" outlineLevel="0" collapsed="false">
      <c r="B71" s="1" t="str">
        <f aca="false">IF(Lang="Français","Textes pour les graphiques :","Texts for graphics :")</f>
        <v>Textes pour les graphiques :</v>
      </c>
    </row>
    <row r="73" customFormat="false" ht="12.75" hidden="false" customHeight="false" outlineLevel="0" collapsed="false">
      <c r="B73" s="0" t="str">
        <f aca="false">IF(Lang="Français","Masse totale",IF(Lang="English","Total Mass",""))</f>
        <v>Masse totale</v>
      </c>
    </row>
    <row r="74" customFormat="false" ht="12.75" hidden="false" customHeight="false" outlineLevel="0" collapsed="false">
      <c r="B74" s="0" t="str">
        <f aca="false">IF(Lang="Français","Vitesse max",IF(Lang="English","Max Velocity",""))</f>
        <v>Vitesse max</v>
      </c>
    </row>
    <row r="75" customFormat="false" ht="12.75" hidden="false" customHeight="false" outlineLevel="0" collapsed="false">
      <c r="B75" s="0" t="str">
        <f aca="false">Abaco!$B$74 &amp; " / " &amp; Abaco!$B$73</f>
        <v>Vitesse max / Masse totale</v>
      </c>
    </row>
    <row r="76" customFormat="false" ht="12.75" hidden="false" customHeight="false" outlineLevel="0" collapsed="false">
      <c r="B76" s="0" t="str">
        <f aca="false">IF(Lang="Français","Altitude max",IF(Lang="English","Max Altitude",""))</f>
        <v>Altitude max</v>
      </c>
    </row>
    <row r="77" customFormat="false" ht="12.75" hidden="false" customHeight="false" outlineLevel="0" collapsed="false">
      <c r="B77" s="0" t="str">
        <f aca="false">Abaco!$B$76 &amp; " / " &amp; Abaco!$B$73</f>
        <v>Altitude max / Masse totale</v>
      </c>
    </row>
    <row r="78" customFormat="false" ht="12.75" hidden="false" customHeight="false" outlineLevel="0" collapsed="false">
      <c r="B78" s="0" t="str">
        <f aca="false">IF(Lang="Français","Temps de culmination",IF(Lang="English","Apogee time",""))</f>
        <v>Temps de culmination</v>
      </c>
    </row>
    <row r="79" customFormat="false" ht="12.75" hidden="false" customHeight="false" outlineLevel="0" collapsed="false">
      <c r="B79" s="0" t="str">
        <f aca="false">Abaco!$B$78 &amp; " / " &amp; Abaco!$B$73</f>
        <v>Temps de culmination / Masse totale</v>
      </c>
    </row>
  </sheetData>
  <sheetProtection sheet="true" password="c6ac"/>
  <mergeCells count="12">
    <mergeCell ref="C2:D3"/>
    <mergeCell ref="C4:D4"/>
    <mergeCell ref="C5:D5"/>
    <mergeCell ref="C7:D7"/>
    <mergeCell ref="C8:D8"/>
    <mergeCell ref="C9:D9"/>
    <mergeCell ref="C10:D10"/>
    <mergeCell ref="C11:D11"/>
    <mergeCell ref="C12:D12"/>
    <mergeCell ref="C14:D14"/>
    <mergeCell ref="C15:D15"/>
    <mergeCell ref="C16:D16"/>
  </mergeCells>
  <dataValidations count="3">
    <dataValidation allowBlank="false" errorStyle="stop" operator="between" showDropDown="false" showErrorMessage="false" showInputMessage="false" sqref="C12:D12" type="none">
      <formula1>0</formula1>
      <formula2>0</formula2>
    </dataValidation>
    <dataValidation allowBlank="false" errorStyle="stop" operator="greaterThanOrEqual" showDropDown="false" showErrorMessage="false" showInputMessage="false" sqref="C10:D11" type="none">
      <formula1>0</formula1>
      <formula2>0</formula2>
    </dataValidation>
    <dataValidation allowBlank="false" error="Le Cx est souvent compris entre 0 et 1.&#10;Cx may be between 0 &amp; 1." errorStyle="warning" errorTitle="Cx" operator="between" showDropDown="false" showErrorMessage="true" showInputMessage="false" sqref="C16:D16" type="decimal">
      <formula1>0</formula1>
      <formula2>1</formula2>
    </dataValidation>
  </dataValidations>
  <hyperlinks>
    <hyperlink ref="B12" location="Stabilito!C17" display="#Stabilito!C17"/>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C2:H59"/>
  <sheetViews>
    <sheetView showFormulas="false" showGridLines="false" showRowColHeaders="true" showZeros="true" rightToLeft="false" tabSelected="false" showOutlineSymbols="true" defaultGridColor="true" view="normal" topLeftCell="A49" colorId="64" zoomScale="100" zoomScaleNormal="100" zoomScalePageLayoutView="100" workbookViewId="0">
      <selection pane="topLeft" activeCell="I35" activeCellId="0" sqref="I35"/>
    </sheetView>
  </sheetViews>
  <sheetFormatPr defaultColWidth="10.390625" defaultRowHeight="12.75" zeroHeight="false" outlineLevelRow="0" outlineLevelCol="0"/>
  <cols>
    <col collapsed="false" customWidth="true" hidden="false" outlineLevel="0" max="1" min="1" style="0" width="2.22"/>
    <col collapsed="false" customWidth="true" hidden="false" outlineLevel="0" max="2" min="2" style="0" width="16.22"/>
    <col collapsed="false" customWidth="true" hidden="false" outlineLevel="0" max="4" min="3" style="0" width="13.67"/>
  </cols>
  <sheetData>
    <row r="2" customFormat="false" ht="12.75" hidden="false" customHeight="false" outlineLevel="0" collapsed="false">
      <c r="C2" s="153" t="s">
        <v>377</v>
      </c>
      <c r="D2" s="153"/>
    </row>
    <row r="3" customFormat="false" ht="12.75" hidden="false" customHeight="false" outlineLevel="0" collapsed="false">
      <c r="C3" s="153"/>
      <c r="D3" s="153"/>
    </row>
    <row r="5" customFormat="false" ht="12.75" hidden="false" customHeight="false" outlineLevel="0" collapsed="false">
      <c r="C5" s="456" t="str">
        <f aca="false">IF(Lang="Français","Stabilité de fusée à ailerons","Stability of finned rocket")</f>
        <v>Stabilité de fusée à ailerons</v>
      </c>
    </row>
    <row r="6" customFormat="false" ht="12.75" hidden="false" customHeight="false" outlineLevel="0" collapsed="false">
      <c r="C6" s="152" t="str">
        <f aca="false">IF(Lang="Français","Calculs de Stabilité basés sur les équations de Barrowman","Stability calculs are based on Barrowman equations")</f>
        <v>Calculs de Stabilité basés sur les équations de Barrowman</v>
      </c>
    </row>
    <row r="7" customFormat="false" ht="12.75" hidden="false" customHeight="false" outlineLevel="0" collapsed="false">
      <c r="C7" s="456" t="str">
        <f aca="false">IF(Lang="Français","Trajectographie de fusée","Rocket Trajectography")</f>
        <v>Trajectographie de fusée</v>
      </c>
    </row>
    <row r="8" customFormat="false" ht="12.75" hidden="false" customHeight="false" outlineLevel="0" collapsed="false">
      <c r="C8" s="152" t="str">
        <f aca="false">IF(Lang="Français","Trajectoire dans un plan par calcul pas à pas","Trajectory in a plane, step by step computation")</f>
        <v>Trajectoire dans un plan par calcul pas à pas</v>
      </c>
    </row>
    <row r="9" customFormat="false" ht="12.75" hidden="false" customHeight="false" outlineLevel="0" collapsed="false">
      <c r="C9" s="152"/>
    </row>
    <row r="10" customFormat="false" ht="12.75" hidden="false" customHeight="false" outlineLevel="0" collapsed="false">
      <c r="C10" s="457" t="str">
        <f aca="false">IF(Lang="Français","Documentation et équations :","Documentation and equations are aviable in french:")</f>
        <v>Documentation et équations :</v>
      </c>
    </row>
    <row r="11" customFormat="false" ht="12.75" hidden="false" customHeight="false" outlineLevel="0" collapsed="false">
      <c r="C11" s="0" t="str">
        <f aca="false">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customFormat="false" ht="12.75" hidden="false" customHeight="false" outlineLevel="0" collapsed="false">
      <c r="C12" s="0" t="str">
        <f aca="false">IF(Lang="Français","Néanmoins, les équations d'intégration du mouvement utilisées sont légèrement différentes !","")</f>
        <v>Néanmoins, les équations d'intégration du mouvement utilisées sont légèrement différentes !</v>
      </c>
    </row>
    <row r="13" customFormat="false" ht="12.75" hidden="false" customHeight="false" outlineLevel="0" collapsed="false">
      <c r="C13" s="0" t="str">
        <f aca="false">IF(Lang="Français","Logiciels et dossier technique téléchargeables sur :","Softwares and french documentation can be downloaded at:")</f>
        <v>Logiciels et dossier technique téléchargeables sur :</v>
      </c>
      <c r="H13" s="458" t="s">
        <v>378</v>
      </c>
    </row>
    <row r="15" customFormat="false" ht="12.75" hidden="false" customHeight="false" outlineLevel="0" collapsed="false">
      <c r="C15" s="457" t="str">
        <f aca="false">IF(Lang="Français","Pour les experts :","For experts:")</f>
        <v>Pour les experts :</v>
      </c>
    </row>
    <row r="16" customFormat="false" ht="12.75" hidden="false" customHeight="false" outlineLevel="0" collapsed="false">
      <c r="C16" s="0" t="str">
        <f aca="false">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customFormat="false" ht="12.75" hidden="false" customHeight="false" outlineLevel="0" collapsed="false">
      <c r="C17" s="0" t="str">
        <f aca="false">IF(Lang="Français","et faire vos modifications personnelles (ajout de moteur...).","and do your personal modification (adding a motor...)")</f>
        <v>et faire vos modifications personnelles (ajout de moteur...).</v>
      </c>
    </row>
    <row r="18" customFormat="false" ht="12.75" hidden="false" customHeight="false" outlineLevel="0" collapsed="false">
      <c r="C18" s="0" t="s">
        <v>379</v>
      </c>
    </row>
    <row r="19" customFormat="false" ht="12.75" hidden="false" customHeight="false" outlineLevel="0" collapsed="false">
      <c r="C19" s="0" t="str">
        <f aca="false">IF(Lang="Français","Merci néanmoins de diffuser uniquement la version officielle protégée (fichier initial).","Please avoid distributing unlocked version.")</f>
        <v>Merci néanmoins de diffuser uniquement la version officielle protégée (fichier initial).</v>
      </c>
    </row>
    <row r="20" customFormat="false" ht="12.75" hidden="false" customHeight="false" outlineLevel="0" collapsed="false">
      <c r="C20" s="0" t="str">
        <f aca="false">IF(Lang="Français","Aucune Macro. Mise en forme conditionnelle, Noms de zone.","No macro. Conditionnal formating, named zones.")</f>
        <v>Aucune Macro. Mise en forme conditionnelle, Noms de zone.</v>
      </c>
    </row>
    <row r="21" customFormat="false" ht="12.75" hidden="false" customHeight="false" outlineLevel="0" collapsed="false">
      <c r="C21" s="459" t="str">
        <f aca="false">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customFormat="false" ht="12.75" hidden="false" customHeight="false" outlineLevel="0" collapsed="false">
      <c r="C22" s="459" t="str">
        <f aca="false">IF(Lang="Français","Les unités sont réglés dans le Format de la cellule.","Units are set in cell number Format")</f>
        <v>Les unités sont réglés dans le Format de la cellule.</v>
      </c>
      <c r="H22" s="458" t="s">
        <v>380</v>
      </c>
    </row>
    <row r="23" customFormat="false" ht="12.75" hidden="false" customHeight="false" outlineLevel="0" collapsed="false">
      <c r="C23" s="0" t="str">
        <f aca="false">IF(Lang="Français","Vous pouvez proposer vos améliorations en envoyant votre fichier à : ","Send all remarks and improvements proposals to:")</f>
        <v>Vous pouvez proposer vos améliorations en envoyant votre fichier à : </v>
      </c>
      <c r="H23" s="458"/>
    </row>
    <row r="25" customFormat="false" ht="12.75" hidden="false" customHeight="false" outlineLevel="0" collapsed="false">
      <c r="C25" s="457" t="str">
        <f aca="false">IF(Lang="Français","Licence :","License:")</f>
        <v>Licence :</v>
      </c>
      <c r="D25" s="460"/>
    </row>
    <row r="26" customFormat="false" ht="12.75" hidden="false" customHeight="false" outlineLevel="0" collapsed="false">
      <c r="C26" s="0" t="str">
        <f aca="false">IF(Lang="Français","Ce logiciel est placé sous la licence Creative Commons BY-SA","This software is placed under Creative Commons licence BY-SA")</f>
        <v>Ce logiciel est placé sous la licence Creative Commons BY-SA</v>
      </c>
      <c r="H26" s="458" t="s">
        <v>381</v>
      </c>
    </row>
    <row r="28" customFormat="false" ht="12.75" hidden="false" customHeight="false" outlineLevel="0" collapsed="false">
      <c r="C28" s="457" t="str">
        <f aca="false">IF(Lang="Français","Compatibilité :","Compatibility:")</f>
        <v>Compatibilité :</v>
      </c>
    </row>
    <row r="29" customFormat="false" ht="12.75" hidden="false" customHeight="false" outlineLevel="0" collapsed="false">
      <c r="C29" s="0" t="s">
        <v>382</v>
      </c>
    </row>
    <row r="30" customFormat="false" ht="12.75" hidden="false" customHeight="false" outlineLevel="0" collapsed="false">
      <c r="C30" s="0" t="s">
        <v>383</v>
      </c>
    </row>
    <row r="31" customFormat="false" ht="12.75" hidden="false" customHeight="false" outlineLevel="0" collapsed="false">
      <c r="C31" s="461" t="s">
        <v>384</v>
      </c>
    </row>
    <row r="33" customFormat="false" ht="12.75" hidden="false" customHeight="false" outlineLevel="0" collapsed="false">
      <c r="C33" s="457" t="str">
        <f aca="false">IF(Lang="Français","Historique :","History:")</f>
        <v>Historique :</v>
      </c>
    </row>
    <row r="34" customFormat="false" ht="12.75" hidden="false" customHeight="false" outlineLevel="0" collapsed="false">
      <c r="C34" s="0" t="s">
        <v>385</v>
      </c>
      <c r="D34" s="0" t="s">
        <v>386</v>
      </c>
      <c r="E34" s="462" t="s">
        <v>387</v>
      </c>
      <c r="F34" s="0" t="str">
        <f aca="false">IF(Lang="Français","Essais personnels, héritage d'une feuille de calcul de Vincent Girard, ESO","Personnel tests")</f>
        <v>Essais personnels, héritage d'une feuille de calcul de Vincent Girard, ESO</v>
      </c>
    </row>
    <row r="35" customFormat="false" ht="12.75" hidden="false" customHeight="false" outlineLevel="0" collapsed="false">
      <c r="C35" s="0" t="s">
        <v>388</v>
      </c>
      <c r="D35" s="0" t="s">
        <v>386</v>
      </c>
      <c r="E35" s="460" t="n">
        <v>39483</v>
      </c>
      <c r="F35" s="0" t="str">
        <f aca="false">IF(Lang="Français","Equations de Barrowman généralisées (D_ref), masquage inter-ailerons, bilingue fr-en","Generalized Barrowman equations (D_ref), fin-fin interaction, english translation")</f>
        <v>Equations de Barrowman généralisées (D_ref), masquage inter-ailerons, bilingue fr-en</v>
      </c>
    </row>
    <row r="36" customFormat="false" ht="12.75" hidden="false" customHeight="false" outlineLevel="0" collapsed="false">
      <c r="C36" s="0" t="s">
        <v>389</v>
      </c>
      <c r="D36" s="0" t="s">
        <v>386</v>
      </c>
      <c r="E36" s="460" t="n">
        <v>39507</v>
      </c>
      <c r="F36" s="0" t="str">
        <f aca="false">IF(Lang="Français","Schéma de la fusée, estimation analytique de la trajecto, diagramme des critères","Rocket schematic, analytical trajecto, criterions diagram")</f>
        <v>Schéma de la fusée, estimation analytique de la trajecto, diagramme des critères</v>
      </c>
    </row>
    <row r="37" customFormat="false" ht="12.75" hidden="false" customHeight="false" outlineLevel="0" collapsed="false">
      <c r="C37" s="0" t="s">
        <v>390</v>
      </c>
      <c r="D37" s="0" t="s">
        <v>386</v>
      </c>
      <c r="E37" s="460" t="n">
        <v>39694</v>
      </c>
      <c r="F37" s="0" t="str">
        <f aca="false">IF(Lang="Français","Mise en forme","Formatting")</f>
        <v>Mise en forme</v>
      </c>
    </row>
    <row r="38" customFormat="false" ht="12.75" hidden="false" customHeight="false" outlineLevel="0" collapsed="false">
      <c r="C38" s="0" t="s">
        <v>391</v>
      </c>
      <c r="D38" s="0" t="s">
        <v>386</v>
      </c>
      <c r="E38" s="460" t="n">
        <v>39643</v>
      </c>
      <c r="F38" s="0" t="str">
        <f aca="false">IF(Lang="Français","Essais personnels, héritage d'une feuille de calcul de Félicien Roux, ESO","Personal tests")</f>
        <v>Essais personnels, héritage d'une feuille de calcul de Félicien Roux, ESO</v>
      </c>
    </row>
    <row r="39" customFormat="false" ht="12.75" hidden="false" customHeight="false" outlineLevel="0" collapsed="false">
      <c r="C39" s="0" t="s">
        <v>392</v>
      </c>
      <c r="D39" s="0" t="s">
        <v>386</v>
      </c>
      <c r="E39" s="460" t="n">
        <v>39755</v>
      </c>
      <c r="F39" s="0" t="str">
        <f aca="false">IF(Lang="Français","Réécriture équations, traduction, érgonomie","Equations, traduction, ergonomy")</f>
        <v>Réécriture équations, traduction, érgonomie</v>
      </c>
    </row>
    <row r="40" customFormat="false" ht="12.75" hidden="false" customHeight="false" outlineLevel="0" collapsed="false">
      <c r="C40" s="0" t="s">
        <v>393</v>
      </c>
      <c r="D40" s="0" t="s">
        <v>386</v>
      </c>
      <c r="E40" s="460" t="n">
        <v>39756</v>
      </c>
      <c r="F40" s="0" t="str">
        <f aca="false">IF(Lang="Français","Conditions Initiales pour vol 2e étage, 1ère publication","Initial Conditions, 1st publication")</f>
        <v>Conditions Initiales pour vol 2e étage, 1ère publication</v>
      </c>
    </row>
    <row r="41" customFormat="false" ht="12.75" hidden="false" customHeight="false" outlineLevel="0" collapsed="false">
      <c r="C41" s="0" t="s">
        <v>394</v>
      </c>
      <c r="D41" s="0" t="s">
        <v>386</v>
      </c>
      <c r="E41" s="460" t="n">
        <v>40658</v>
      </c>
      <c r="F41" s="0" t="s">
        <v>395</v>
      </c>
    </row>
    <row r="42" customFormat="false" ht="12.75" hidden="false" customHeight="false" outlineLevel="0" collapsed="false">
      <c r="C42" s="0" t="s">
        <v>396</v>
      </c>
      <c r="D42" s="0" t="s">
        <v>386</v>
      </c>
      <c r="E42" s="460" t="n">
        <v>40868</v>
      </c>
      <c r="F42" s="0" t="str">
        <f aca="false">IF(Lang="Français","Fusion Stabilito+Trajecto, mise en forme, Ctrl, RC, H2O, Abaco","Merge Stabilito+Trajecto, formatting, Ctrl, RC, H2O, Abaco")</f>
        <v>Fusion Stabilito+Trajecto, mise en forme, Ctrl, RC, H2O, Abaco</v>
      </c>
    </row>
    <row r="43" customFormat="false" ht="12.75" hidden="false" customHeight="false" outlineLevel="0" collapsed="false">
      <c r="C43" s="0" t="s">
        <v>397</v>
      </c>
      <c r="D43" s="0" t="s">
        <v>386</v>
      </c>
      <c r="E43" s="460" t="n">
        <v>41194</v>
      </c>
      <c r="F43" s="0" t="s">
        <v>398</v>
      </c>
    </row>
    <row r="44" customFormat="false" ht="12.75" hidden="false" customHeight="false" outlineLevel="0" collapsed="false">
      <c r="C44" s="0" t="s">
        <v>399</v>
      </c>
      <c r="D44" s="0" t="s">
        <v>386</v>
      </c>
      <c r="E44" s="460" t="n">
        <v>41329</v>
      </c>
      <c r="F44" s="0" t="s">
        <v>400</v>
      </c>
    </row>
    <row r="45" customFormat="false" ht="12.75" hidden="false" customHeight="false" outlineLevel="0" collapsed="false">
      <c r="C45" s="0" t="s">
        <v>401</v>
      </c>
      <c r="D45" s="0" t="s">
        <v>402</v>
      </c>
      <c r="E45" s="460" t="n">
        <v>41947</v>
      </c>
      <c r="F45" s="0" t="s">
        <v>403</v>
      </c>
    </row>
    <row r="46" customFormat="false" ht="12.75" hidden="false" customHeight="false" outlineLevel="0" collapsed="false">
      <c r="C46" s="0" t="s">
        <v>404</v>
      </c>
      <c r="D46" s="0" t="s">
        <v>402</v>
      </c>
      <c r="E46" s="460" t="n">
        <v>41965</v>
      </c>
      <c r="F46" s="0" t="s">
        <v>405</v>
      </c>
    </row>
    <row r="47" customFormat="false" ht="12.75" hidden="false" customHeight="false" outlineLevel="0" collapsed="false">
      <c r="C47" s="0" t="s">
        <v>406</v>
      </c>
      <c r="D47" s="0" t="s">
        <v>402</v>
      </c>
      <c r="E47" s="460" t="n">
        <v>43048</v>
      </c>
      <c r="F47" s="0" t="s">
        <v>407</v>
      </c>
    </row>
    <row r="48" customFormat="false" ht="12.75" hidden="false" customHeight="false" outlineLevel="0" collapsed="false">
      <c r="C48" s="0" t="s">
        <v>408</v>
      </c>
      <c r="D48" s="0" t="s">
        <v>402</v>
      </c>
      <c r="E48" s="460" t="n">
        <v>44160</v>
      </c>
      <c r="F48" s="0" t="s">
        <v>409</v>
      </c>
    </row>
    <row r="49" customFormat="false" ht="12.75" hidden="false" customHeight="false" outlineLevel="0" collapsed="false">
      <c r="C49" s="0" t="s">
        <v>410</v>
      </c>
      <c r="D49" s="0" t="s">
        <v>411</v>
      </c>
      <c r="E49" s="460" t="n">
        <v>45300</v>
      </c>
      <c r="F49" s="0" t="s">
        <v>412</v>
      </c>
    </row>
    <row r="51" customFormat="false" ht="12.75" hidden="false" customHeight="false" outlineLevel="0" collapsed="false">
      <c r="C51" s="457" t="str">
        <f aca="false">IF(Lang="Français","Paramètres de référence :","Reference parameters:")</f>
        <v>Paramètres de référence :</v>
      </c>
    </row>
    <row r="52" customFormat="false" ht="12.75" hidden="false" customHeight="false" outlineLevel="0" collapsed="false">
      <c r="C52" s="463" t="str">
        <f aca="false">IF(Lang="Français","Gravité g :","Gravity g")</f>
        <v>Gravité g :</v>
      </c>
      <c r="E52" s="463" t="n">
        <v>9.81</v>
      </c>
      <c r="F52" s="463" t="s">
        <v>177</v>
      </c>
    </row>
    <row r="53" customFormat="false" ht="12.75" hidden="false" customHeight="false" outlineLevel="0" collapsed="false">
      <c r="C53" s="463" t="str">
        <f aca="false">IF(Lang="Français","Masse volumique de l'air ρ :","Air density ρ")</f>
        <v>Masse volumique de l'air ρ :</v>
      </c>
      <c r="E53" s="464" t="n">
        <v>1.225</v>
      </c>
      <c r="F53" s="463" t="s">
        <v>333</v>
      </c>
    </row>
    <row r="54" customFormat="false" ht="12.75" hidden="false" customHeight="false" outlineLevel="0" collapsed="false">
      <c r="C54" s="459"/>
    </row>
    <row r="55" customFormat="false" ht="12.75" hidden="false" customHeight="false" outlineLevel="0" collapsed="false">
      <c r="C55" s="459"/>
    </row>
    <row r="56" customFormat="false" ht="12.75" hidden="false" customHeight="false" outlineLevel="0" collapsed="false">
      <c r="C56" s="459"/>
    </row>
    <row r="57" customFormat="false" ht="12.75" hidden="false" customHeight="false" outlineLevel="0" collapsed="false">
      <c r="C57" s="459"/>
    </row>
    <row r="58" customFormat="false" ht="12.75" hidden="false" customHeight="false" outlineLevel="0" collapsed="false">
      <c r="C58" s="459"/>
    </row>
    <row r="59" customFormat="false" ht="12.75" hidden="false" customHeight="false" outlineLevel="0" collapsed="false">
      <c r="C59" s="459"/>
    </row>
  </sheetData>
  <sheetProtection algorithmName="SHA-512" hashValue="mLE1hS6IaRP9MUJA/NPDEpRQSW5QwIL4/Hb58UHNROVLVDj8Dj+LD5WxD5A3i4ki1o6YsSEFa+g3N6ZutYlTJw==" saltValue="X6ySjsTOOglKnqFsBKTIdg==" spinCount="100000" sheet="true" objects="true" scenarios="true"/>
  <mergeCells count="1">
    <mergeCell ref="C2:D3"/>
  </mergeCells>
  <hyperlinks>
    <hyperlink ref="H13" r:id="rId2" display="http://www.planete-sciences.org/espace/basedoc/"/>
    <hyperlink ref="H22" r:id="rId3" display="espace@planete-sciences.org"/>
    <hyperlink ref="H26" r:id="rId4" display="http://creativecommons.org/licenses/by-sa/3.0/"/>
  </hyperlinks>
  <printOptions headings="false" gridLines="false" gridLinesSet="true" horizontalCentered="false" verticalCentered="fals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34"/>
  <sheetViews>
    <sheetView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H4" activeCellId="0" sqref="H4"/>
    </sheetView>
  </sheetViews>
  <sheetFormatPr defaultColWidth="11.66796875" defaultRowHeight="12.75" zeroHeight="false" outlineLevelRow="0" outlineLevelCol="0"/>
  <cols>
    <col collapsed="false" customWidth="true" hidden="false" outlineLevel="0" max="2" min="1" style="0" width="2.22"/>
    <col collapsed="false" customWidth="true" hidden="false" outlineLevel="0" max="3" min="3" style="0" width="12.67"/>
    <col collapsed="false" customWidth="true" hidden="false" outlineLevel="0" max="4" min="4" style="0" width="21"/>
    <col collapsed="false" customWidth="true" hidden="false" outlineLevel="0" max="7" min="7" style="0" width="26.67"/>
    <col collapsed="false" customWidth="true" hidden="false" outlineLevel="0" max="9" min="8" style="0" width="6.77"/>
    <col collapsed="false" customWidth="true" hidden="false" outlineLevel="0" max="10" min="10" style="0" width="10"/>
    <col collapsed="false" customWidth="true" hidden="false" outlineLevel="0" max="11" min="11" style="0" width="13"/>
    <col collapsed="false" customWidth="true" hidden="false" outlineLevel="0" max="12" min="12" style="0" width="21.22"/>
    <col collapsed="false" customWidth="true" hidden="false" outlineLevel="0" max="14" min="14" style="0" width="2.22"/>
    <col collapsed="false" customWidth="true" hidden="false" outlineLevel="0" max="19" min="18" style="0" width="16.22"/>
  </cols>
  <sheetData>
    <row r="1" customFormat="false" ht="13.5" hidden="false" customHeight="false" outlineLevel="0" collapsed="false">
      <c r="O1" s="160"/>
      <c r="P1" s="459"/>
      <c r="Q1" s="459"/>
      <c r="R1" s="459"/>
      <c r="S1" s="459"/>
      <c r="T1" s="459"/>
      <c r="U1" s="459"/>
    </row>
    <row r="2" customFormat="false" ht="13.5" hidden="false" customHeight="false" outlineLevel="0" collapsed="false">
      <c r="B2" s="465"/>
      <c r="C2" s="424"/>
      <c r="D2" s="424"/>
      <c r="E2" s="424"/>
      <c r="F2" s="424"/>
      <c r="G2" s="424"/>
      <c r="H2" s="424"/>
      <c r="I2" s="424"/>
      <c r="J2" s="424"/>
      <c r="K2" s="424"/>
      <c r="L2" s="424"/>
      <c r="M2" s="424"/>
      <c r="N2" s="425"/>
      <c r="O2" s="160"/>
      <c r="P2" s="459"/>
      <c r="Q2" s="459"/>
      <c r="R2" s="459"/>
      <c r="S2" s="459"/>
      <c r="T2" s="459"/>
      <c r="U2" s="459"/>
    </row>
    <row r="3" customFormat="false" ht="15.75" hidden="false" customHeight="true" outlineLevel="0" collapsed="false">
      <c r="B3" s="227"/>
      <c r="D3" s="152" t="s">
        <v>413</v>
      </c>
      <c r="N3" s="426"/>
      <c r="O3" s="160"/>
      <c r="P3" s="466" t="s">
        <v>414</v>
      </c>
      <c r="Q3" s="467" t="n">
        <f aca="false">Long_ogive</f>
        <v>40</v>
      </c>
      <c r="R3" s="459"/>
      <c r="S3" s="459"/>
      <c r="T3" s="459"/>
      <c r="U3" s="459"/>
    </row>
    <row r="4" customFormat="false" ht="15.75" hidden="false" customHeight="true" outlineLevel="0" collapsed="false">
      <c r="B4" s="227"/>
      <c r="D4" s="152"/>
      <c r="N4" s="426"/>
      <c r="O4" s="160"/>
      <c r="P4" s="466"/>
      <c r="Q4" s="468"/>
      <c r="R4" s="459"/>
      <c r="S4" s="459"/>
      <c r="T4" s="459"/>
      <c r="U4" s="459"/>
    </row>
    <row r="5" customFormat="false" ht="15.75" hidden="false" customHeight="true" outlineLevel="0" collapsed="false">
      <c r="B5" s="227"/>
      <c r="D5" s="0" t="s">
        <v>415</v>
      </c>
      <c r="E5" s="0" t="str">
        <f aca="false">Propu</f>
        <v>Pro54-5G WT</v>
      </c>
      <c r="G5" s="0" t="s">
        <v>416</v>
      </c>
      <c r="H5" s="0" t="n">
        <f aca="false">MasseSans</f>
        <v>7.8</v>
      </c>
      <c r="N5" s="426"/>
      <c r="O5" s="160"/>
      <c r="P5" s="466"/>
      <c r="Q5" s="468"/>
      <c r="R5" s="459"/>
      <c r="S5" s="459"/>
      <c r="T5" s="459"/>
      <c r="U5" s="459"/>
    </row>
    <row r="6" customFormat="false" ht="12.75" hidden="false" customHeight="false" outlineLevel="0" collapsed="false">
      <c r="B6" s="227"/>
      <c r="D6" s="0" t="s">
        <v>417</v>
      </c>
      <c r="E6" s="152" t="str">
        <f aca="false">Trajecto!H32</f>
        <v>Blanc/Corps:Français</v>
      </c>
      <c r="G6" s="0" t="s">
        <v>418</v>
      </c>
      <c r="H6" s="0" t="n">
        <f aca="false">D_ref</f>
        <v>100</v>
      </c>
      <c r="N6" s="426"/>
      <c r="O6" s="160"/>
      <c r="P6" s="466"/>
      <c r="Q6" s="468"/>
      <c r="R6" s="459"/>
      <c r="S6" s="459"/>
      <c r="T6" s="459"/>
      <c r="U6" s="459"/>
    </row>
    <row r="7" customFormat="false" ht="12.75" hidden="false" customHeight="false" outlineLevel="0" collapsed="false">
      <c r="B7" s="227"/>
      <c r="D7" s="0" t="s">
        <v>419</v>
      </c>
      <c r="E7" s="152" t="str">
        <f aca="false">Trajecto!H33</f>
        <v>Rouge/Blanc</v>
      </c>
      <c r="G7" s="0" t="s">
        <v>159</v>
      </c>
      <c r="H7" s="0" t="n">
        <f aca="false">Cx</f>
        <v>0.85</v>
      </c>
      <c r="N7" s="426"/>
      <c r="O7" s="160"/>
      <c r="P7" s="466"/>
      <c r="Q7" s="468"/>
      <c r="R7" s="459"/>
      <c r="S7" s="459"/>
      <c r="T7" s="459"/>
      <c r="U7" s="459"/>
    </row>
    <row r="8" customFormat="false" ht="12.75" hidden="false" customHeight="false" outlineLevel="0" collapsed="false">
      <c r="B8" s="227"/>
      <c r="D8" s="0" t="s">
        <v>420</v>
      </c>
      <c r="E8" s="152" t="n">
        <f aca="false">S_para</f>
        <v>1.99</v>
      </c>
      <c r="G8" s="0" t="s">
        <v>421</v>
      </c>
      <c r="H8" s="0" t="n">
        <f aca="false">L_rampe</f>
        <v>4</v>
      </c>
      <c r="N8" s="426"/>
      <c r="O8" s="160"/>
      <c r="P8" s="466"/>
      <c r="Q8" s="468"/>
      <c r="R8" s="459"/>
      <c r="S8" s="459"/>
      <c r="T8" s="459"/>
      <c r="U8" s="459"/>
    </row>
    <row r="9" customFormat="false" ht="12.75" hidden="false" customHeight="false" outlineLevel="0" collapsed="false">
      <c r="B9" s="227"/>
      <c r="D9" s="0" t="s">
        <v>422</v>
      </c>
      <c r="E9" s="152"/>
      <c r="G9" s="0" t="s">
        <v>423</v>
      </c>
      <c r="H9" s="469" t="str">
        <f aca="false">Forme_ogive</f>
        <v>Ogivale (pointue)</v>
      </c>
      <c r="N9" s="426"/>
      <c r="O9" s="160"/>
      <c r="P9" s="466"/>
      <c r="Q9" s="468"/>
      <c r="R9" s="459"/>
      <c r="S9" s="459"/>
      <c r="T9" s="459"/>
      <c r="U9" s="459"/>
    </row>
    <row r="10" customFormat="false" ht="12.75" hidden="false" customHeight="false" outlineLevel="0" collapsed="false">
      <c r="B10" s="227"/>
      <c r="F10" s="154"/>
      <c r="G10" s="160"/>
      <c r="N10" s="426"/>
      <c r="O10" s="470"/>
      <c r="P10" s="459"/>
      <c r="Q10" s="468"/>
      <c r="R10" s="459"/>
      <c r="S10" s="459"/>
      <c r="T10" s="459"/>
      <c r="U10" s="459"/>
    </row>
    <row r="11" customFormat="false" ht="13.5" hidden="false" customHeight="false" outlineLevel="0" collapsed="false">
      <c r="B11" s="227"/>
      <c r="C11" s="320"/>
      <c r="D11" s="471" t="s">
        <v>424</v>
      </c>
      <c r="E11" s="472" t="n">
        <f aca="false">MasseSans</f>
        <v>7.8</v>
      </c>
      <c r="F11" s="473" t="s">
        <v>425</v>
      </c>
      <c r="G11" s="473" t="s">
        <v>426</v>
      </c>
      <c r="H11" s="474" t="n">
        <f aca="false">Vsortie_de_rampe</f>
        <v>31.9054592292062</v>
      </c>
      <c r="I11" s="474"/>
      <c r="J11" s="475"/>
      <c r="N11" s="426"/>
      <c r="P11" s="459"/>
      <c r="Q11" s="468"/>
      <c r="R11" s="459"/>
      <c r="S11" s="459"/>
      <c r="T11" s="459"/>
      <c r="U11" s="476" t="n">
        <f aca="false">IF(RIGHT(Nb_diam,1)=",", "", X_j)</f>
        <v>40</v>
      </c>
    </row>
    <row r="12" customFormat="false" ht="13.5" hidden="false" customHeight="false" outlineLevel="0" collapsed="false">
      <c r="B12" s="227"/>
      <c r="C12" s="320"/>
      <c r="D12" s="477"/>
      <c r="E12" s="478"/>
      <c r="F12" s="160" t="s">
        <v>425</v>
      </c>
      <c r="G12" s="160" t="s">
        <v>427</v>
      </c>
      <c r="H12" s="479" t="n">
        <f aca="false">Finesse</f>
        <v>21.95</v>
      </c>
      <c r="I12" s="479"/>
      <c r="J12" s="475"/>
      <c r="N12" s="426"/>
      <c r="O12" s="160"/>
      <c r="P12" s="466" t="s">
        <v>428</v>
      </c>
      <c r="Q12" s="467" t="n">
        <f aca="false">D_og</f>
        <v>90</v>
      </c>
      <c r="R12" s="459"/>
      <c r="S12" s="459"/>
      <c r="T12" s="459"/>
      <c r="U12" s="468"/>
    </row>
    <row r="13" customFormat="false" ht="12.75" hidden="false" customHeight="false" outlineLevel="0" collapsed="false">
      <c r="B13" s="227"/>
      <c r="C13" s="320"/>
      <c r="D13" s="477" t="s">
        <v>159</v>
      </c>
      <c r="E13" s="478" t="n">
        <f aca="false">Cx</f>
        <v>0.85</v>
      </c>
      <c r="F13" s="160" t="s">
        <v>425</v>
      </c>
      <c r="G13" s="160" t="s">
        <v>429</v>
      </c>
      <c r="H13" s="479" t="n">
        <f aca="false">Cn</f>
        <v>18.2839763696561</v>
      </c>
      <c r="I13" s="479"/>
      <c r="J13" s="475"/>
      <c r="N13" s="426"/>
      <c r="O13" s="160"/>
      <c r="P13" s="459"/>
      <c r="Q13" s="468"/>
      <c r="R13" s="459"/>
      <c r="S13" s="459"/>
      <c r="T13" s="459"/>
      <c r="U13" s="476" t="n">
        <f aca="false">IF(RIGHT(Nb_diam,1)=",", "", X_r)</f>
        <v>500</v>
      </c>
    </row>
    <row r="14" customFormat="false" ht="12.75" hidden="false" customHeight="false" outlineLevel="0" collapsed="false">
      <c r="B14" s="227"/>
      <c r="C14" s="320"/>
      <c r="D14" s="477" t="s">
        <v>430</v>
      </c>
      <c r="E14" s="478" t="n">
        <f aca="false">L_rampe</f>
        <v>4</v>
      </c>
      <c r="F14" s="160" t="s">
        <v>425</v>
      </c>
      <c r="G14" s="160" t="s">
        <v>431</v>
      </c>
      <c r="H14" s="480" t="n">
        <f aca="false">MS_min</f>
        <v>2.417033625978</v>
      </c>
      <c r="I14" s="481" t="n">
        <f aca="false">MS_max</f>
        <v>3.47974802940432</v>
      </c>
      <c r="J14" s="475"/>
      <c r="K14" s="475"/>
      <c r="N14" s="426"/>
      <c r="P14" s="459"/>
      <c r="Q14" s="468"/>
      <c r="R14" s="459"/>
      <c r="S14" s="459"/>
      <c r="T14" s="459"/>
      <c r="U14" s="468"/>
    </row>
    <row r="15" customFormat="false" ht="12.75" hidden="false" customHeight="false" outlineLevel="0" collapsed="false">
      <c r="B15" s="227"/>
      <c r="C15" s="320"/>
      <c r="D15" s="477" t="s">
        <v>432</v>
      </c>
      <c r="E15" s="478" t="n">
        <f aca="false">ep_ail</f>
        <v>2</v>
      </c>
      <c r="F15" s="160" t="s">
        <v>425</v>
      </c>
      <c r="G15" s="160" t="s">
        <v>433</v>
      </c>
      <c r="H15" s="480" t="n">
        <f aca="false">MS_Cn_min</f>
        <v>44.1929857020459</v>
      </c>
      <c r="I15" s="481" t="n">
        <f aca="false">MS_Cn_max</f>
        <v>68.427098616561</v>
      </c>
      <c r="J15" s="475"/>
      <c r="K15" s="475"/>
      <c r="N15" s="426"/>
      <c r="P15" s="459"/>
      <c r="Q15" s="468"/>
      <c r="R15" s="459"/>
      <c r="S15" s="459"/>
      <c r="T15" s="459"/>
    </row>
    <row r="16" customFormat="false" ht="12.75" hidden="false" customHeight="false" outlineLevel="0" collapsed="false">
      <c r="B16" s="227"/>
      <c r="C16" s="320"/>
      <c r="D16" s="477" t="s">
        <v>434</v>
      </c>
      <c r="E16" s="478" t="n">
        <f aca="false">Q_ail</f>
        <v>4</v>
      </c>
      <c r="F16" s="160" t="s">
        <v>435</v>
      </c>
      <c r="G16" s="160" t="s">
        <v>436</v>
      </c>
      <c r="H16" s="480" t="n">
        <f aca="false">V_para</f>
        <v>8.24675843682921</v>
      </c>
      <c r="I16" s="479" t="n">
        <f aca="false">V_satellite</f>
        <v>12.6555626230572</v>
      </c>
      <c r="J16" s="475"/>
      <c r="N16" s="426"/>
      <c r="P16" s="459"/>
      <c r="Q16" s="468"/>
      <c r="R16" s="459"/>
      <c r="S16" s="459"/>
      <c r="T16" s="459"/>
      <c r="U16" s="476" t="n">
        <f aca="false">IF(RIGHT(Nb_diam,1)=",", "", l_j)</f>
        <v>188</v>
      </c>
    </row>
    <row r="17" customFormat="false" ht="12.75" hidden="false" customHeight="false" outlineLevel="0" collapsed="false">
      <c r="B17" s="227"/>
      <c r="C17" s="320"/>
      <c r="D17" s="477" t="s">
        <v>423</v>
      </c>
      <c r="E17" s="482" t="str">
        <f aca="false">Forme_ogive</f>
        <v>Ogivale (pointue)</v>
      </c>
      <c r="F17" s="160" t="s">
        <v>437</v>
      </c>
      <c r="G17" s="160" t="s">
        <v>438</v>
      </c>
      <c r="H17" s="479" t="n">
        <f aca="false">T_para</f>
        <v>16</v>
      </c>
      <c r="I17" s="479"/>
      <c r="J17" s="483"/>
      <c r="N17" s="426"/>
      <c r="P17" s="484" t="s">
        <v>439</v>
      </c>
      <c r="Q17" s="476" t="n">
        <f aca="false">IF(RIGHT(Nb_diam,1)=",", "", D2j)</f>
        <v>100</v>
      </c>
      <c r="R17" s="459"/>
      <c r="S17" s="459"/>
      <c r="T17" s="459"/>
      <c r="U17" s="468"/>
    </row>
    <row r="18" customFormat="false" ht="12.75" hidden="false" customHeight="false" outlineLevel="0" collapsed="false">
      <c r="B18" s="227"/>
      <c r="C18" s="320"/>
      <c r="D18" s="477" t="s">
        <v>440</v>
      </c>
      <c r="E18" s="485" t="n">
        <f aca="false">XpropuRef-Long_propu</f>
        <v>1716</v>
      </c>
      <c r="F18" s="468" t="s">
        <v>437</v>
      </c>
      <c r="G18" s="468" t="s">
        <v>441</v>
      </c>
      <c r="H18" s="486" t="n">
        <f aca="false">T_para-Combustion-Depotage</f>
        <v>16</v>
      </c>
      <c r="I18" s="486"/>
      <c r="N18" s="426"/>
      <c r="P18" s="459"/>
      <c r="Q18" s="468"/>
      <c r="R18" s="459"/>
      <c r="S18" s="459"/>
    </row>
    <row r="19" customFormat="false" ht="12.75" hidden="false" customHeight="false" outlineLevel="0" collapsed="false">
      <c r="B19" s="227"/>
      <c r="C19" s="487"/>
      <c r="D19" s="488"/>
      <c r="E19" s="489"/>
      <c r="F19" s="490" t="s">
        <v>442</v>
      </c>
      <c r="G19" s="491" t="s">
        <v>443</v>
      </c>
      <c r="H19" s="492" t="n">
        <f aca="false">Portee_balistique</f>
        <v>690.928492655337</v>
      </c>
      <c r="I19" s="492"/>
      <c r="N19" s="426"/>
      <c r="P19" s="459"/>
      <c r="Q19" s="468"/>
      <c r="R19" s="459"/>
      <c r="S19" s="459"/>
      <c r="T19" s="459"/>
    </row>
    <row r="20" customFormat="false" ht="12.75" hidden="false" customHeight="false" outlineLevel="0" collapsed="false">
      <c r="B20" s="227"/>
      <c r="C20" s="320"/>
      <c r="D20" s="160"/>
      <c r="E20" s="160"/>
      <c r="H20" s="493"/>
      <c r="I20" s="493"/>
      <c r="N20" s="426"/>
      <c r="P20" s="459"/>
      <c r="Q20" s="468"/>
      <c r="R20" s="459"/>
      <c r="S20" s="459"/>
      <c r="T20" s="459"/>
      <c r="U20" s="476" t="n">
        <f aca="false">IF(RIGHT(Nb_diam,1)=",", "", l_r)</f>
        <v>50</v>
      </c>
    </row>
    <row r="21" customFormat="false" ht="12.75" hidden="false" customHeight="false" outlineLevel="0" collapsed="false">
      <c r="B21" s="227"/>
      <c r="C21" s="320"/>
      <c r="D21" s="160"/>
      <c r="E21" s="494"/>
      <c r="F21" s="154"/>
      <c r="G21" s="160"/>
      <c r="H21" s="493"/>
      <c r="I21" s="493"/>
      <c r="N21" s="426"/>
      <c r="O21" s="466"/>
      <c r="P21" s="468"/>
      <c r="Q21" s="459"/>
      <c r="R21" s="459"/>
      <c r="S21" s="459"/>
      <c r="T21" s="495"/>
      <c r="U21" s="468"/>
    </row>
    <row r="22" customFormat="false" ht="12.75" hidden="false" customHeight="false" outlineLevel="0" collapsed="false">
      <c r="B22" s="227"/>
      <c r="C22" s="496" t="s">
        <v>444</v>
      </c>
      <c r="D22" s="496" t="s">
        <v>445</v>
      </c>
      <c r="E22" s="497"/>
      <c r="F22" s="498" t="s">
        <v>446</v>
      </c>
      <c r="G22" s="496" t="s">
        <v>447</v>
      </c>
      <c r="I22" s="499"/>
      <c r="J22" s="500" t="s">
        <v>3</v>
      </c>
      <c r="K22" s="496" t="s">
        <v>4</v>
      </c>
      <c r="N22" s="426"/>
      <c r="O22" s="466"/>
      <c r="P22" s="468"/>
      <c r="Q22" s="459"/>
      <c r="R22" s="459"/>
      <c r="S22" s="459"/>
      <c r="T22" s="495"/>
      <c r="U22" s="468"/>
    </row>
    <row r="23" customFormat="false" ht="12.75" hidden="false" customHeight="false" outlineLevel="0" collapsed="false">
      <c r="B23" s="227"/>
      <c r="C23" s="496" t="s">
        <v>448</v>
      </c>
      <c r="D23" s="497" t="n">
        <f aca="false">XcgSans</f>
        <v>1180</v>
      </c>
      <c r="E23" s="497" t="s">
        <v>175</v>
      </c>
      <c r="F23" s="498" t="n">
        <f aca="false">m_ail</f>
        <v>290</v>
      </c>
      <c r="G23" s="496" t="n">
        <f aca="false">m_can</f>
        <v>150</v>
      </c>
      <c r="I23" s="499" t="s">
        <v>449</v>
      </c>
      <c r="J23" s="498" t="n">
        <f aca="false">l_j</f>
        <v>188</v>
      </c>
      <c r="K23" s="496" t="n">
        <f aca="false">l_r</f>
        <v>50</v>
      </c>
      <c r="N23" s="426"/>
      <c r="O23" s="466"/>
      <c r="P23" s="468"/>
      <c r="Q23" s="459"/>
      <c r="R23" s="459"/>
      <c r="S23" s="459"/>
      <c r="T23" s="495"/>
      <c r="U23" s="468"/>
    </row>
    <row r="24" customFormat="false" ht="12.75" hidden="false" customHeight="false" outlineLevel="0" collapsed="false">
      <c r="B24" s="227"/>
      <c r="C24" s="496" t="s">
        <v>450</v>
      </c>
      <c r="D24" s="496" t="n">
        <f aca="false">Long_tot</f>
        <v>2195</v>
      </c>
      <c r="E24" s="497" t="s">
        <v>451</v>
      </c>
      <c r="F24" s="498" t="n">
        <f aca="false">n_ail</f>
        <v>150</v>
      </c>
      <c r="G24" s="496" t="n">
        <f aca="false">n_can</f>
        <v>150</v>
      </c>
      <c r="I24" s="499" t="s">
        <v>452</v>
      </c>
      <c r="J24" s="498" t="n">
        <f aca="false">D1j</f>
        <v>90</v>
      </c>
      <c r="K24" s="496" t="n">
        <f aca="false">D1r</f>
        <v>100</v>
      </c>
      <c r="N24" s="426"/>
      <c r="O24" s="466"/>
      <c r="P24" s="468"/>
      <c r="Q24" s="459"/>
      <c r="R24" s="459"/>
      <c r="S24" s="459"/>
      <c r="T24" s="495"/>
      <c r="U24" s="468"/>
    </row>
    <row r="25" customFormat="false" ht="12.75" hidden="false" customHeight="false" outlineLevel="0" collapsed="false">
      <c r="B25" s="227"/>
      <c r="C25" s="496" t="s">
        <v>453</v>
      </c>
      <c r="D25" s="496" t="n">
        <f aca="false">XpropuRef</f>
        <v>2204</v>
      </c>
      <c r="E25" s="497" t="s">
        <v>454</v>
      </c>
      <c r="F25" s="498" t="n">
        <f aca="false">p_ail</f>
        <v>73</v>
      </c>
      <c r="G25" s="496" t="n">
        <f aca="false">p_can</f>
        <v>0</v>
      </c>
      <c r="I25" s="499" t="s">
        <v>455</v>
      </c>
      <c r="J25" s="498" t="n">
        <f aca="false">D2j</f>
        <v>100</v>
      </c>
      <c r="K25" s="496" t="n">
        <f aca="false">D2r</f>
        <v>100</v>
      </c>
      <c r="N25" s="426"/>
      <c r="O25" s="466"/>
      <c r="P25" s="468"/>
      <c r="Q25" s="459"/>
      <c r="R25" s="459"/>
      <c r="S25" s="459"/>
      <c r="T25" s="495"/>
      <c r="U25" s="468"/>
    </row>
    <row r="26" customFormat="false" ht="12.75" hidden="false" customHeight="false" outlineLevel="0" collapsed="false">
      <c r="B26" s="227"/>
      <c r="C26" s="496" t="s">
        <v>456</v>
      </c>
      <c r="D26" s="496" t="n">
        <f aca="false">D_ref</f>
        <v>100</v>
      </c>
      <c r="E26" s="497" t="s">
        <v>457</v>
      </c>
      <c r="F26" s="498" t="n">
        <f aca="false">E_ail</f>
        <v>125</v>
      </c>
      <c r="G26" s="496" t="n">
        <f aca="false">E_can</f>
        <v>48</v>
      </c>
      <c r="I26" s="499" t="s">
        <v>458</v>
      </c>
      <c r="J26" s="498" t="n">
        <f aca="false">X_j</f>
        <v>40</v>
      </c>
      <c r="K26" s="496" t="n">
        <f aca="false">X_r</f>
        <v>500</v>
      </c>
      <c r="N26" s="426"/>
      <c r="O26" s="466"/>
      <c r="P26" s="468"/>
      <c r="Q26" s="459"/>
      <c r="R26" s="459"/>
      <c r="S26" s="459"/>
      <c r="T26" s="495"/>
      <c r="U26" s="468"/>
    </row>
    <row r="27" customFormat="false" ht="12.75" hidden="false" customHeight="false" outlineLevel="0" collapsed="false">
      <c r="B27" s="227"/>
      <c r="C27" s="496" t="s">
        <v>459</v>
      </c>
      <c r="D27" s="496" t="n">
        <f aca="false">Long_ogive</f>
        <v>40</v>
      </c>
      <c r="E27" s="497" t="s">
        <v>460</v>
      </c>
      <c r="F27" s="498" t="n">
        <f aca="false">X_ail</f>
        <v>2195</v>
      </c>
      <c r="G27" s="496" t="n">
        <f aca="false">X_can</f>
        <v>600</v>
      </c>
      <c r="H27" s="493"/>
      <c r="I27" s="154"/>
      <c r="J27" s="152"/>
      <c r="N27" s="426"/>
      <c r="O27" s="466"/>
      <c r="P27" s="468"/>
      <c r="Q27" s="459"/>
      <c r="R27" s="459"/>
      <c r="S27" s="459"/>
      <c r="T27" s="495"/>
      <c r="U27" s="468"/>
    </row>
    <row r="28" customFormat="false" ht="13.5" hidden="false" customHeight="false" outlineLevel="0" collapsed="false">
      <c r="B28" s="227"/>
      <c r="E28" s="501"/>
      <c r="N28" s="426"/>
      <c r="O28" s="152"/>
      <c r="P28" s="160"/>
      <c r="Q28" s="152"/>
      <c r="R28" s="459"/>
      <c r="S28" s="459"/>
      <c r="T28" s="459"/>
      <c r="U28" s="468"/>
    </row>
    <row r="29" customFormat="false" ht="13.5" hidden="false" customHeight="false" outlineLevel="0" collapsed="false">
      <c r="B29" s="227"/>
      <c r="C29" s="502" t="s">
        <v>461</v>
      </c>
      <c r="D29" s="502" t="s">
        <v>462</v>
      </c>
      <c r="E29" s="502" t="s">
        <v>463</v>
      </c>
      <c r="F29" s="502"/>
      <c r="G29" s="502"/>
      <c r="H29" s="503" t="s">
        <v>464</v>
      </c>
      <c r="I29" s="503"/>
      <c r="J29" s="503"/>
      <c r="K29" s="503"/>
      <c r="L29" s="502" t="s">
        <v>465</v>
      </c>
      <c r="M29" s="502" t="s">
        <v>466</v>
      </c>
      <c r="N29" s="426"/>
      <c r="O29" s="466" t="s">
        <v>467</v>
      </c>
      <c r="P29" s="467" t="n">
        <f aca="false">n_ail</f>
        <v>150</v>
      </c>
      <c r="Q29" s="152"/>
      <c r="R29" s="459"/>
      <c r="S29" s="459"/>
      <c r="T29" s="459"/>
      <c r="U29" s="320" t="s">
        <v>468</v>
      </c>
    </row>
    <row r="30" customFormat="false" ht="13.5" hidden="false" customHeight="false" outlineLevel="0" collapsed="false">
      <c r="B30" s="227"/>
      <c r="C30" s="502"/>
      <c r="D30" s="502"/>
      <c r="E30" s="502"/>
      <c r="F30" s="502"/>
      <c r="G30" s="502"/>
      <c r="H30" s="503" t="s">
        <v>469</v>
      </c>
      <c r="I30" s="503"/>
      <c r="J30" s="503" t="s">
        <v>470</v>
      </c>
      <c r="K30" s="504" t="s">
        <v>471</v>
      </c>
      <c r="L30" s="502"/>
      <c r="M30" s="502"/>
      <c r="N30" s="426"/>
      <c r="P30" s="320"/>
      <c r="R30" s="459"/>
      <c r="S30" s="459"/>
      <c r="T30" s="495" t="s">
        <v>472</v>
      </c>
      <c r="U30" s="505" t="n">
        <f aca="false">p_can</f>
        <v>0</v>
      </c>
    </row>
    <row r="31" customFormat="false" ht="13.5" hidden="false" customHeight="false" outlineLevel="0" collapsed="false">
      <c r="B31" s="227"/>
      <c r="C31" s="506" t="n">
        <f aca="false">Beta_rampe</f>
        <v>80</v>
      </c>
      <c r="D31" s="507" t="n">
        <f aca="false">Portee_balistique</f>
        <v>690.928492655337</v>
      </c>
      <c r="E31" s="508" t="n">
        <f aca="false">T_para+Dt_para</f>
        <v>159.511670020062</v>
      </c>
      <c r="F31" s="508"/>
      <c r="G31" s="508"/>
      <c r="H31" s="509" t="n">
        <f aca="false">Altitude_culmi</f>
        <v>1190.7418963748</v>
      </c>
      <c r="I31" s="509"/>
      <c r="J31" s="508" t="n">
        <f aca="false">Temps_culmi</f>
        <v>14.7</v>
      </c>
      <c r="K31" s="510" t="n">
        <f aca="false">Vit_culmi</f>
        <v>22.0576606162519</v>
      </c>
      <c r="L31" s="507" t="n">
        <f aca="false">Acc_max</f>
        <v>134.135194369221</v>
      </c>
      <c r="M31" s="510" t="n">
        <f aca="false">Vit_max</f>
        <v>194.4751271864</v>
      </c>
      <c r="N31" s="426"/>
      <c r="O31" s="466" t="s">
        <v>473</v>
      </c>
      <c r="P31" s="467" t="n">
        <f aca="false">ep_ail</f>
        <v>2</v>
      </c>
      <c r="Q31" s="152"/>
      <c r="R31" s="459"/>
      <c r="S31" s="459"/>
      <c r="T31" s="495" t="s">
        <v>474</v>
      </c>
      <c r="U31" s="505" t="n">
        <f aca="false">m_can</f>
        <v>150</v>
      </c>
    </row>
    <row r="32" customFormat="false" ht="13.5" hidden="false" customHeight="false" outlineLevel="0" collapsed="false">
      <c r="B32" s="227"/>
      <c r="C32" s="511"/>
      <c r="D32" s="512"/>
      <c r="E32" s="480"/>
      <c r="F32" s="480"/>
      <c r="G32" s="480"/>
      <c r="H32" s="513"/>
      <c r="I32" s="513"/>
      <c r="J32" s="480"/>
      <c r="K32" s="514"/>
      <c r="L32" s="512"/>
      <c r="M32" s="514"/>
      <c r="N32" s="426"/>
      <c r="O32" s="466" t="s">
        <v>475</v>
      </c>
      <c r="P32" s="515" t="n">
        <f aca="false">Q_ail</f>
        <v>4</v>
      </c>
      <c r="Q32" s="152"/>
      <c r="R32" s="459"/>
      <c r="S32" s="459"/>
      <c r="T32" s="495" t="s">
        <v>467</v>
      </c>
      <c r="U32" s="505" t="n">
        <f aca="false">n_can</f>
        <v>150</v>
      </c>
    </row>
    <row r="33" customFormat="false" ht="13.5" hidden="false" customHeight="false" outlineLevel="0" collapsed="false">
      <c r="B33" s="227"/>
      <c r="D33" s="516"/>
      <c r="E33" s="517"/>
      <c r="F33" s="517"/>
      <c r="G33" s="517"/>
      <c r="H33" s="296"/>
      <c r="I33" s="296"/>
      <c r="J33" s="517"/>
      <c r="K33" s="475"/>
      <c r="L33" s="516"/>
      <c r="M33" s="475"/>
      <c r="N33" s="426"/>
      <c r="O33" s="152"/>
      <c r="Q33" s="152"/>
      <c r="R33" s="459"/>
      <c r="S33" s="459"/>
      <c r="T33" s="495" t="s">
        <v>476</v>
      </c>
      <c r="U33" s="505" t="n">
        <f aca="false">E_can</f>
        <v>48</v>
      </c>
    </row>
    <row r="34" customFormat="false" ht="13.5" hidden="false" customHeight="false" outlineLevel="0" collapsed="false">
      <c r="B34" s="431"/>
      <c r="C34" s="432"/>
      <c r="D34" s="432"/>
      <c r="E34" s="432"/>
      <c r="F34" s="432"/>
      <c r="G34" s="432"/>
      <c r="H34" s="432"/>
      <c r="I34" s="432"/>
      <c r="J34" s="432"/>
      <c r="K34" s="432"/>
      <c r="L34" s="432"/>
      <c r="M34" s="432"/>
      <c r="N34" s="433"/>
      <c r="O34" s="152"/>
      <c r="P34" s="466" t="s">
        <v>476</v>
      </c>
      <c r="Q34" s="467" t="n">
        <f aca="false">E_ail</f>
        <v>125</v>
      </c>
      <c r="T34" s="495" t="s">
        <v>473</v>
      </c>
      <c r="U34" s="505" t="n">
        <f aca="false">ep_can</f>
        <v>45</v>
      </c>
    </row>
    <row r="35" customFormat="false" ht="12.75" hidden="false" customHeight="false" outlineLevel="0" collapsed="false">
      <c r="O35" s="152"/>
      <c r="P35" s="160"/>
      <c r="Q35" s="160"/>
      <c r="T35" s="495" t="s">
        <v>475</v>
      </c>
      <c r="U35" s="505" t="n">
        <f aca="false">Q_can</f>
        <v>4</v>
      </c>
    </row>
    <row r="36" customFormat="false" ht="13.5" hidden="false" customHeight="false" outlineLevel="0" collapsed="false">
      <c r="T36" s="152"/>
      <c r="U36" s="320"/>
    </row>
    <row r="37" customFormat="false" ht="12.75" hidden="false" customHeight="false" outlineLevel="0" collapsed="false">
      <c r="B37" s="465"/>
      <c r="C37" s="424"/>
      <c r="D37" s="424"/>
      <c r="E37" s="424"/>
      <c r="F37" s="424"/>
      <c r="G37" s="424"/>
      <c r="H37" s="424"/>
      <c r="I37" s="424"/>
      <c r="J37" s="424"/>
      <c r="K37" s="424"/>
      <c r="L37" s="424"/>
      <c r="M37" s="424"/>
      <c r="N37" s="425"/>
      <c r="T37" s="152"/>
    </row>
    <row r="38" customFormat="false" ht="12.75" hidden="false" customHeight="false" outlineLevel="0" collapsed="false">
      <c r="B38" s="227"/>
      <c r="D38" s="152" t="s">
        <v>477</v>
      </c>
      <c r="N38" s="426"/>
    </row>
    <row r="39" customFormat="false" ht="12.75" hidden="false" customHeight="false" outlineLevel="0" collapsed="false">
      <c r="B39" s="227"/>
      <c r="D39" s="152"/>
      <c r="N39" s="426"/>
    </row>
    <row r="40" customFormat="false" ht="12.75" hidden="false" customHeight="false" outlineLevel="0" collapsed="false">
      <c r="B40" s="227"/>
      <c r="D40" s="471" t="s">
        <v>478</v>
      </c>
      <c r="E40" s="473" t="n">
        <f aca="false">D_ref</f>
        <v>100</v>
      </c>
      <c r="F40" s="518"/>
      <c r="G40" s="518"/>
      <c r="H40" s="350" t="s">
        <v>479</v>
      </c>
      <c r="I40" s="350" t="s">
        <v>480</v>
      </c>
      <c r="J40" s="519" t="s">
        <v>481</v>
      </c>
      <c r="N40" s="426"/>
    </row>
    <row r="41" customFormat="false" ht="12.75" hidden="false" customHeight="false" outlineLevel="0" collapsed="false">
      <c r="B41" s="227"/>
      <c r="D41" s="477" t="s">
        <v>482</v>
      </c>
      <c r="E41" s="160" t="n">
        <f aca="false">Long_ogive</f>
        <v>40</v>
      </c>
      <c r="F41" s="152"/>
      <c r="G41" s="152" t="s">
        <v>483</v>
      </c>
      <c r="H41" s="160" t="n">
        <f aca="false">MasseSans</f>
        <v>7.8</v>
      </c>
      <c r="I41" s="160" t="n">
        <f aca="false">MasseVide</f>
        <v>8.45</v>
      </c>
      <c r="J41" s="478" t="n">
        <f aca="false">MassePlein</f>
        <v>9.432</v>
      </c>
      <c r="N41" s="426"/>
    </row>
    <row r="42" customFormat="false" ht="12.75" hidden="false" customHeight="false" outlineLevel="0" collapsed="false">
      <c r="B42" s="227"/>
      <c r="D42" s="477" t="s">
        <v>484</v>
      </c>
      <c r="E42" s="160" t="n">
        <f aca="false">X_ail-m_ail</f>
        <v>1905</v>
      </c>
      <c r="F42" s="520"/>
      <c r="G42" s="520" t="s">
        <v>485</v>
      </c>
      <c r="H42" s="494" t="n">
        <f aca="false">XcgSans</f>
        <v>1180</v>
      </c>
      <c r="I42" s="494" t="n">
        <f aca="false">XcgVide</f>
        <v>1239.69230769231</v>
      </c>
      <c r="J42" s="521" t="n">
        <f aca="false">XcgPlein</f>
        <v>1316</v>
      </c>
      <c r="N42" s="426"/>
    </row>
    <row r="43" customFormat="false" ht="12.75" hidden="false" customHeight="false" outlineLevel="0" collapsed="false">
      <c r="B43" s="227"/>
      <c r="D43" s="477" t="str">
        <f aca="false">IF(Lang="Français","Emplanture 'm'",IF(Lang="English","Root edge  'm'",""))</f>
        <v>Emplanture 'm'</v>
      </c>
      <c r="E43" s="478" t="n">
        <f aca="false">m_ail</f>
        <v>290</v>
      </c>
      <c r="N43" s="426"/>
    </row>
    <row r="44" customFormat="false" ht="12.75" hidden="false" customHeight="false" outlineLevel="0" collapsed="false">
      <c r="B44" s="227"/>
      <c r="D44" s="477" t="str">
        <f aca="false">IF(Lang="Français","Saumon      'n'",IF(Lang="English","Tip edge    'n'",""))</f>
        <v>Saumon      'n'</v>
      </c>
      <c r="E44" s="478" t="n">
        <f aca="false">n_ail</f>
        <v>150</v>
      </c>
      <c r="F44" s="473" t="s">
        <v>486</v>
      </c>
      <c r="G44" s="473" t="s">
        <v>487</v>
      </c>
      <c r="H44" s="474" t="n">
        <f aca="false">Vsortie_de_rampe</f>
        <v>31.9054592292062</v>
      </c>
      <c r="I44" s="474"/>
      <c r="N44" s="426"/>
    </row>
    <row r="45" customFormat="false" ht="12.75" hidden="false" customHeight="false" outlineLevel="0" collapsed="false">
      <c r="B45" s="227"/>
      <c r="D45" s="477" t="str">
        <f aca="false">IF(Lang="Français","Flèche        'p'",IF(Lang="English","Offset         'p'",""))</f>
        <v>Flèche        'p'</v>
      </c>
      <c r="E45" s="478" t="n">
        <f aca="false">p_ail</f>
        <v>73</v>
      </c>
      <c r="F45" s="160" t="s">
        <v>488</v>
      </c>
      <c r="G45" s="160" t="s">
        <v>489</v>
      </c>
      <c r="H45" s="479" t="n">
        <f aca="false">Finesse</f>
        <v>21.95</v>
      </c>
      <c r="I45" s="479"/>
      <c r="N45" s="426"/>
    </row>
    <row r="46" customFormat="false" ht="12.75" hidden="false" customHeight="false" outlineLevel="0" collapsed="false">
      <c r="B46" s="227"/>
      <c r="D46" s="477" t="str">
        <f aca="false">IF(Lang="Français","Envergure   'E'",IF(Lang="English","Span          'E'",""))</f>
        <v>Envergure   'E'</v>
      </c>
      <c r="E46" s="478" t="n">
        <f aca="false">E_ail</f>
        <v>125</v>
      </c>
      <c r="F46" s="160" t="s">
        <v>490</v>
      </c>
      <c r="G46" s="160" t="s">
        <v>491</v>
      </c>
      <c r="H46" s="479" t="n">
        <f aca="false">Cn</f>
        <v>18.2839763696561</v>
      </c>
      <c r="I46" s="479"/>
      <c r="N46" s="426"/>
    </row>
    <row r="47" customFormat="false" ht="12.75" hidden="false" customHeight="false" outlineLevel="0" collapsed="false">
      <c r="B47" s="227"/>
      <c r="D47" s="477" t="s">
        <v>432</v>
      </c>
      <c r="E47" s="478" t="n">
        <f aca="false">ep_ail</f>
        <v>2</v>
      </c>
      <c r="F47" s="160" t="s">
        <v>492</v>
      </c>
      <c r="G47" s="160" t="s">
        <v>493</v>
      </c>
      <c r="H47" s="480" t="n">
        <f aca="false">MS_min</f>
        <v>2.417033625978</v>
      </c>
      <c r="I47" s="481" t="n">
        <f aca="false">MS_max</f>
        <v>3.47974802940432</v>
      </c>
      <c r="N47" s="426"/>
    </row>
    <row r="48" customFormat="false" ht="12.75" hidden="false" customHeight="false" outlineLevel="0" collapsed="false">
      <c r="B48" s="227"/>
      <c r="D48" s="477" t="s">
        <v>434</v>
      </c>
      <c r="E48" s="478" t="n">
        <f aca="false">Q_ail</f>
        <v>4</v>
      </c>
      <c r="F48" s="491" t="s">
        <v>494</v>
      </c>
      <c r="G48" s="491" t="s">
        <v>495</v>
      </c>
      <c r="H48" s="522" t="n">
        <f aca="false">MS_Cn_min</f>
        <v>44.1929857020459</v>
      </c>
      <c r="I48" s="523" t="n">
        <f aca="false">MS_Cn_max</f>
        <v>68.427098616561</v>
      </c>
      <c r="N48" s="426"/>
    </row>
    <row r="49" customFormat="false" ht="12.75" hidden="false" customHeight="false" outlineLevel="0" collapsed="false">
      <c r="B49" s="227"/>
      <c r="D49" s="477" t="s">
        <v>440</v>
      </c>
      <c r="E49" s="478" t="n">
        <f aca="false">XpropuRef-Long_propu</f>
        <v>1716</v>
      </c>
      <c r="N49" s="426"/>
    </row>
    <row r="50" customFormat="false" ht="12.75" hidden="false" customHeight="false" outlineLevel="0" collapsed="false">
      <c r="B50" s="227"/>
      <c r="D50" s="477" t="s">
        <v>423</v>
      </c>
      <c r="E50" s="482" t="str">
        <f aca="false">Forme_ogive</f>
        <v>Ogivale (pointue)</v>
      </c>
      <c r="F50" s="466" t="s">
        <v>93</v>
      </c>
      <c r="G50" s="471" t="s">
        <v>159</v>
      </c>
      <c r="H50" s="473" t="n">
        <f aca="false">Cx</f>
        <v>0.85</v>
      </c>
      <c r="I50" s="518"/>
      <c r="J50" s="524"/>
      <c r="N50" s="426"/>
    </row>
    <row r="51" customFormat="false" ht="12.75" hidden="false" customHeight="false" outlineLevel="0" collapsed="false">
      <c r="B51" s="227"/>
      <c r="D51" s="477" t="s">
        <v>496</v>
      </c>
      <c r="E51" s="478" t="n">
        <f aca="false">Long_tot</f>
        <v>2195</v>
      </c>
      <c r="G51" s="477" t="s">
        <v>497</v>
      </c>
      <c r="H51" s="160" t="n">
        <f aca="false">Sref</f>
        <v>0.00885398163397448</v>
      </c>
      <c r="J51" s="525"/>
      <c r="N51" s="426"/>
    </row>
    <row r="52" customFormat="false" ht="12.75" hidden="false" customHeight="false" outlineLevel="0" collapsed="false">
      <c r="B52" s="227"/>
      <c r="D52" s="477" t="s">
        <v>498</v>
      </c>
      <c r="E52" s="478" t="n">
        <f aca="false">MAX(D_ref,D_ail,D_og,(RIGHT(Nb_diam,1)=",")*MAX(D1j,D1r,D2j,D2r))</f>
        <v>100</v>
      </c>
      <c r="G52" s="477" t="s">
        <v>499</v>
      </c>
      <c r="H52" s="160" t="n">
        <f aca="false">Beta_rampe</f>
        <v>80</v>
      </c>
      <c r="I52" s="160" t="n">
        <v>80</v>
      </c>
      <c r="J52" s="478" t="n">
        <v>90</v>
      </c>
      <c r="N52" s="426"/>
    </row>
    <row r="53" customFormat="false" ht="12.75" hidden="false" customHeight="false" outlineLevel="0" collapsed="false">
      <c r="B53" s="227"/>
      <c r="D53" s="526" t="s">
        <v>500</v>
      </c>
      <c r="E53" s="527" t="n">
        <f aca="false">E_ail*2+D_ail</f>
        <v>350</v>
      </c>
      <c r="G53" s="528" t="s">
        <v>501</v>
      </c>
      <c r="H53" s="480" t="n">
        <f aca="false">Temps_culmi</f>
        <v>14.7</v>
      </c>
      <c r="I53" s="529"/>
      <c r="J53" s="530"/>
      <c r="N53" s="426"/>
    </row>
    <row r="54" customFormat="false" ht="12.75" hidden="false" customHeight="false" outlineLevel="0" collapsed="false">
      <c r="B54" s="227"/>
      <c r="G54" s="528" t="s">
        <v>502</v>
      </c>
      <c r="H54" s="512" t="n">
        <f aca="false">Altitude_culmi</f>
        <v>1190.7418963748</v>
      </c>
      <c r="I54" s="529"/>
      <c r="J54" s="530"/>
      <c r="N54" s="426"/>
    </row>
    <row r="55" customFormat="false" ht="12.75" hidden="false" customHeight="false" outlineLevel="0" collapsed="false">
      <c r="B55" s="227"/>
      <c r="C55" s="471" t="s">
        <v>503</v>
      </c>
      <c r="D55" s="531" t="s">
        <v>219</v>
      </c>
      <c r="E55" s="472" t="n">
        <f aca="false">Long_tot</f>
        <v>2195</v>
      </c>
      <c r="G55" s="528" t="s">
        <v>504</v>
      </c>
      <c r="H55" s="514" t="n">
        <f aca="false">Vit_culmi</f>
        <v>22.0576606162519</v>
      </c>
      <c r="I55" s="529"/>
      <c r="J55" s="530"/>
      <c r="N55" s="426"/>
    </row>
    <row r="56" customFormat="false" ht="12.75" hidden="false" customHeight="false" outlineLevel="0" collapsed="false">
      <c r="B56" s="227"/>
      <c r="C56" s="477"/>
      <c r="D56" s="152" t="s">
        <v>505</v>
      </c>
      <c r="E56" s="478" t="n">
        <f aca="false">MAX(D_ref,D_ail,D_og,(RIGHT(Nb_diam,1)=",")*MAX(D1j,D1r,D2j,D2r))</f>
        <v>100</v>
      </c>
      <c r="G56" s="528" t="s">
        <v>462</v>
      </c>
      <c r="H56" s="512" t="n">
        <f aca="false">Portee_balistique</f>
        <v>690.928492655337</v>
      </c>
      <c r="I56" s="529"/>
      <c r="J56" s="530"/>
      <c r="N56" s="426"/>
    </row>
    <row r="57" customFormat="false" ht="12.75" hidden="false" customHeight="false" outlineLevel="0" collapsed="false">
      <c r="B57" s="227"/>
      <c r="C57" s="477"/>
      <c r="D57" s="152" t="s">
        <v>506</v>
      </c>
      <c r="E57" s="478" t="n">
        <f aca="false">E_ail*2+D_ail</f>
        <v>350</v>
      </c>
      <c r="G57" s="528" t="s">
        <v>507</v>
      </c>
      <c r="H57" s="512" t="n">
        <f aca="false">T_balistique</f>
        <v>32.1000000000002</v>
      </c>
      <c r="I57" s="529"/>
      <c r="J57" s="530"/>
      <c r="N57" s="426"/>
    </row>
    <row r="58" customFormat="false" ht="12.75" hidden="false" customHeight="false" outlineLevel="0" collapsed="false">
      <c r="B58" s="227"/>
      <c r="C58" s="477"/>
      <c r="D58" s="152" t="s">
        <v>508</v>
      </c>
      <c r="E58" s="478" t="n">
        <f aca="false">MassePlein</f>
        <v>9.432</v>
      </c>
      <c r="G58" s="528" t="s">
        <v>466</v>
      </c>
      <c r="H58" s="514" t="n">
        <f aca="false">Vit_max</f>
        <v>194.4751271864</v>
      </c>
      <c r="I58" s="529"/>
      <c r="J58" s="530"/>
      <c r="N58" s="426"/>
    </row>
    <row r="59" customFormat="false" ht="12.75" hidden="false" customHeight="false" outlineLevel="0" collapsed="false">
      <c r="B59" s="227"/>
      <c r="C59" s="526" t="s">
        <v>509</v>
      </c>
      <c r="D59" s="520" t="s">
        <v>434</v>
      </c>
      <c r="E59" s="527" t="n">
        <f aca="false">Q_ail</f>
        <v>4</v>
      </c>
      <c r="G59" s="528" t="s">
        <v>465</v>
      </c>
      <c r="H59" s="512" t="n">
        <f aca="false">Acc_max</f>
        <v>134.135194369221</v>
      </c>
      <c r="I59" s="529"/>
      <c r="J59" s="530"/>
      <c r="N59" s="426"/>
    </row>
    <row r="60" customFormat="false" ht="12.75" hidden="false" customHeight="false" outlineLevel="0" collapsed="false">
      <c r="B60" s="227"/>
      <c r="C60" s="320"/>
      <c r="G60" s="488" t="s">
        <v>510</v>
      </c>
      <c r="H60" s="532"/>
      <c r="I60" s="532"/>
      <c r="J60" s="489"/>
      <c r="N60" s="426"/>
    </row>
    <row r="61" customFormat="false" ht="12.75" hidden="false" customHeight="false" outlineLevel="0" collapsed="false">
      <c r="B61" s="227"/>
      <c r="C61" s="471"/>
      <c r="D61" s="531"/>
      <c r="E61" s="473" t="s">
        <v>330</v>
      </c>
      <c r="F61" s="472" t="s">
        <v>332</v>
      </c>
      <c r="G61" s="152"/>
      <c r="H61" s="152"/>
      <c r="I61" s="152"/>
      <c r="J61" s="152"/>
      <c r="K61" s="152"/>
      <c r="N61" s="426"/>
    </row>
    <row r="62" customFormat="false" ht="12.75" hidden="false" customHeight="false" outlineLevel="0" collapsed="false">
      <c r="B62" s="227"/>
      <c r="C62" s="477" t="s">
        <v>511</v>
      </c>
      <c r="D62" s="152" t="s">
        <v>512</v>
      </c>
      <c r="E62" s="512" t="n">
        <f aca="false">2*Acc_max*MassePlein</f>
        <v>2530.32630658098</v>
      </c>
      <c r="F62" s="533" t="n">
        <f aca="false">E62/9.81</f>
        <v>257.933364585218</v>
      </c>
      <c r="H62" s="152"/>
      <c r="I62" s="152"/>
      <c r="J62" s="152"/>
      <c r="K62" s="152"/>
      <c r="N62" s="426"/>
    </row>
    <row r="63" customFormat="false" ht="12.75" hidden="false" customHeight="false" outlineLevel="0" collapsed="false">
      <c r="B63" s="227"/>
      <c r="C63" s="477"/>
      <c r="D63" s="152" t="s">
        <v>513</v>
      </c>
      <c r="E63" s="512" t="n">
        <f aca="false">2*Acc_max*Masse_ail</f>
        <v>29.5097427612286</v>
      </c>
      <c r="F63" s="514" t="n">
        <f aca="false">E63/9.81</f>
        <v>3.00812872183778</v>
      </c>
      <c r="G63" s="473" t="s">
        <v>514</v>
      </c>
      <c r="H63" s="534" t="n">
        <f aca="false">S_ail*(ep_ail/1000)*2000</f>
        <v>0.11</v>
      </c>
      <c r="I63" s="152"/>
      <c r="J63" s="152"/>
      <c r="K63" s="152"/>
      <c r="N63" s="426"/>
    </row>
    <row r="64" customFormat="false" ht="12.75" hidden="false" customHeight="false" outlineLevel="0" collapsed="false">
      <c r="B64" s="227"/>
      <c r="C64" s="526"/>
      <c r="D64" s="520" t="s">
        <v>515</v>
      </c>
      <c r="E64" s="494" t="n">
        <f aca="false">0.104*S_ail*Vit_max^2</f>
        <v>108.166844769316</v>
      </c>
      <c r="F64" s="535" t="n">
        <f aca="false">E64/9.81</f>
        <v>11.0261819336714</v>
      </c>
      <c r="G64" s="491" t="s">
        <v>516</v>
      </c>
      <c r="H64" s="536" t="n">
        <f aca="false">(E_ail*(m_ail+n_ail)/2)/10^6</f>
        <v>0.0275</v>
      </c>
      <c r="I64" s="152"/>
      <c r="J64" s="152"/>
      <c r="K64" s="152"/>
      <c r="N64" s="426"/>
    </row>
    <row r="65" customFormat="false" ht="12.75" hidden="false" customHeight="false" outlineLevel="0" collapsed="false">
      <c r="B65" s="227"/>
      <c r="C65" s="537" t="s">
        <v>517</v>
      </c>
      <c r="D65" s="538" t="s">
        <v>518</v>
      </c>
      <c r="E65" s="539" t="n">
        <f aca="false">2*Acc_max*H65</f>
        <v>1265.16315329049</v>
      </c>
      <c r="F65" s="539" t="n">
        <f aca="false">E65/9.81</f>
        <v>128.966682292609</v>
      </c>
      <c r="G65" s="540" t="s">
        <v>519</v>
      </c>
      <c r="H65" s="541" t="n">
        <f aca="false">E58/2</f>
        <v>4.716</v>
      </c>
      <c r="I65" s="152"/>
      <c r="J65" s="152"/>
      <c r="K65" s="152"/>
      <c r="N65" s="426"/>
    </row>
    <row r="66" customFormat="false" ht="12.75" hidden="false" customHeight="false" outlineLevel="0" collapsed="false">
      <c r="B66" s="227"/>
      <c r="C66" s="160"/>
      <c r="D66" s="152"/>
      <c r="E66" s="152"/>
      <c r="F66" s="152"/>
      <c r="G66" s="152"/>
      <c r="H66" s="152"/>
      <c r="I66" s="152"/>
      <c r="J66" s="152"/>
      <c r="K66" s="152"/>
      <c r="N66" s="426"/>
    </row>
    <row r="67" customFormat="false" ht="12.75" hidden="false" customHeight="false" outlineLevel="0" collapsed="false">
      <c r="B67" s="227"/>
      <c r="F67" s="471" t="s">
        <v>520</v>
      </c>
      <c r="G67" s="531" t="s">
        <v>521</v>
      </c>
      <c r="H67" s="542" t="n">
        <f aca="false">T_para</f>
        <v>16</v>
      </c>
      <c r="I67" s="474" t="n">
        <f aca="false">Temps_culmi</f>
        <v>14.7</v>
      </c>
      <c r="J67" s="152"/>
      <c r="K67" s="152"/>
      <c r="N67" s="426"/>
    </row>
    <row r="68" customFormat="false" ht="12.75" hidden="false" customHeight="false" outlineLevel="0" collapsed="false">
      <c r="B68" s="227"/>
      <c r="C68" s="160"/>
      <c r="D68" s="152"/>
      <c r="E68" s="152"/>
      <c r="F68" s="471" t="s">
        <v>522</v>
      </c>
      <c r="G68" s="531" t="s">
        <v>436</v>
      </c>
      <c r="H68" s="542" t="n">
        <f aca="false">V_para</f>
        <v>8.24675843682921</v>
      </c>
      <c r="I68" s="474" t="n">
        <f aca="false">V_satellite</f>
        <v>12.6555626230572</v>
      </c>
      <c r="J68" s="152"/>
      <c r="K68" s="152"/>
      <c r="N68" s="426"/>
    </row>
    <row r="69" customFormat="false" ht="12.75" hidden="false" customHeight="false" outlineLevel="0" collapsed="false">
      <c r="B69" s="227"/>
      <c r="C69" s="160"/>
      <c r="D69" s="152"/>
      <c r="E69" s="152"/>
      <c r="F69" s="477"/>
      <c r="G69" s="152" t="s">
        <v>523</v>
      </c>
      <c r="H69" s="480" t="n">
        <f aca="false">S_para</f>
        <v>1.99</v>
      </c>
      <c r="I69" s="479" t="n">
        <f aca="false">S_satellite</f>
        <v>0.1</v>
      </c>
      <c r="J69" s="152"/>
      <c r="K69" s="152"/>
      <c r="N69" s="426"/>
    </row>
    <row r="70" customFormat="false" ht="12.75" hidden="false" customHeight="false" outlineLevel="0" collapsed="false">
      <c r="B70" s="227"/>
      <c r="C70" s="495"/>
      <c r="D70" s="152"/>
      <c r="F70" s="477"/>
      <c r="G70" s="152" t="s">
        <v>524</v>
      </c>
      <c r="H70" s="480" t="n">
        <f aca="false">V_ouverture</f>
        <v>24.7696867752774</v>
      </c>
      <c r="I70" s="479" t="n">
        <f aca="false">V_ouv_sat</f>
        <v>148.743880813105</v>
      </c>
      <c r="N70" s="426"/>
    </row>
    <row r="71" customFormat="false" ht="12.75" hidden="false" customHeight="false" outlineLevel="0" collapsed="false">
      <c r="B71" s="227"/>
      <c r="C71" s="495"/>
      <c r="F71" s="477"/>
      <c r="G71" s="152" t="s">
        <v>483</v>
      </c>
      <c r="H71" s="480" t="n">
        <f aca="false">m_vide</f>
        <v>8.45</v>
      </c>
      <c r="I71" s="479" t="n">
        <f aca="false">m_satellite</f>
        <v>1</v>
      </c>
      <c r="N71" s="426"/>
    </row>
    <row r="72" customFormat="false" ht="12.75" hidden="false" customHeight="false" outlineLevel="0" collapsed="false">
      <c r="B72" s="227"/>
      <c r="C72" s="495"/>
      <c r="F72" s="477"/>
      <c r="G72" s="152" t="s">
        <v>525</v>
      </c>
      <c r="H72" s="513" t="n">
        <f aca="false">1/2*Rho_moyen*S_para*V_ouverture^2</f>
        <v>747.825377637517</v>
      </c>
      <c r="I72" s="543" t="n">
        <f aca="false">1/2*Rho_moyen*S_satellite*V_ouv_sat^2</f>
        <v>1355.14045235978</v>
      </c>
      <c r="N72" s="426"/>
    </row>
    <row r="73" customFormat="false" ht="12.75" hidden="false" customHeight="false" outlineLevel="0" collapsed="false">
      <c r="B73" s="227"/>
      <c r="D73" s="152"/>
      <c r="F73" s="526"/>
      <c r="G73" s="520" t="s">
        <v>526</v>
      </c>
      <c r="H73" s="522" t="n">
        <f aca="false">H72/9.81</f>
        <v>76.2309253453126</v>
      </c>
      <c r="I73" s="544" t="n">
        <f aca="false">I72/9.81</f>
        <v>138.138680158999</v>
      </c>
      <c r="N73" s="426"/>
    </row>
    <row r="74" customFormat="false" ht="13.5" hidden="false" customHeight="false" outlineLevel="0" collapsed="false">
      <c r="B74" s="431"/>
      <c r="C74" s="432"/>
      <c r="D74" s="432"/>
      <c r="E74" s="432"/>
      <c r="F74" s="432"/>
      <c r="G74" s="432"/>
      <c r="H74" s="432"/>
      <c r="I74" s="432"/>
      <c r="J74" s="432"/>
      <c r="K74" s="432"/>
      <c r="L74" s="432"/>
      <c r="M74" s="432"/>
      <c r="N74" s="433"/>
    </row>
    <row r="76" customFormat="false" ht="13.5" hidden="false" customHeight="false" outlineLevel="0" collapsed="false"/>
    <row r="77" customFormat="false" ht="12.75" hidden="false" customHeight="false" outlineLevel="0" collapsed="false">
      <c r="B77" s="465"/>
      <c r="C77" s="424"/>
      <c r="D77" s="424"/>
      <c r="E77" s="424"/>
      <c r="F77" s="424"/>
      <c r="G77" s="424"/>
      <c r="H77" s="424"/>
      <c r="I77" s="424"/>
      <c r="J77" s="424"/>
      <c r="K77" s="424"/>
      <c r="L77" s="424"/>
      <c r="M77" s="424"/>
      <c r="N77" s="425"/>
    </row>
    <row r="78" customFormat="false" ht="12.75" hidden="false" customHeight="false" outlineLevel="0" collapsed="false">
      <c r="B78" s="227"/>
      <c r="D78" s="152" t="s">
        <v>527</v>
      </c>
      <c r="N78" s="426"/>
    </row>
    <row r="79" customFormat="false" ht="12.75" hidden="false" customHeight="true" outlineLevel="0" collapsed="false">
      <c r="B79" s="227"/>
      <c r="E79" s="459"/>
      <c r="F79" s="459"/>
      <c r="G79" s="545" t="s">
        <v>528</v>
      </c>
      <c r="I79" s="546"/>
      <c r="J79" s="459"/>
      <c r="K79" s="459"/>
      <c r="N79" s="426"/>
    </row>
    <row r="80" customFormat="false" ht="12.75" hidden="false" customHeight="false" outlineLevel="0" collapsed="false">
      <c r="B80" s="227"/>
      <c r="C80" s="471" t="s">
        <v>529</v>
      </c>
      <c r="D80" s="472" t="str">
        <f aca="false">Nom</f>
        <v>Hellfire</v>
      </c>
      <c r="E80" s="459"/>
      <c r="F80" s="459"/>
      <c r="G80" s="459"/>
      <c r="H80" s="459"/>
      <c r="I80" s="459"/>
      <c r="J80" s="459"/>
      <c r="K80" s="459"/>
      <c r="N80" s="426"/>
    </row>
    <row r="81" customFormat="false" ht="13.5" hidden="false" customHeight="false" outlineLevel="0" collapsed="false">
      <c r="B81" s="227"/>
      <c r="C81" s="477" t="s">
        <v>6</v>
      </c>
      <c r="D81" s="478" t="str">
        <f aca="false">Club</f>
        <v>Acelspace</v>
      </c>
      <c r="E81" s="459"/>
      <c r="F81" s="459"/>
      <c r="G81" s="459"/>
      <c r="H81" s="459"/>
      <c r="I81" s="459"/>
      <c r="J81" s="459"/>
      <c r="K81" s="459"/>
      <c r="N81" s="426"/>
    </row>
    <row r="82" customFormat="false" ht="13.5" hidden="false" customHeight="false" outlineLevel="0" collapsed="false">
      <c r="B82" s="227"/>
      <c r="C82" s="547" t="s">
        <v>530</v>
      </c>
      <c r="D82" s="478" t="s">
        <v>11</v>
      </c>
      <c r="E82" s="466" t="s">
        <v>414</v>
      </c>
      <c r="F82" s="467" t="n">
        <f aca="false">Long_ogive</f>
        <v>40</v>
      </c>
      <c r="G82" s="459"/>
      <c r="H82" s="459"/>
      <c r="I82" s="459"/>
      <c r="J82" s="459"/>
      <c r="K82" s="459"/>
      <c r="N82" s="426"/>
    </row>
    <row r="83" customFormat="false" ht="12.75" hidden="false" customHeight="false" outlineLevel="0" collapsed="false">
      <c r="B83" s="227"/>
      <c r="C83" s="526" t="s">
        <v>531</v>
      </c>
      <c r="D83" s="548" t="n">
        <f aca="true">TODAY()</f>
        <v>45304</v>
      </c>
      <c r="E83" s="459"/>
      <c r="F83" s="468"/>
      <c r="G83" s="459"/>
      <c r="H83" s="459"/>
      <c r="I83" s="459"/>
      <c r="J83" s="459"/>
      <c r="K83" s="459"/>
      <c r="N83" s="426"/>
    </row>
    <row r="84" customFormat="false" ht="13.5" hidden="false" customHeight="false" outlineLevel="0" collapsed="false">
      <c r="B84" s="227"/>
      <c r="E84" s="459"/>
      <c r="F84" s="468"/>
      <c r="G84" s="459"/>
      <c r="H84" s="459"/>
      <c r="I84" s="459"/>
      <c r="J84" s="476" t="n">
        <f aca="false">IF(RIGHT(Nb_diam,1)=",", "", X_j)</f>
        <v>40</v>
      </c>
      <c r="K84" s="459"/>
      <c r="N84" s="426"/>
    </row>
    <row r="85" customFormat="false" ht="13.5" hidden="false" customHeight="false" outlineLevel="0" collapsed="false">
      <c r="B85" s="227"/>
      <c r="C85" s="471" t="s">
        <v>532</v>
      </c>
      <c r="D85" s="472" t="str">
        <f aca="false">Propu</f>
        <v>Pro54-5G WT</v>
      </c>
      <c r="E85" s="466" t="s">
        <v>428</v>
      </c>
      <c r="F85" s="467" t="n">
        <f aca="false">D_og</f>
        <v>90</v>
      </c>
      <c r="G85" s="459"/>
      <c r="H85" s="459"/>
      <c r="I85" s="459"/>
      <c r="J85" s="468"/>
      <c r="K85" s="459"/>
      <c r="N85" s="426"/>
    </row>
    <row r="86" customFormat="false" ht="12.75" hidden="false" customHeight="false" outlineLevel="0" collapsed="false">
      <c r="B86" s="227"/>
      <c r="C86" s="526" t="s">
        <v>533</v>
      </c>
      <c r="D86" s="527" t="s">
        <v>11</v>
      </c>
      <c r="E86" s="459"/>
      <c r="F86" s="468"/>
      <c r="G86" s="459"/>
      <c r="H86" s="459"/>
      <c r="I86" s="459"/>
      <c r="J86" s="476" t="n">
        <f aca="false">IF(RIGHT(Nb_diam,1)=",", "", X_r)</f>
        <v>500</v>
      </c>
      <c r="K86" s="459"/>
      <c r="N86" s="426"/>
    </row>
    <row r="87" customFormat="false" ht="12.75" hidden="false" customHeight="false" outlineLevel="0" collapsed="false">
      <c r="B87" s="227"/>
      <c r="E87" s="459"/>
      <c r="F87" s="468"/>
      <c r="G87" s="459"/>
      <c r="H87" s="459"/>
      <c r="I87" s="459"/>
      <c r="J87" s="468"/>
      <c r="K87" s="459"/>
      <c r="N87" s="426"/>
    </row>
    <row r="88" customFormat="false" ht="12.75" hidden="false" customHeight="false" outlineLevel="0" collapsed="false">
      <c r="B88" s="227"/>
      <c r="E88" s="459"/>
      <c r="F88" s="468"/>
      <c r="G88" s="459"/>
      <c r="H88" s="459"/>
      <c r="I88" s="459"/>
      <c r="J88" s="476" t="n">
        <f aca="false">IF(RIGHT(Nb_diam,1)=",", "", l_j)</f>
        <v>188</v>
      </c>
      <c r="K88" s="459"/>
      <c r="N88" s="426"/>
    </row>
    <row r="89" customFormat="false" ht="13.5" hidden="false" customHeight="false" outlineLevel="0" collapsed="false">
      <c r="B89" s="227"/>
      <c r="E89" s="459"/>
      <c r="F89" s="468"/>
      <c r="G89" s="459"/>
      <c r="H89" s="459"/>
      <c r="I89" s="459"/>
      <c r="J89" s="468"/>
      <c r="K89" s="459"/>
      <c r="N89" s="426"/>
    </row>
    <row r="90" customFormat="false" ht="13.5" hidden="false" customHeight="false" outlineLevel="0" collapsed="false">
      <c r="B90" s="227"/>
      <c r="E90" s="484" t="s">
        <v>439</v>
      </c>
      <c r="F90" s="476" t="n">
        <f aca="false">IF(RIGHT(Nb_diam,1)=",", "", D2j)</f>
        <v>100</v>
      </c>
      <c r="G90" s="459"/>
      <c r="H90" s="459"/>
      <c r="I90" s="459"/>
      <c r="J90" s="467" t="n">
        <f aca="false">X_ail-m_ail</f>
        <v>1905</v>
      </c>
      <c r="K90" s="152"/>
      <c r="N90" s="426"/>
    </row>
    <row r="91" customFormat="false" ht="12.75" hidden="false" customHeight="false" outlineLevel="0" collapsed="false">
      <c r="B91" s="227"/>
      <c r="E91" s="459"/>
      <c r="F91" s="468"/>
      <c r="G91" s="459"/>
      <c r="H91" s="459"/>
      <c r="I91" s="459"/>
      <c r="J91" s="468"/>
      <c r="K91" s="459"/>
      <c r="N91" s="426"/>
    </row>
    <row r="92" customFormat="false" ht="12.75" hidden="false" customHeight="false" outlineLevel="0" collapsed="false">
      <c r="B92" s="227"/>
      <c r="E92" s="459"/>
      <c r="F92" s="468"/>
      <c r="G92" s="459"/>
      <c r="H92" s="459"/>
      <c r="I92" s="459"/>
      <c r="J92" s="476" t="n">
        <f aca="false">IF(RIGHT(Nb_diam,1)=",", "", l_r)</f>
        <v>50</v>
      </c>
      <c r="K92" s="459"/>
      <c r="N92" s="426"/>
    </row>
    <row r="93" customFormat="false" ht="12.75" hidden="false" customHeight="false" outlineLevel="0" collapsed="false">
      <c r="B93" s="227"/>
      <c r="E93" s="459"/>
      <c r="F93" s="468"/>
      <c r="G93" s="459"/>
      <c r="H93" s="459"/>
      <c r="I93" s="459"/>
      <c r="J93" s="468"/>
      <c r="K93" s="459"/>
      <c r="N93" s="426"/>
    </row>
    <row r="94" customFormat="false" ht="12.75" hidden="false" customHeight="false" outlineLevel="0" collapsed="false">
      <c r="B94" s="227"/>
      <c r="E94" s="484" t="s">
        <v>534</v>
      </c>
      <c r="F94" s="476" t="n">
        <f aca="false">IF(RIGHT(Nb_diam,1)=",", "", D2r)</f>
        <v>100</v>
      </c>
      <c r="G94" s="459"/>
      <c r="H94" s="459"/>
      <c r="I94" s="459"/>
      <c r="J94" s="468"/>
      <c r="K94" s="459"/>
      <c r="N94" s="426"/>
    </row>
    <row r="95" customFormat="false" ht="12.75" hidden="false" customHeight="false" outlineLevel="0" collapsed="false">
      <c r="B95" s="227"/>
      <c r="E95" s="459"/>
      <c r="F95" s="468"/>
      <c r="G95" s="459"/>
      <c r="H95" s="459"/>
      <c r="I95" s="459"/>
      <c r="J95" s="468"/>
      <c r="K95" s="459"/>
      <c r="N95" s="426"/>
    </row>
    <row r="96" customFormat="false" ht="13.5" hidden="false" customHeight="false" outlineLevel="0" collapsed="false">
      <c r="B96" s="227"/>
      <c r="E96" s="459"/>
      <c r="F96" s="468"/>
      <c r="G96" s="459"/>
      <c r="H96" s="459"/>
      <c r="I96" s="459"/>
      <c r="J96" s="468"/>
      <c r="K96" s="459"/>
      <c r="N96" s="426"/>
    </row>
    <row r="97" customFormat="false" ht="13.5" hidden="false" customHeight="false" outlineLevel="0" collapsed="false">
      <c r="B97" s="227"/>
      <c r="E97" s="466" t="s">
        <v>474</v>
      </c>
      <c r="F97" s="467" t="n">
        <f aca="false">m_ail</f>
        <v>290</v>
      </c>
      <c r="G97" s="459"/>
      <c r="H97" s="459"/>
      <c r="I97" s="459"/>
      <c r="J97" s="467" t="n">
        <f aca="false">p_ail</f>
        <v>73</v>
      </c>
      <c r="K97" s="152"/>
      <c r="N97" s="426"/>
    </row>
    <row r="98" customFormat="false" ht="12.75" hidden="false" customHeight="false" outlineLevel="0" collapsed="false">
      <c r="B98" s="227"/>
      <c r="E98" s="459"/>
      <c r="F98" s="459"/>
      <c r="G98" s="459"/>
      <c r="H98" s="459"/>
      <c r="I98" s="459"/>
      <c r="J98" s="468"/>
      <c r="K98" s="459"/>
      <c r="N98" s="426"/>
    </row>
    <row r="99" customFormat="false" ht="12.75" hidden="false" customHeight="false" outlineLevel="0" collapsed="false">
      <c r="B99" s="227"/>
      <c r="E99" s="459"/>
      <c r="F99" s="459"/>
      <c r="G99" s="459"/>
      <c r="H99" s="459"/>
      <c r="I99" s="459"/>
      <c r="J99" s="468"/>
      <c r="K99" s="459"/>
      <c r="N99" s="426"/>
    </row>
    <row r="100" customFormat="false" ht="13.5" hidden="false" customHeight="false" outlineLevel="0" collapsed="false">
      <c r="B100" s="227"/>
      <c r="D100" s="549" t="s">
        <v>535</v>
      </c>
      <c r="E100" s="473" t="n">
        <f aca="false">Q_ail</f>
        <v>4</v>
      </c>
      <c r="F100" s="550"/>
      <c r="G100" s="459"/>
      <c r="H100" s="459"/>
      <c r="I100" s="459"/>
      <c r="J100" s="468"/>
      <c r="K100" s="459"/>
      <c r="N100" s="426"/>
    </row>
    <row r="101" customFormat="false" ht="13.5" hidden="false" customHeight="false" outlineLevel="0" collapsed="false">
      <c r="B101" s="227"/>
      <c r="D101" s="551" t="s">
        <v>536</v>
      </c>
      <c r="E101" s="160" t="n">
        <f aca="false">XpropuRef-Long_propu</f>
        <v>1716</v>
      </c>
      <c r="F101" s="552"/>
      <c r="G101" s="459"/>
      <c r="H101" s="459"/>
      <c r="I101" s="459"/>
      <c r="J101" s="467" t="n">
        <f aca="false">n_ail</f>
        <v>150</v>
      </c>
      <c r="K101" s="152"/>
      <c r="N101" s="426"/>
    </row>
    <row r="102" customFormat="false" ht="12.75" hidden="false" customHeight="false" outlineLevel="0" collapsed="false">
      <c r="B102" s="227"/>
      <c r="D102" s="551" t="s">
        <v>537</v>
      </c>
      <c r="E102" s="160" t="n">
        <f aca="false">IF(LEFT(Forme_ogive,4)="Ogiv",1,0)</f>
        <v>1</v>
      </c>
      <c r="F102" s="552" t="s">
        <v>538</v>
      </c>
      <c r="G102" s="459"/>
      <c r="H102" s="459"/>
      <c r="I102" s="459"/>
      <c r="J102" s="468"/>
      <c r="K102" s="459"/>
      <c r="N102" s="426"/>
    </row>
    <row r="103" customFormat="false" ht="12.75" hidden="false" customHeight="false" outlineLevel="0" collapsed="false">
      <c r="B103" s="227"/>
      <c r="D103" s="551"/>
      <c r="E103" s="160" t="n">
        <f aca="false">IF(LEFT(Forme_ogive,3)="Con",1,0)</f>
        <v>0</v>
      </c>
      <c r="F103" s="552" t="s">
        <v>70</v>
      </c>
      <c r="G103" s="459"/>
      <c r="H103" s="459"/>
      <c r="I103" s="459"/>
      <c r="J103" s="468"/>
      <c r="K103" s="459"/>
      <c r="N103" s="426"/>
    </row>
    <row r="104" customFormat="false" ht="13.5" hidden="false" customHeight="false" outlineLevel="0" collapsed="false">
      <c r="B104" s="227"/>
      <c r="D104" s="553"/>
      <c r="E104" s="491" t="n">
        <f aca="false">IF(LEFT(Forme_ogive,5)="Parab",1,0)</f>
        <v>0</v>
      </c>
      <c r="F104" s="536" t="s">
        <v>539</v>
      </c>
      <c r="G104" s="459"/>
      <c r="H104" s="459"/>
      <c r="I104" s="459"/>
      <c r="J104" s="320" t="s">
        <v>540</v>
      </c>
      <c r="K104" s="459"/>
      <c r="N104" s="426"/>
    </row>
    <row r="105" customFormat="false" ht="13.5" hidden="false" customHeight="false" outlineLevel="0" collapsed="false">
      <c r="B105" s="227"/>
      <c r="D105" s="152"/>
      <c r="E105" s="152"/>
      <c r="F105" s="152"/>
      <c r="G105" s="466"/>
      <c r="H105" s="467" t="n">
        <f aca="false">E_ail</f>
        <v>125</v>
      </c>
      <c r="I105" s="466"/>
      <c r="J105" s="467" t="n">
        <f aca="false">ep_ail</f>
        <v>2</v>
      </c>
      <c r="K105" s="459"/>
      <c r="N105" s="426"/>
    </row>
    <row r="106" customFormat="false" ht="12.75" hidden="false" customHeight="false" outlineLevel="0" collapsed="false">
      <c r="B106" s="227"/>
      <c r="D106" s="549"/>
      <c r="E106" s="473" t="s">
        <v>541</v>
      </c>
      <c r="F106" s="472" t="s">
        <v>542</v>
      </c>
      <c r="N106" s="426"/>
    </row>
    <row r="107" customFormat="false" ht="12.75" hidden="false" customHeight="false" outlineLevel="0" collapsed="false">
      <c r="B107" s="227"/>
      <c r="D107" s="551" t="s">
        <v>543</v>
      </c>
      <c r="E107" s="160" t="n">
        <f aca="false">MasseSans</f>
        <v>7.8</v>
      </c>
      <c r="F107" s="478" t="n">
        <f aca="false">MassePlein</f>
        <v>9.432</v>
      </c>
      <c r="N107" s="426"/>
    </row>
    <row r="108" customFormat="false" ht="12.75" hidden="false" customHeight="false" outlineLevel="0" collapsed="false">
      <c r="B108" s="227"/>
      <c r="D108" s="553" t="s">
        <v>544</v>
      </c>
      <c r="E108" s="491" t="n">
        <f aca="false">XcgSans</f>
        <v>1180</v>
      </c>
      <c r="F108" s="527" t="n">
        <f aca="false">XcgPlein</f>
        <v>1316</v>
      </c>
      <c r="N108" s="426"/>
    </row>
    <row r="109" customFormat="false" ht="12.75" hidden="false" customHeight="false" outlineLevel="0" collapsed="false">
      <c r="B109" s="227"/>
      <c r="N109" s="426"/>
    </row>
    <row r="110" customFormat="false" ht="12.75" hidden="false" customHeight="false" outlineLevel="0" collapsed="false">
      <c r="B110" s="227"/>
      <c r="D110" s="554" t="s">
        <v>545</v>
      </c>
      <c r="E110" s="555" t="n">
        <f aca="false">MasseVide</f>
        <v>8.45</v>
      </c>
      <c r="G110" s="549" t="s">
        <v>546</v>
      </c>
      <c r="H110" s="518"/>
      <c r="I110" s="518"/>
      <c r="J110" s="524"/>
      <c r="N110" s="426"/>
    </row>
    <row r="111" customFormat="false" ht="12.75" hidden="false" customHeight="false" outlineLevel="0" collapsed="false">
      <c r="B111" s="227"/>
      <c r="G111" s="477" t="s">
        <v>499</v>
      </c>
      <c r="H111" s="160" t="n">
        <f aca="false">Beta_rampe</f>
        <v>80</v>
      </c>
      <c r="I111" s="160" t="n">
        <v>80</v>
      </c>
      <c r="J111" s="478" t="n">
        <v>90</v>
      </c>
      <c r="N111" s="426"/>
    </row>
    <row r="112" customFormat="false" ht="12.75" hidden="false" customHeight="false" outlineLevel="0" collapsed="false">
      <c r="B112" s="227"/>
      <c r="G112" s="528" t="s">
        <v>501</v>
      </c>
      <c r="H112" s="480" t="n">
        <f aca="false">Temps_culmi</f>
        <v>14.7</v>
      </c>
      <c r="I112" s="529"/>
      <c r="J112" s="530"/>
      <c r="N112" s="426"/>
    </row>
    <row r="113" customFormat="false" ht="12.75" hidden="false" customHeight="true" outlineLevel="0" collapsed="false">
      <c r="B113" s="227"/>
      <c r="D113" s="545" t="s">
        <v>547</v>
      </c>
      <c r="E113" s="459"/>
      <c r="G113" s="528" t="s">
        <v>502</v>
      </c>
      <c r="H113" s="512" t="n">
        <f aca="false">Altitude_culmi</f>
        <v>1190.7418963748</v>
      </c>
      <c r="I113" s="529"/>
      <c r="J113" s="530"/>
      <c r="N113" s="426"/>
    </row>
    <row r="114" customFormat="false" ht="12.75" hidden="false" customHeight="true" outlineLevel="0" collapsed="false">
      <c r="B114" s="227"/>
      <c r="D114" s="459"/>
      <c r="E114" s="459"/>
      <c r="F114" s="545"/>
      <c r="G114" s="528" t="s">
        <v>504</v>
      </c>
      <c r="H114" s="514" t="n">
        <f aca="false">Vit_culmi</f>
        <v>22.0576606162519</v>
      </c>
      <c r="I114" s="529"/>
      <c r="J114" s="530"/>
      <c r="N114" s="426"/>
    </row>
    <row r="115" customFormat="false" ht="12.75" hidden="false" customHeight="false" outlineLevel="0" collapsed="false">
      <c r="B115" s="227"/>
      <c r="C115" s="549" t="s">
        <v>548</v>
      </c>
      <c r="D115" s="531"/>
      <c r="E115" s="556" t="n">
        <v>0.1</v>
      </c>
      <c r="G115" s="528" t="s">
        <v>462</v>
      </c>
      <c r="H115" s="512" t="n">
        <f aca="false">Portee_balistique</f>
        <v>690.928492655337</v>
      </c>
      <c r="I115" s="529"/>
      <c r="J115" s="530"/>
      <c r="N115" s="426"/>
    </row>
    <row r="116" customFormat="false" ht="12.75" hidden="false" customHeight="true" outlineLevel="0" collapsed="false">
      <c r="B116" s="227"/>
      <c r="C116" s="553" t="s">
        <v>549</v>
      </c>
      <c r="D116" s="520"/>
      <c r="E116" s="557" t="n">
        <f aca="false">E_ail*(m_ail+n_ail)/2</f>
        <v>27500</v>
      </c>
      <c r="G116" s="528" t="s">
        <v>466</v>
      </c>
      <c r="H116" s="514" t="n">
        <f aca="false">Vit_max</f>
        <v>194.4751271864</v>
      </c>
      <c r="I116" s="529"/>
      <c r="J116" s="530"/>
      <c r="N116" s="426"/>
    </row>
    <row r="117" customFormat="false" ht="12.75" hidden="false" customHeight="true" outlineLevel="0" collapsed="false">
      <c r="B117" s="227"/>
      <c r="D117" s="459"/>
      <c r="E117" s="459"/>
      <c r="F117" s="459"/>
      <c r="G117" s="528" t="s">
        <v>465</v>
      </c>
      <c r="H117" s="512" t="n">
        <f aca="false">Acc_max</f>
        <v>134.135194369221</v>
      </c>
      <c r="I117" s="529"/>
      <c r="J117" s="530"/>
      <c r="N117" s="426"/>
    </row>
    <row r="118" customFormat="false" ht="12.75" hidden="false" customHeight="false" outlineLevel="0" collapsed="false">
      <c r="B118" s="227"/>
      <c r="C118" s="549" t="s">
        <v>550</v>
      </c>
      <c r="D118" s="531"/>
      <c r="E118" s="558"/>
      <c r="F118" s="559" t="n">
        <f aca="false">J90/100</f>
        <v>19.05</v>
      </c>
      <c r="G118" s="477" t="s">
        <v>159</v>
      </c>
      <c r="H118" s="160" t="n">
        <f aca="false">Cx</f>
        <v>0.85</v>
      </c>
      <c r="I118" s="529"/>
      <c r="J118" s="530"/>
      <c r="N118" s="426"/>
    </row>
    <row r="119" customFormat="false" ht="12.75" hidden="false" customHeight="false" outlineLevel="0" collapsed="false">
      <c r="B119" s="227"/>
      <c r="C119" s="551" t="s">
        <v>551</v>
      </c>
      <c r="D119" s="152"/>
      <c r="E119" s="560" t="n">
        <f aca="false">2*Acc_max*MasseSans</f>
        <v>2092.50903215985</v>
      </c>
      <c r="F119" s="561" t="n">
        <f aca="false">E119/g</f>
        <v>213.303673003042</v>
      </c>
      <c r="G119" s="488" t="s">
        <v>510</v>
      </c>
      <c r="H119" s="532"/>
      <c r="I119" s="532"/>
      <c r="J119" s="489"/>
      <c r="N119" s="426"/>
    </row>
    <row r="120" customFormat="false" ht="12.75" hidden="false" customHeight="false" outlineLevel="0" collapsed="false">
      <c r="B120" s="227"/>
      <c r="C120" s="551" t="s">
        <v>552</v>
      </c>
      <c r="D120" s="152"/>
      <c r="E120" s="560" t="n">
        <f aca="false">2*Acc_max*E115</f>
        <v>26.8270388738442</v>
      </c>
      <c r="F120" s="561" t="n">
        <f aca="false">E120/g</f>
        <v>2.73466247439798</v>
      </c>
      <c r="N120" s="426"/>
    </row>
    <row r="121" customFormat="false" ht="12.75" hidden="false" customHeight="false" outlineLevel="0" collapsed="false">
      <c r="B121" s="227"/>
      <c r="C121" s="553" t="s">
        <v>553</v>
      </c>
      <c r="D121" s="520"/>
      <c r="E121" s="562" t="n">
        <f aca="false">0.104*E116/1000000*Vit_max^2</f>
        <v>108.166844769316</v>
      </c>
      <c r="F121" s="563" t="n">
        <f aca="false">E121/g</f>
        <v>11.0261819336714</v>
      </c>
      <c r="G121" s="459"/>
      <c r="H121" s="459"/>
      <c r="I121" s="459"/>
      <c r="J121" s="459"/>
      <c r="N121" s="426"/>
    </row>
    <row r="122" customFormat="false" ht="12.75" hidden="false" customHeight="true" outlineLevel="0" collapsed="false">
      <c r="B122" s="227"/>
      <c r="H122" s="459"/>
      <c r="I122" s="459"/>
      <c r="J122" s="459"/>
      <c r="N122" s="426"/>
    </row>
    <row r="123" customFormat="false" ht="12.75" hidden="false" customHeight="true" outlineLevel="0" collapsed="false">
      <c r="B123" s="227"/>
      <c r="G123" s="545"/>
      <c r="H123" s="545"/>
      <c r="I123" s="545"/>
      <c r="J123" s="459"/>
      <c r="N123" s="426"/>
    </row>
    <row r="124" customFormat="false" ht="12.75" hidden="false" customHeight="true" outlineLevel="0" collapsed="false">
      <c r="B124" s="227"/>
      <c r="C124" s="459"/>
      <c r="D124" s="545" t="s">
        <v>554</v>
      </c>
      <c r="E124" s="546"/>
      <c r="J124" s="459"/>
      <c r="K124" s="459"/>
      <c r="N124" s="426"/>
    </row>
    <row r="125" customFormat="false" ht="12.75" hidden="false" customHeight="false" outlineLevel="0" collapsed="false">
      <c r="B125" s="227"/>
      <c r="C125" s="564" t="s">
        <v>555</v>
      </c>
      <c r="J125" s="459"/>
      <c r="K125" s="459"/>
      <c r="N125" s="426"/>
    </row>
    <row r="126" customFormat="false" ht="12.75" hidden="false" customHeight="false" outlineLevel="0" collapsed="false">
      <c r="B126" s="227"/>
      <c r="C126" s="549" t="s">
        <v>556</v>
      </c>
      <c r="D126" s="531"/>
      <c r="E126" s="565" t="n">
        <v>4</v>
      </c>
      <c r="G126" s="459"/>
      <c r="J126" s="459"/>
      <c r="N126" s="426"/>
    </row>
    <row r="127" customFormat="false" ht="12.75" hidden="false" customHeight="false" outlineLevel="0" collapsed="false">
      <c r="B127" s="227"/>
      <c r="C127" s="553" t="s">
        <v>557</v>
      </c>
      <c r="D127" s="520"/>
      <c r="E127" s="566" t="n">
        <f aca="false">S_para</f>
        <v>1.99</v>
      </c>
      <c r="G127" s="459"/>
      <c r="J127" s="459"/>
      <c r="N127" s="426"/>
    </row>
    <row r="128" customFormat="false" ht="12.75" hidden="false" customHeight="false" outlineLevel="0" collapsed="false">
      <c r="B128" s="227"/>
      <c r="C128" s="567" t="s">
        <v>558</v>
      </c>
      <c r="D128" s="567"/>
      <c r="E128" s="568" t="n">
        <f aca="false">0.5*Rho_moyen*S_para*Vit_culmi^2</f>
        <v>593.031920130488</v>
      </c>
      <c r="F128" s="569" t="n">
        <f aca="false">E128/g</f>
        <v>60.4517757523434</v>
      </c>
      <c r="H128" s="459"/>
      <c r="I128" s="459"/>
      <c r="J128" s="459"/>
      <c r="K128" s="459"/>
      <c r="N128" s="426"/>
    </row>
    <row r="129" customFormat="false" ht="12.75" hidden="false" customHeight="false" outlineLevel="0" collapsed="false">
      <c r="B129" s="227"/>
      <c r="C129" s="570" t="s">
        <v>559</v>
      </c>
      <c r="D129" s="570"/>
      <c r="E129" s="562" t="n">
        <f aca="false">E128/E126*2</f>
        <v>296.515960065244</v>
      </c>
      <c r="F129" s="563" t="n">
        <f aca="false">E129/g</f>
        <v>30.2258878761717</v>
      </c>
      <c r="H129" s="459"/>
      <c r="I129" s="459"/>
      <c r="J129" s="459"/>
      <c r="K129" s="459"/>
      <c r="N129" s="426"/>
    </row>
    <row r="130" customFormat="false" ht="12.75" hidden="false" customHeight="false" outlineLevel="0" collapsed="false">
      <c r="B130" s="227"/>
      <c r="C130" s="462"/>
      <c r="D130" s="462"/>
      <c r="E130" s="571"/>
      <c r="F130" s="572"/>
      <c r="H130" s="459"/>
      <c r="I130" s="459"/>
      <c r="J130" s="459"/>
      <c r="K130" s="459"/>
      <c r="N130" s="426"/>
    </row>
    <row r="131" customFormat="false" ht="12.75" hidden="false" customHeight="false" outlineLevel="0" collapsed="false">
      <c r="B131" s="227"/>
      <c r="C131" s="564" t="s">
        <v>560</v>
      </c>
      <c r="D131" s="459"/>
      <c r="E131" s="459"/>
      <c r="F131" s="459"/>
      <c r="G131" s="459"/>
      <c r="H131" s="459"/>
      <c r="I131" s="459"/>
      <c r="J131" s="459"/>
      <c r="K131" s="459"/>
      <c r="N131" s="426"/>
    </row>
    <row r="132" customFormat="false" ht="12.75" hidden="false" customHeight="false" outlineLevel="0" collapsed="false">
      <c r="B132" s="227"/>
      <c r="C132" s="567" t="s">
        <v>561</v>
      </c>
      <c r="D132" s="567"/>
      <c r="E132" s="573" t="n">
        <v>1</v>
      </c>
      <c r="F132" s="459"/>
      <c r="G132" s="459"/>
      <c r="H132" s="459"/>
      <c r="I132" s="459"/>
      <c r="J132" s="574"/>
      <c r="K132" s="459"/>
      <c r="N132" s="426"/>
    </row>
    <row r="133" customFormat="false" ht="12.75" hidden="false" customHeight="false" outlineLevel="0" collapsed="false">
      <c r="B133" s="227"/>
      <c r="C133" s="570" t="s">
        <v>562</v>
      </c>
      <c r="D133" s="570"/>
      <c r="E133" s="575" t="n">
        <f aca="false">2*E132*Acc_max/g</f>
        <v>27.3466247439798</v>
      </c>
      <c r="F133" s="459"/>
      <c r="G133" s="459"/>
      <c r="H133" s="459"/>
      <c r="I133" s="459"/>
      <c r="J133" s="459"/>
      <c r="K133" s="459"/>
      <c r="N133" s="426"/>
    </row>
    <row r="134" customFormat="false" ht="13.5" hidden="false" customHeight="false" outlineLevel="0" collapsed="false">
      <c r="B134" s="431"/>
      <c r="C134" s="576"/>
      <c r="D134" s="576"/>
      <c r="E134" s="576"/>
      <c r="F134" s="576"/>
      <c r="G134" s="576"/>
      <c r="H134" s="576"/>
      <c r="I134" s="576"/>
      <c r="J134" s="576"/>
      <c r="K134" s="576"/>
      <c r="L134" s="432"/>
      <c r="M134" s="432"/>
      <c r="N134" s="433"/>
    </row>
  </sheetData>
  <sheetProtection sheet="true" password="c6ac"/>
  <mergeCells count="22">
    <mergeCell ref="H11:I11"/>
    <mergeCell ref="H12:I12"/>
    <mergeCell ref="H13:I13"/>
    <mergeCell ref="H17:I17"/>
    <mergeCell ref="H18:I18"/>
    <mergeCell ref="H19:I19"/>
    <mergeCell ref="C29:C30"/>
    <mergeCell ref="D29:D30"/>
    <mergeCell ref="E29:G30"/>
    <mergeCell ref="H29:K29"/>
    <mergeCell ref="L29:L30"/>
    <mergeCell ref="M29:M30"/>
    <mergeCell ref="H30:I30"/>
    <mergeCell ref="E31:G31"/>
    <mergeCell ref="H31:I31"/>
    <mergeCell ref="H44:I44"/>
    <mergeCell ref="H45:I45"/>
    <mergeCell ref="H46:I46"/>
    <mergeCell ref="C128:D128"/>
    <mergeCell ref="C129:D129"/>
    <mergeCell ref="C132:D132"/>
    <mergeCell ref="C133:D133"/>
  </mergeCells>
  <conditionalFormatting sqref="F18:I19">
    <cfRule type="expression" priority="2" aboveAverage="0" equalAverage="0" bottom="0" percent="0" rank="0" text="" dxfId="53">
      <formula>IF(Propu="Cariacou",1,0)</formula>
    </cfRule>
  </conditionalFormatting>
  <conditionalFormatting sqref="D18:E18">
    <cfRule type="expression" priority="3" aboveAverage="0" equalAverage="0" bottom="0" percent="0" rank="0" text="" dxfId="54">
      <formula>IF(Propu="Cariacou",0,1)</formula>
    </cfRule>
  </conditionalFormatting>
  <conditionalFormatting sqref="I16 I68:I73">
    <cfRule type="expression" priority="4" aboveAverage="0" equalAverage="0" bottom="0" percent="0" rank="0" text="" dxfId="55">
      <formula>Nb_sat="0 satellite"</formula>
    </cfRule>
  </conditionalFormatting>
  <printOptions headings="false" gridLines="false" gridLinesSet="true" horizontalCentered="false" verticalCentered="false"/>
  <pageMargins left="0.39375" right="0.39375"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88</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2008-11-03T20:48:06Z</dcterms:created>
  <dc:creator>Léo Côme;Sylvain Besson</dc:creator>
  <dc:description/>
  <dc:language>fr-FR</dc:language>
  <cp:lastModifiedBy/>
  <cp:lastPrinted>2011-11-08T21:12:34Z</cp:lastPrinted>
  <dcterms:modified xsi:type="dcterms:W3CDTF">2024-01-13T16:14:12Z</dcterms:modified>
  <cp:revision>1</cp:revision>
  <dc:subject/>
  <dc:title>StabTraj</dc:title>
</cp:coreProperties>
</file>

<file path=docProps/custom.xml><?xml version="1.0" encoding="utf-8"?>
<Properties xmlns="http://schemas.openxmlformats.org/officeDocument/2006/custom-properties" xmlns:vt="http://schemas.openxmlformats.org/officeDocument/2006/docPropsVTypes"/>
</file>